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Schedule'!$A$1:$AA$5688</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110 of 5687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5577</v>
      </c>
      <c r="D8" s="10" t="inlineStr">
        <is>
          <t>110 estimated (build-out bays D4-D6 and utilities without drawn trench / bank)</t>
        </is>
      </c>
    </row>
    <row r="9">
      <c r="A9" s="10" t="inlineStr">
        <is>
          <t>Copper runs &gt; 3,000 ft</t>
        </is>
      </c>
      <c r="B9" s="13" t="inlineStr">
        <is>
          <t>INFO</t>
        </is>
      </c>
      <c r="C9" s="12" t="n">
        <v>1</v>
      </c>
      <c r="D9" s="10" t="inlineStr">
        <is>
          <t>H2 13.8 kV e-house (electrolyz</t>
        </is>
      </c>
    </row>
    <row r="10">
      <c r="A10" s="10" t="inlineStr">
        <is>
          <t>Feeders with &gt;= 6 parallel sets (bus-duct candidates)</t>
        </is>
      </c>
      <c r="B10" s="13" t="inlineStr">
        <is>
          <t>INFO</t>
        </is>
      </c>
      <c r="C10" s="12" t="n">
        <v>14</v>
      </c>
      <c r="D10" s="10" t="inlineStr">
        <is>
          <t>EDG-1 480 V output to EMCC x13; EDG-2 480 V output to EMCC x13; Site / road lighting: 120 pole x120; Black-start genset output x10</t>
        </is>
      </c>
    </row>
    <row r="11">
      <c r="A11" s="10" t="inlineStr">
        <is>
          <t>Excluded as bus duct</t>
        </is>
      </c>
      <c r="B11" s="13"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90</v>
      </c>
      <c r="U13" s="15" t="n">
        <v>70</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90</v>
      </c>
      <c r="U14" s="15" t="n">
        <v>70</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90</v>
      </c>
      <c r="U15" s="15" t="n">
        <v>70</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R2B</t>
        </is>
      </c>
      <c r="F16" s="12" t="inlineStr">
        <is>
          <t>R2B: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41</v>
      </c>
      <c r="U16" s="15" t="n">
        <v>78</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R2B</t>
        </is>
      </c>
      <c r="F17" s="12" t="inlineStr">
        <is>
          <t>R2B: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41</v>
      </c>
      <c r="U17" s="15" t="n">
        <v>78</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R2B</t>
        </is>
      </c>
      <c r="F18" s="12" t="inlineStr">
        <is>
          <t>R2B: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41</v>
      </c>
      <c r="U18" s="15" t="n">
        <v>78</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R2B</t>
        </is>
      </c>
      <c r="F19" s="12" t="inlineStr">
        <is>
          <t>R2B: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41</v>
      </c>
      <c r="U19" s="15" t="n">
        <v>78</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R2C</t>
        </is>
      </c>
      <c r="F20" s="12" t="inlineStr">
        <is>
          <t>R2C: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43</v>
      </c>
      <c r="U20" s="15" t="n">
        <v>78</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R2C</t>
        </is>
      </c>
      <c r="F21" s="12" t="inlineStr">
        <is>
          <t>R2C: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43</v>
      </c>
      <c r="U21" s="15" t="n">
        <v>78</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R2C</t>
        </is>
      </c>
      <c r="F22" s="12" t="inlineStr">
        <is>
          <t>R2C: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43</v>
      </c>
      <c r="U22" s="15" t="n">
        <v>78</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R2C</t>
        </is>
      </c>
      <c r="F23" s="12" t="inlineStr">
        <is>
          <t>R2C: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43</v>
      </c>
      <c r="U23" s="15" t="n">
        <v>78</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R3</t>
        </is>
      </c>
      <c r="F24" s="12" t="inlineStr">
        <is>
          <t>R3: ST auxiliary electrical e-house (40 x 65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585</v>
      </c>
      <c r="U24" s="15" t="n">
        <v>114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R3</t>
        </is>
      </c>
      <c r="F25" s="12" t="inlineStr">
        <is>
          <t>R3: ST auxiliary electrical e-house (40 x 65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585</v>
      </c>
      <c r="U25" s="15" t="n">
        <v>114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R3</t>
        </is>
      </c>
      <c r="F26" s="12" t="inlineStr">
        <is>
          <t>R3: ST auxiliary electrical e-house (40 x 65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585</v>
      </c>
      <c r="U26" s="15" t="n">
        <v>114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R3</t>
        </is>
      </c>
      <c r="F27" s="12" t="inlineStr">
        <is>
          <t>R3: ST auxiliary electrical e-house (40 x 65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585</v>
      </c>
      <c r="U27" s="15" t="n">
        <v>114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R2B</t>
        </is>
      </c>
      <c r="F28" s="12" t="inlineStr">
        <is>
          <t>R2B: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242</v>
      </c>
      <c r="U28" s="15" t="n">
        <v>103</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R2B</t>
        </is>
      </c>
      <c r="F29" s="12" t="inlineStr">
        <is>
          <t>R2B: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242</v>
      </c>
      <c r="U29" s="15" t="n">
        <v>103</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R2C</t>
        </is>
      </c>
      <c r="F30" s="12" t="inlineStr">
        <is>
          <t>R2C: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246</v>
      </c>
      <c r="U30" s="15" t="n">
        <v>99</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R2C</t>
        </is>
      </c>
      <c r="F31" s="12" t="inlineStr">
        <is>
          <t>R2C: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246</v>
      </c>
      <c r="U31" s="15" t="n">
        <v>99</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5" t="n">
        <v>230</v>
      </c>
      <c r="U34" s="15" t="n">
        <v>53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5" t="n">
        <v>230</v>
      </c>
      <c r="U35" s="15" t="n">
        <v>53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5" t="n">
        <v>230</v>
      </c>
      <c r="U36" s="15" t="n">
        <v>53</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5" t="n">
        <v>230</v>
      </c>
      <c r="U37" s="15" t="n">
        <v>53</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230</v>
      </c>
      <c r="U38" s="15" t="n">
        <v>53</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230</v>
      </c>
      <c r="U39" s="15" t="n">
        <v>53</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Conduit link</t>
        </is>
      </c>
      <c r="T40" s="15" t="n">
        <v>187</v>
      </c>
      <c r="U40" s="15" t="n">
        <v>90</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5" t="n">
        <v>36</v>
      </c>
      <c r="U41" s="15" t="n">
        <v>102</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5" t="n">
        <v>36</v>
      </c>
      <c r="U42" s="15" t="n">
        <v>102</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5" t="n">
        <v>53</v>
      </c>
      <c r="U43" s="15" t="n">
        <v>10</v>
      </c>
      <c r="V43" s="15">
        <f>ROUNDUP((T43+U43+2*'Read Me'!$B$13)*(1+'Read Me'!$B$12),-1)</f>
        <v/>
      </c>
      <c r="W43" s="15">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5" t="n">
        <v>36</v>
      </c>
      <c r="U44" s="15" t="n">
        <v>102</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437</v>
      </c>
      <c r="U45" s="15" t="n">
        <v>62</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5" t="n">
        <v>437</v>
      </c>
      <c r="U46" s="15" t="n">
        <v>62</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5" t="n">
        <v>437</v>
      </c>
      <c r="U47" s="15" t="n">
        <v>62</v>
      </c>
      <c r="V47" s="15">
        <f>ROUNDUP((T47+U47+2*'Read Me'!$B$13)*(1+'Read Me'!$B$12),-1)</f>
        <v/>
      </c>
      <c r="W47" s="15">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5" t="n">
        <v>437</v>
      </c>
      <c r="U48" s="15" t="n">
        <v>62</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446</v>
      </c>
      <c r="U49" s="15" t="n">
        <v>58</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446</v>
      </c>
      <c r="U50" s="15" t="n">
        <v>58</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446</v>
      </c>
      <c r="U51" s="15" t="n">
        <v>58</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446</v>
      </c>
      <c r="U52" s="15" t="n">
        <v>58</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446</v>
      </c>
      <c r="U53" s="15" t="n">
        <v>58</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446</v>
      </c>
      <c r="U54" s="15" t="n">
        <v>58</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446</v>
      </c>
      <c r="U55" s="15" t="n">
        <v>58</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446</v>
      </c>
      <c r="U56" s="15" t="n">
        <v>58</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5" t="n">
        <v>638</v>
      </c>
      <c r="U57" s="15" t="n">
        <v>86</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5" t="n">
        <v>638</v>
      </c>
      <c r="U58" s="15" t="n">
        <v>86</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5" t="n">
        <v>140</v>
      </c>
      <c r="U59" s="15" t="n">
        <v>10</v>
      </c>
      <c r="V59" s="15">
        <f>ROUNDUP((T59+U59+2*'Read Me'!$B$13)*(1+'Read Me'!$B$12),-1)</f>
        <v/>
      </c>
      <c r="W59" s="15">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5" t="n">
        <v>407</v>
      </c>
      <c r="U60" s="15" t="n">
        <v>62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5" t="n">
        <v>140</v>
      </c>
      <c r="U61" s="15" t="n">
        <v>10</v>
      </c>
      <c r="V61" s="15">
        <f>ROUNDUP((T61+U61+2*'Read Me'!$B$13)*(1+'Read Me'!$B$12),-1)</f>
        <v/>
      </c>
      <c r="W61" s="15">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5" t="n">
        <v>407</v>
      </c>
      <c r="U62" s="15" t="n">
        <v>62</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407</v>
      </c>
      <c r="U64" s="15" t="n">
        <v>62</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407</v>
      </c>
      <c r="U66" s="15" t="n">
        <v>62</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407</v>
      </c>
      <c r="U68" s="15" t="n">
        <v>62</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407</v>
      </c>
      <c r="U70" s="15" t="n">
        <v>62</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5" t="n">
        <v>655</v>
      </c>
      <c r="U71" s="15" t="n">
        <v>104</v>
      </c>
      <c r="V71" s="15">
        <f>ROUNDUP((T71+U71+2*'Read Me'!$B$13)*(1+'Read Me'!$B$12),-1)</f>
        <v/>
      </c>
      <c r="W71" s="15">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5" t="n">
        <v>655</v>
      </c>
      <c r="U72" s="15" t="n">
        <v>104</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416</v>
      </c>
      <c r="U74" s="15" t="n">
        <v>58</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5" t="n">
        <v>140</v>
      </c>
      <c r="U75" s="15" t="n">
        <v>10</v>
      </c>
      <c r="V75" s="15">
        <f>ROUNDUP((T75+U75+2*'Read Me'!$B$13)*(1+'Read Me'!$B$12),-1)</f>
        <v/>
      </c>
      <c r="W75" s="15">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5" t="n">
        <v>416</v>
      </c>
      <c r="U76" s="15" t="n">
        <v>58</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416</v>
      </c>
      <c r="U78" s="15" t="n">
        <v>58</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416</v>
      </c>
      <c r="U80" s="15" t="n">
        <v>58</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416</v>
      </c>
      <c r="U82" s="15" t="n">
        <v>58</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416</v>
      </c>
      <c r="U84" s="15" t="n">
        <v>58</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5" t="n">
        <v>833</v>
      </c>
      <c r="U85" s="15" t="n">
        <v>102</v>
      </c>
      <c r="V85" s="15">
        <f>ROUNDUP((T85+U85+2*'Read Me'!$B$13)*(1+'Read Me'!$B$12),-1)</f>
        <v/>
      </c>
      <c r="W85" s="15">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5" t="n">
        <v>833</v>
      </c>
      <c r="U86" s="15" t="n">
        <v>102</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R3</t>
        </is>
      </c>
      <c r="F88" s="12" t="inlineStr">
        <is>
          <t>R3: ST auxiliary electrical e-house (40 x 65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508</v>
      </c>
      <c r="U88" s="15" t="n">
        <v>66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5" t="n">
        <v>140</v>
      </c>
      <c r="U89" s="15" t="n">
        <v>10</v>
      </c>
      <c r="V89" s="15">
        <f>ROUNDUP((T89+U89+2*'Read Me'!$B$13)*(1+'Read Me'!$B$12),-1)</f>
        <v/>
      </c>
      <c r="W89" s="15">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R3</t>
        </is>
      </c>
      <c r="F90" s="12" t="inlineStr">
        <is>
          <t>R3: ST auxiliary electrical e-house (40 x 65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Tray</t>
        </is>
      </c>
      <c r="T90" s="15" t="n">
        <v>508</v>
      </c>
      <c r="U90" s="15" t="n">
        <v>66</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R3</t>
        </is>
      </c>
      <c r="F92" s="12" t="inlineStr">
        <is>
          <t>R3: ST auxiliary electrical e-house (40 x 65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Tray</t>
        </is>
      </c>
      <c r="T92" s="15" t="n">
        <v>508</v>
      </c>
      <c r="U92" s="15" t="n">
        <v>66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R3</t>
        </is>
      </c>
      <c r="F94" s="12" t="inlineStr">
        <is>
          <t>R3: ST auxiliary electrical e-house (40 x 65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Tray</t>
        </is>
      </c>
      <c r="T94" s="15" t="n">
        <v>508</v>
      </c>
      <c r="U94" s="15" t="n">
        <v>66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R3</t>
        </is>
      </c>
      <c r="F96" s="12" t="inlineStr">
        <is>
          <t>R3: ST auxiliary electrical e-house (40 x 65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Tray</t>
        </is>
      </c>
      <c r="T96" s="15" t="n">
        <v>508</v>
      </c>
      <c r="U96" s="15" t="n">
        <v>66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R3</t>
        </is>
      </c>
      <c r="F98" s="12" t="inlineStr">
        <is>
          <t>R3: ST auxiliary electrical e-house (40 x 65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Tray</t>
        </is>
      </c>
      <c r="T98" s="15" t="n">
        <v>508</v>
      </c>
      <c r="U98" s="15" t="n">
        <v>66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5" t="n">
        <v>54</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R2B</t>
        </is>
      </c>
      <c r="F100" s="12" t="inlineStr">
        <is>
          <t>R2B: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Conduit link</t>
        </is>
      </c>
      <c r="T100" s="15" t="n">
        <v>222</v>
      </c>
      <c r="U100" s="15" t="n">
        <v>100</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5" t="n">
        <v>54</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R2C</t>
        </is>
      </c>
      <c r="F102" s="12" t="inlineStr">
        <is>
          <t>R2C: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Conduit link</t>
        </is>
      </c>
      <c r="T102" s="15" t="n">
        <v>222</v>
      </c>
      <c r="U102" s="15" t="n">
        <v>100</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R3</t>
        </is>
      </c>
      <c r="F104" s="12" t="inlineStr">
        <is>
          <t>R3: ST auxiliary electrical e-house (40 x 65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162</v>
      </c>
      <c r="U104" s="15" t="n">
        <v>96</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5" t="n">
        <v>407</v>
      </c>
      <c r="U105" s="15" t="n">
        <v>74</v>
      </c>
      <c r="V105" s="15">
        <f>ROUNDUP((T105+U105+2*'Read Me'!$B$13)*(1+'Read Me'!$B$12),-1)</f>
        <v/>
      </c>
      <c r="W105" s="15">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5" t="n">
        <v>407</v>
      </c>
      <c r="U106" s="15" t="n">
        <v>74</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5" t="n">
        <v>407</v>
      </c>
      <c r="U107" s="15" t="n">
        <v>74</v>
      </c>
      <c r="V107" s="15">
        <f>ROUNDUP((T107+U107+2*'Read Me'!$B$13)*(1+'Read Me'!$B$12),-1)</f>
        <v/>
      </c>
      <c r="W107" s="15">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5" t="n">
        <v>407</v>
      </c>
      <c r="U108" s="15" t="n">
        <v>74</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5" t="n">
        <v>407</v>
      </c>
      <c r="U109" s="15" t="n">
        <v>74</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5" t="n">
        <v>407</v>
      </c>
      <c r="U110" s="15" t="n">
        <v>74</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5" t="n">
        <v>407</v>
      </c>
      <c r="U111" s="15" t="n">
        <v>74</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5" t="n">
        <v>416</v>
      </c>
      <c r="U112" s="15" t="n">
        <v>70</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5" t="n">
        <v>416</v>
      </c>
      <c r="U113" s="15" t="n">
        <v>70</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5" t="n">
        <v>416</v>
      </c>
      <c r="U114" s="15" t="n">
        <v>70</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416</v>
      </c>
      <c r="U115" s="15" t="n">
        <v>70</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5" t="n">
        <v>416</v>
      </c>
      <c r="U116" s="15" t="n">
        <v>70</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5" t="n">
        <v>416</v>
      </c>
      <c r="U117" s="15" t="n">
        <v>70</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5" t="n">
        <v>416</v>
      </c>
      <c r="U118" s="15" t="n">
        <v>70</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R3</t>
        </is>
      </c>
      <c r="F119" s="12" t="inlineStr">
        <is>
          <t>R3: ST auxiliary electrical e-house (40 x 65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Tray</t>
        </is>
      </c>
      <c r="T119" s="15" t="n">
        <v>508</v>
      </c>
      <c r="U119" s="15" t="n">
        <v>78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R3</t>
        </is>
      </c>
      <c r="F120" s="12" t="inlineStr">
        <is>
          <t>R3: ST auxiliary electrical e-house (40 x 65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Tray</t>
        </is>
      </c>
      <c r="T120" s="15" t="n">
        <v>508</v>
      </c>
      <c r="U120" s="15" t="n">
        <v>78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R3</t>
        </is>
      </c>
      <c r="F121" s="12" t="inlineStr">
        <is>
          <t>R3: ST auxiliary electrical e-house (40 x 65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Tray</t>
        </is>
      </c>
      <c r="T121" s="15" t="n">
        <v>508</v>
      </c>
      <c r="U121" s="15" t="n">
        <v>78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R3</t>
        </is>
      </c>
      <c r="F122" s="12" t="inlineStr">
        <is>
          <t>R3: ST auxiliary electrical e-house (40 x 65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508</v>
      </c>
      <c r="U122" s="15" t="n">
        <v>78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R3</t>
        </is>
      </c>
      <c r="F123" s="12" t="inlineStr">
        <is>
          <t>R3: ST auxiliary electrical e-house (40 x 65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Tray</t>
        </is>
      </c>
      <c r="T123" s="15" t="n">
        <v>508</v>
      </c>
      <c r="U123" s="15" t="n">
        <v>78</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R3</t>
        </is>
      </c>
      <c r="F124" s="12" t="inlineStr">
        <is>
          <t>R3: ST auxiliary electrical e-house (40 x 65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Tray</t>
        </is>
      </c>
      <c r="T124" s="15" t="n">
        <v>508</v>
      </c>
      <c r="U124" s="15" t="n">
        <v>78</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R3</t>
        </is>
      </c>
      <c r="F125" s="12" t="inlineStr">
        <is>
          <t>R3: ST auxiliary electrical e-house (40 x 65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Tray</t>
        </is>
      </c>
      <c r="T125" s="15" t="n">
        <v>508</v>
      </c>
      <c r="U125" s="15" t="n">
        <v>78</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Duct bank</t>
        </is>
      </c>
      <c r="T126" s="15" t="n">
        <v>438</v>
      </c>
      <c r="U126" s="15" t="n">
        <v>85</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Duct bank</t>
        </is>
      </c>
      <c r="T127" s="15" t="n">
        <v>438</v>
      </c>
      <c r="U127" s="15" t="n">
        <v>85</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Duct bank</t>
        </is>
      </c>
      <c r="T128" s="15" t="n">
        <v>438</v>
      </c>
      <c r="U128" s="15" t="n">
        <v>85</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438</v>
      </c>
      <c r="U129" s="15" t="n">
        <v>85</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Duct bank</t>
        </is>
      </c>
      <c r="T130" s="15" t="n">
        <v>438</v>
      </c>
      <c r="U130" s="15" t="n">
        <v>85</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Duct bank</t>
        </is>
      </c>
      <c r="T131" s="15" t="n">
        <v>438</v>
      </c>
      <c r="U131" s="15" t="n">
        <v>85</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Duct bank</t>
        </is>
      </c>
      <c r="T132" s="15" t="n">
        <v>438</v>
      </c>
      <c r="U132" s="15" t="n">
        <v>85</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5" t="n">
        <v>70</v>
      </c>
      <c r="U133" s="15" t="n">
        <v>10</v>
      </c>
      <c r="V133" s="15">
        <f>ROUNDUP((T133+U133+2*'Read Me'!$B$13)*(1+'Read Me'!$B$12),-1)</f>
        <v/>
      </c>
      <c r="W133" s="15">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R2B</t>
        </is>
      </c>
      <c r="F134" s="12" t="inlineStr">
        <is>
          <t>R2B: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Conduit link</t>
        </is>
      </c>
      <c r="T134" s="15" t="n">
        <v>200</v>
      </c>
      <c r="U134" s="15" t="n">
        <v>90</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5" t="n">
        <v>70</v>
      </c>
      <c r="U135" s="15" t="n">
        <v>10</v>
      </c>
      <c r="V135" s="15">
        <f>ROUNDUP((T135+U135+2*'Read Me'!$B$13)*(1+'Read Me'!$B$12),-1)</f>
        <v/>
      </c>
      <c r="W135" s="15">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R2C</t>
        </is>
      </c>
      <c r="F136" s="12" t="inlineStr">
        <is>
          <t>R2C: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Conduit link</t>
        </is>
      </c>
      <c r="T136" s="15" t="n">
        <v>200</v>
      </c>
      <c r="U136" s="15" t="n">
        <v>90</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R3</t>
        </is>
      </c>
      <c r="F138" s="12" t="inlineStr">
        <is>
          <t>R3: ST auxiliary electrical e-house (40 x 65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150</v>
      </c>
      <c r="U138" s="15" t="n">
        <v>70</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5" t="n">
        <v>91</v>
      </c>
      <c r="U139" s="15" t="n">
        <v>113</v>
      </c>
      <c r="V139" s="15">
        <f>ROUNDUP((T139+U139+2*'Read Me'!$B$13)*(1+'Read Me'!$B$12),-1)</f>
        <v/>
      </c>
      <c r="W139" s="15">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5" t="n">
        <v>91</v>
      </c>
      <c r="U140" s="15" t="n">
        <v>113</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5" t="n">
        <v>437</v>
      </c>
      <c r="U141" s="15" t="n">
        <v>100</v>
      </c>
      <c r="V141" s="15">
        <f>ROUNDUP((T141+U141+2*'Read Me'!$B$13)*(1+'Read Me'!$B$12),-1)</f>
        <v/>
      </c>
      <c r="W141" s="15">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5" t="n">
        <v>437</v>
      </c>
      <c r="U142" s="15" t="n">
        <v>100</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437</v>
      </c>
      <c r="U143" s="15" t="n">
        <v>100</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437</v>
      </c>
      <c r="U144" s="15" t="n">
        <v>100</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437</v>
      </c>
      <c r="U145" s="15" t="n">
        <v>100</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437</v>
      </c>
      <c r="U146" s="15" t="n">
        <v>100</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395</v>
      </c>
      <c r="U147" s="15" t="n">
        <v>130</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395</v>
      </c>
      <c r="U148" s="15" t="n">
        <v>130</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395</v>
      </c>
      <c r="U149" s="15" t="n">
        <v>130</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395</v>
      </c>
      <c r="U150" s="15" t="n">
        <v>130</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395</v>
      </c>
      <c r="U151" s="15" t="n">
        <v>130</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395</v>
      </c>
      <c r="U152" s="15" t="n">
        <v>130</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395</v>
      </c>
      <c r="U153" s="15" t="n">
        <v>130</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5" t="n">
        <v>395</v>
      </c>
      <c r="U154" s="15" t="n">
        <v>130</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5" t="n">
        <v>395</v>
      </c>
      <c r="U155" s="15" t="n">
        <v>130</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5" t="n">
        <v>395</v>
      </c>
      <c r="U156" s="15" t="n">
        <v>130</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446</v>
      </c>
      <c r="U157" s="15" t="n">
        <v>96</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5" t="n">
        <v>446</v>
      </c>
      <c r="U158" s="15" t="n">
        <v>96</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5" t="n">
        <v>446</v>
      </c>
      <c r="U159" s="15" t="n">
        <v>96</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5" t="n">
        <v>446</v>
      </c>
      <c r="U160" s="15" t="n">
        <v>96</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446</v>
      </c>
      <c r="U161" s="15" t="n">
        <v>96</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446</v>
      </c>
      <c r="U162" s="15" t="n">
        <v>96</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403</v>
      </c>
      <c r="U163" s="15" t="n">
        <v>126</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403</v>
      </c>
      <c r="U164" s="15" t="n">
        <v>126</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403</v>
      </c>
      <c r="U165" s="15" t="n">
        <v>126</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403</v>
      </c>
      <c r="U166" s="15" t="n">
        <v>126</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Tray</t>
        </is>
      </c>
      <c r="T167" s="15" t="n">
        <v>403</v>
      </c>
      <c r="U167" s="15" t="n">
        <v>126</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Tray</t>
        </is>
      </c>
      <c r="T168" s="15" t="n">
        <v>403</v>
      </c>
      <c r="U168" s="15" t="n">
        <v>126</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Tray</t>
        </is>
      </c>
      <c r="T169" s="15" t="n">
        <v>403</v>
      </c>
      <c r="U169" s="15" t="n">
        <v>126</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Tray</t>
        </is>
      </c>
      <c r="T170" s="15" t="n">
        <v>403</v>
      </c>
      <c r="U170" s="15" t="n">
        <v>126</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Tray</t>
        </is>
      </c>
      <c r="T171" s="15" t="n">
        <v>403</v>
      </c>
      <c r="U171" s="15" t="n">
        <v>126</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Tray</t>
        </is>
      </c>
      <c r="T172" s="15" t="n">
        <v>403</v>
      </c>
      <c r="U172" s="15" t="n">
        <v>126</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R3</t>
        </is>
      </c>
      <c r="F173" s="12" t="inlineStr">
        <is>
          <t>R3: ST auxiliary electrical e-house (40 x 65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489</v>
      </c>
      <c r="U173" s="15" t="n">
        <v>64</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R3</t>
        </is>
      </c>
      <c r="F174" s="12" t="inlineStr">
        <is>
          <t>R3: ST auxiliary electrical e-house (40 x 65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5" t="n">
        <v>489</v>
      </c>
      <c r="U174" s="15" t="n">
        <v>64</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R3</t>
        </is>
      </c>
      <c r="F175" s="12" t="inlineStr">
        <is>
          <t>R3: ST auxiliary electrical e-house (40 x 65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5" t="n">
        <v>489</v>
      </c>
      <c r="U175" s="15" t="n">
        <v>64</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R3</t>
        </is>
      </c>
      <c r="F176" s="12" t="inlineStr">
        <is>
          <t>R3: ST auxiliary electrical e-house (40 x 65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5" t="n">
        <v>489</v>
      </c>
      <c r="U176" s="15" t="n">
        <v>64</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R3</t>
        </is>
      </c>
      <c r="F177" s="12" t="inlineStr">
        <is>
          <t>R3: ST auxiliary electrical e-house (40 x 65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489</v>
      </c>
      <c r="U177" s="15" t="n">
        <v>64</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R3</t>
        </is>
      </c>
      <c r="F178" s="12" t="inlineStr">
        <is>
          <t>R3: ST auxiliary electrical e-house (40 x 65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489</v>
      </c>
      <c r="U178" s="15" t="n">
        <v>64</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R3</t>
        </is>
      </c>
      <c r="F179" s="12" t="inlineStr">
        <is>
          <t>R3: ST auxiliary electrical e-house (40 x 65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452</v>
      </c>
      <c r="U179" s="15" t="n">
        <v>67</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R3</t>
        </is>
      </c>
      <c r="F180" s="12" t="inlineStr">
        <is>
          <t>R3: ST auxiliary electrical e-house (40 x 65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452</v>
      </c>
      <c r="U180" s="15" t="n">
        <v>67</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R3</t>
        </is>
      </c>
      <c r="F181" s="12" t="inlineStr">
        <is>
          <t>R3: ST auxiliary electrical e-house (40 x 65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452</v>
      </c>
      <c r="U181" s="15" t="n">
        <v>67</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R3</t>
        </is>
      </c>
      <c r="F182" s="12" t="inlineStr">
        <is>
          <t>R3: ST auxiliary electrical e-house (40 x 65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452</v>
      </c>
      <c r="U182" s="15" t="n">
        <v>67</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R3</t>
        </is>
      </c>
      <c r="F183" s="12" t="inlineStr">
        <is>
          <t>R3: ST auxiliary electrical e-house (40 x 65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452</v>
      </c>
      <c r="U183" s="15" t="n">
        <v>67</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R3</t>
        </is>
      </c>
      <c r="F184" s="12" t="inlineStr">
        <is>
          <t>R3: ST auxiliary electrical e-house (40 x 65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452</v>
      </c>
      <c r="U184" s="15" t="n">
        <v>67</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R3</t>
        </is>
      </c>
      <c r="F185" s="12" t="inlineStr">
        <is>
          <t>R3: ST auxiliary electrical e-house (40 x 65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452</v>
      </c>
      <c r="U185" s="15" t="n">
        <v>67</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R3</t>
        </is>
      </c>
      <c r="F186" s="12" t="inlineStr">
        <is>
          <t>R3: ST auxiliary electrical e-house (40 x 65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5" t="n">
        <v>452</v>
      </c>
      <c r="U186" s="15" t="n">
        <v>67</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R3</t>
        </is>
      </c>
      <c r="F187" s="12" t="inlineStr">
        <is>
          <t>R3: ST auxiliary electrical e-house (40 x 65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5" t="n">
        <v>452</v>
      </c>
      <c r="U187" s="15" t="n">
        <v>67</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R3</t>
        </is>
      </c>
      <c r="F188" s="12" t="inlineStr">
        <is>
          <t>R3: ST auxiliary electrical e-house (40 x 65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5" t="n">
        <v>452</v>
      </c>
      <c r="U188" s="15" t="n">
        <v>67</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399</v>
      </c>
      <c r="U189" s="15" t="n">
        <v>73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5" t="n">
        <v>399</v>
      </c>
      <c r="U190" s="15" t="n">
        <v>73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5" t="n">
        <v>399</v>
      </c>
      <c r="U191" s="15" t="n">
        <v>73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5" t="n">
        <v>399</v>
      </c>
      <c r="U192" s="15" t="n">
        <v>73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399</v>
      </c>
      <c r="U193" s="15" t="n">
        <v>73</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399</v>
      </c>
      <c r="U194" s="15" t="n">
        <v>73</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387</v>
      </c>
      <c r="U195" s="15" t="n">
        <v>58</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387</v>
      </c>
      <c r="U196" s="15" t="n">
        <v>58</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387</v>
      </c>
      <c r="U197" s="15" t="n">
        <v>58</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387</v>
      </c>
      <c r="U198" s="15" t="n">
        <v>58</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387</v>
      </c>
      <c r="U199" s="15" t="n">
        <v>58</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387</v>
      </c>
      <c r="U200" s="15" t="n">
        <v>58</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387</v>
      </c>
      <c r="U201" s="15" t="n">
        <v>58</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5" t="n">
        <v>387</v>
      </c>
      <c r="U202" s="15" t="n">
        <v>58</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5" t="n">
        <v>387</v>
      </c>
      <c r="U203" s="15" t="n">
        <v>58</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5" t="n">
        <v>387</v>
      </c>
      <c r="U204" s="15" t="n">
        <v>58</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5" t="n">
        <v>455</v>
      </c>
      <c r="U205" s="15" t="n">
        <v>142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5" t="n">
        <v>455</v>
      </c>
      <c r="U206" s="15" t="n">
        <v>142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5" t="n">
        <v>455</v>
      </c>
      <c r="U207" s="15" t="n">
        <v>142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5" t="n">
        <v>455</v>
      </c>
      <c r="U208" s="15" t="n">
        <v>142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455</v>
      </c>
      <c r="U209" s="15" t="n">
        <v>142</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455</v>
      </c>
      <c r="U210" s="15" t="n">
        <v>142</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455</v>
      </c>
      <c r="U211" s="15" t="n">
        <v>142</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455</v>
      </c>
      <c r="U212" s="15" t="n">
        <v>142</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455</v>
      </c>
      <c r="U213" s="15" t="n">
        <v>142</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455</v>
      </c>
      <c r="U214" s="15" t="n">
        <v>142</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455</v>
      </c>
      <c r="U215" s="15" t="n">
        <v>142</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455</v>
      </c>
      <c r="U216" s="15" t="n">
        <v>142</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5" t="n">
        <v>62</v>
      </c>
      <c r="U217" s="15" t="n">
        <v>10</v>
      </c>
      <c r="V217" s="15">
        <f>ROUNDUP((T217+U217+2*'Read Me'!$B$13)*(1+'Read Me'!$B$12),-1)</f>
        <v/>
      </c>
      <c r="W217" s="15">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R2B</t>
        </is>
      </c>
      <c r="F218" s="12" t="inlineStr">
        <is>
          <t>R2B: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Conduit link</t>
        </is>
      </c>
      <c r="T218" s="15" t="n">
        <v>236</v>
      </c>
      <c r="U218" s="15" t="n">
        <v>115</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5" t="n">
        <v>96</v>
      </c>
      <c r="U219" s="15" t="n">
        <v>10</v>
      </c>
      <c r="V219" s="15">
        <f>ROUNDUP((T219+U219+2*'Read Me'!$B$13)*(1+'Read Me'!$B$12),-1)</f>
        <v/>
      </c>
      <c r="W219" s="15">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5" t="n">
        <v>154</v>
      </c>
      <c r="U220" s="15" t="n">
        <v>103</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96</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154</v>
      </c>
      <c r="U222" s="15" t="n">
        <v>103</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5" t="n">
        <v>472</v>
      </c>
      <c r="U225" s="15" t="n">
        <v>160</v>
      </c>
      <c r="V225" s="15">
        <f>ROUNDUP((T225+U225+2*'Read Me'!$B$13)*(1+'Read Me'!$B$12),-1)</f>
        <v/>
      </c>
      <c r="W225" s="15">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5" t="n">
        <v>472</v>
      </c>
      <c r="U226" s="15" t="n">
        <v>160</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5" t="n">
        <v>472</v>
      </c>
      <c r="U227" s="15" t="n">
        <v>160</v>
      </c>
      <c r="V227" s="15">
        <f>ROUNDUP((T227+U227+2*'Read Me'!$B$13)*(1+'Read Me'!$B$12),-1)</f>
        <v/>
      </c>
      <c r="W227" s="15">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5" t="n">
        <v>472</v>
      </c>
      <c r="U228" s="15" t="n">
        <v>160</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472</v>
      </c>
      <c r="U229" s="15" t="n">
        <v>160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472</v>
      </c>
      <c r="U230" s="15" t="n">
        <v>160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472</v>
      </c>
      <c r="U231" s="15" t="n">
        <v>160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472</v>
      </c>
      <c r="U232" s="15" t="n">
        <v>160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472</v>
      </c>
      <c r="U233" s="15" t="n">
        <v>160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472</v>
      </c>
      <c r="U234" s="15" t="n">
        <v>160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472</v>
      </c>
      <c r="U235" s="15" t="n">
        <v>160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472</v>
      </c>
      <c r="U236" s="15" t="n">
        <v>160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5" t="n">
        <v>62</v>
      </c>
      <c r="U237" s="15" t="n">
        <v>10</v>
      </c>
      <c r="V237" s="15">
        <f>ROUNDUP((T237+U237+2*'Read Me'!$B$13)*(1+'Read Me'!$B$12),-1)</f>
        <v/>
      </c>
      <c r="W237" s="15">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R2C</t>
        </is>
      </c>
      <c r="F238" s="12" t="inlineStr">
        <is>
          <t>R2C: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Conduit link</t>
        </is>
      </c>
      <c r="T238" s="15" t="n">
        <v>236</v>
      </c>
      <c r="U238" s="15" t="n">
        <v>115</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5" t="n">
        <v>96</v>
      </c>
      <c r="U239" s="15" t="n">
        <v>10</v>
      </c>
      <c r="V239" s="15">
        <f>ROUNDUP((T239+U239+2*'Read Me'!$B$13)*(1+'Read Me'!$B$12),-1)</f>
        <v/>
      </c>
      <c r="W239" s="15">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Conduit link</t>
        </is>
      </c>
      <c r="T240" s="15" t="n">
        <v>162</v>
      </c>
      <c r="U240" s="15" t="n">
        <v>99</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96</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Conduit link</t>
        </is>
      </c>
      <c r="T242" s="15" t="n">
        <v>162</v>
      </c>
      <c r="U242" s="15" t="n">
        <v>99</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Conduit link</t>
        </is>
      </c>
      <c r="T244" s="15" t="n">
        <v>162</v>
      </c>
      <c r="U244" s="15" t="n">
        <v>99</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5" t="n">
        <v>693</v>
      </c>
      <c r="U245" s="15" t="n">
        <v>149</v>
      </c>
      <c r="V245" s="15">
        <f>ROUNDUP((T245+U245+2*'Read Me'!$B$13)*(1+'Read Me'!$B$12),-1)</f>
        <v/>
      </c>
      <c r="W245" s="15">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5" t="n">
        <v>693</v>
      </c>
      <c r="U246" s="15" t="n">
        <v>149</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5" t="n">
        <v>693</v>
      </c>
      <c r="U247" s="15" t="n">
        <v>149</v>
      </c>
      <c r="V247" s="15">
        <f>ROUNDUP((T247+U247+2*'Read Me'!$B$13)*(1+'Read Me'!$B$12),-1)</f>
        <v/>
      </c>
      <c r="W247" s="15">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5" t="n">
        <v>693</v>
      </c>
      <c r="U248" s="15" t="n">
        <v>149</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5" t="n">
        <v>62</v>
      </c>
      <c r="U257" s="15" t="n">
        <v>10</v>
      </c>
      <c r="V257" s="15">
        <f>ROUNDUP((T257+U257+2*'Read Me'!$B$13)*(1+'Read Me'!$B$12),-1)</f>
        <v/>
      </c>
      <c r="W257" s="15">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R3</t>
        </is>
      </c>
      <c r="F258" s="12" t="inlineStr">
        <is>
          <t>R3: ST auxiliary electrical e-house (40 x 65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5" t="n">
        <v>180</v>
      </c>
      <c r="U258" s="15" t="n">
        <v>106</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5" t="n">
        <v>96</v>
      </c>
      <c r="U259" s="15" t="n">
        <v>10</v>
      </c>
      <c r="V259" s="15">
        <f>ROUNDUP((T259+U259+2*'Read Me'!$B$13)*(1+'Read Me'!$B$12),-1)</f>
        <v/>
      </c>
      <c r="W259" s="15">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Conduit link</t>
        </is>
      </c>
      <c r="T260" s="15" t="n">
        <v>162</v>
      </c>
      <c r="U260" s="15" t="n">
        <v>99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96</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Conduit link</t>
        </is>
      </c>
      <c r="T262" s="15" t="n">
        <v>162</v>
      </c>
      <c r="U262" s="15" t="n">
        <v>99</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Conduit link</t>
        </is>
      </c>
      <c r="T264" s="15" t="n">
        <v>162</v>
      </c>
      <c r="U264" s="15" t="n">
        <v>99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5" t="n">
        <v>632</v>
      </c>
      <c r="U265" s="15" t="n">
        <v>108</v>
      </c>
      <c r="V265" s="15">
        <f>ROUNDUP((T265+U265+2*'Read Me'!$B$13)*(1+'Read Me'!$B$12),-1)</f>
        <v/>
      </c>
      <c r="W265" s="15">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5" t="n">
        <v>632</v>
      </c>
      <c r="U266" s="15" t="n">
        <v>108</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5" t="n">
        <v>632</v>
      </c>
      <c r="U267" s="15" t="n">
        <v>108</v>
      </c>
      <c r="V267" s="15">
        <f>ROUNDUP((T267+U267+2*'Read Me'!$B$13)*(1+'Read Me'!$B$12),-1)</f>
        <v/>
      </c>
      <c r="W267" s="15">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5" t="n">
        <v>632</v>
      </c>
      <c r="U268" s="15" t="n">
        <v>108</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649</v>
      </c>
      <c r="U269" s="15" t="n">
        <v>126</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649</v>
      </c>
      <c r="U270" s="15" t="n">
        <v>126</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649</v>
      </c>
      <c r="U271" s="15" t="n">
        <v>126</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649</v>
      </c>
      <c r="U272" s="15" t="n">
        <v>126</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827</v>
      </c>
      <c r="U273" s="15" t="n">
        <v>124</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827</v>
      </c>
      <c r="U274" s="15" t="n">
        <v>124</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827</v>
      </c>
      <c r="U275" s="15" t="n">
        <v>124</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827</v>
      </c>
      <c r="U276" s="15" t="n">
        <v>124</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0</v>
      </c>
      <c r="U277" s="15" t="n">
        <v>87</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0</v>
      </c>
      <c r="U278" s="15" t="n">
        <v>87</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0</v>
      </c>
      <c r="U279" s="15" t="n">
        <v>87</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0</v>
      </c>
      <c r="U280" s="15" t="n">
        <v>87</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5" t="n">
        <v>180</v>
      </c>
      <c r="U326" s="15" t="n">
        <v>10</v>
      </c>
      <c r="V326" s="15">
        <f>ROUNDUP((T326+U326+2*'Read Me'!$B$13)*(1+'Read Me'!$B$12),-1)</f>
        <v/>
      </c>
      <c r="W326" s="15">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5" t="n">
        <v>180</v>
      </c>
      <c r="U328" s="15" t="n">
        <v>10</v>
      </c>
      <c r="V328" s="15">
        <f>ROUNDUP((T328+U328+2*'Read Me'!$B$13)*(1+'Read Me'!$B$12),-1)</f>
        <v/>
      </c>
      <c r="W328" s="15">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5" t="n">
        <v>0</v>
      </c>
      <c r="U330" s="15" t="n">
        <v>124</v>
      </c>
      <c r="V330" s="15">
        <f>ROUNDUP((T330+U330+2*'Read Me'!$B$13)*(1+'Read Me'!$B$12),-1)</f>
        <v/>
      </c>
      <c r="W330" s="15">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5" t="n">
        <v>0</v>
      </c>
      <c r="U331" s="15" t="n">
        <v>124</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5" t="n">
        <v>0</v>
      </c>
      <c r="U332" s="15" t="n">
        <v>124</v>
      </c>
      <c r="V332" s="15">
        <f>ROUNDUP((T332+U332+2*'Read Me'!$B$13)*(1+'Read Me'!$B$12),-1)</f>
        <v/>
      </c>
      <c r="W332" s="15">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5" t="n">
        <v>0</v>
      </c>
      <c r="U333" s="15" t="n">
        <v>124</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R2B</t>
        </is>
      </c>
      <c r="F334" s="12" t="inlineStr">
        <is>
          <t>R2B: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5" t="n">
        <v>30</v>
      </c>
      <c r="U334" s="15" t="n">
        <v>109</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R2B</t>
        </is>
      </c>
      <c r="F335" s="12" t="inlineStr">
        <is>
          <t>R2B: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5" t="n">
        <v>30</v>
      </c>
      <c r="U335" s="15" t="n">
        <v>109</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R2B</t>
        </is>
      </c>
      <c r="F336" s="12" t="inlineStr">
        <is>
          <t>R2B: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5" t="n">
        <v>30</v>
      </c>
      <c r="U336" s="15" t="n">
        <v>109</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R2B</t>
        </is>
      </c>
      <c r="F337" s="12" t="inlineStr">
        <is>
          <t>R2B: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5" t="n">
        <v>30</v>
      </c>
      <c r="U337" s="15" t="n">
        <v>109</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R2B</t>
        </is>
      </c>
      <c r="F338" s="12" t="inlineStr">
        <is>
          <t>R2B: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30</v>
      </c>
      <c r="U338" s="15" t="n">
        <v>109</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R2B</t>
        </is>
      </c>
      <c r="F339" s="12" t="inlineStr">
        <is>
          <t>R2B: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30</v>
      </c>
      <c r="U339" s="15" t="n">
        <v>109</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63</v>
      </c>
      <c r="U340" s="15" t="n">
        <v>84</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63</v>
      </c>
      <c r="U341" s="15" t="n">
        <v>84</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63</v>
      </c>
      <c r="U342" s="15" t="n">
        <v>84</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63</v>
      </c>
      <c r="U343" s="15" t="n">
        <v>84</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5" t="n">
        <v>63</v>
      </c>
      <c r="U344" s="15" t="n">
        <v>84</v>
      </c>
      <c r="V344" s="15">
        <f>ROUNDUP((T344+U344+2*'Read Me'!$B$13)*(1+'Read Me'!$B$12),-1)</f>
        <v/>
      </c>
      <c r="W344" s="15">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5" t="n">
        <v>63</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5" t="n">
        <v>63</v>
      </c>
      <c r="U346" s="15" t="n">
        <v>84</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5" t="n">
        <v>63</v>
      </c>
      <c r="U347" s="15" t="n">
        <v>84</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5" t="n">
        <v>63</v>
      </c>
      <c r="U348" s="15" t="n">
        <v>84</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5" t="n">
        <v>63</v>
      </c>
      <c r="U349" s="15" t="n">
        <v>84</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5" t="n">
        <v>63</v>
      </c>
      <c r="U350" s="15" t="n">
        <v>84</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63</v>
      </c>
      <c r="U351" s="15" t="n">
        <v>84</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63</v>
      </c>
      <c r="U352" s="15" t="n">
        <v>84</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63</v>
      </c>
      <c r="U353" s="15" t="n">
        <v>84</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63</v>
      </c>
      <c r="U354" s="15" t="n">
        <v>84</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63</v>
      </c>
      <c r="U355" s="15" t="n">
        <v>84</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63</v>
      </c>
      <c r="U356" s="15" t="n">
        <v>84</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63</v>
      </c>
      <c r="U357" s="15" t="n">
        <v>84</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63</v>
      </c>
      <c r="U358" s="15" t="n">
        <v>84</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63</v>
      </c>
      <c r="U359" s="15" t="n">
        <v>84</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63</v>
      </c>
      <c r="U360" s="15" t="n">
        <v>84</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63</v>
      </c>
      <c r="U361" s="15" t="n">
        <v>84</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63</v>
      </c>
      <c r="U362" s="15" t="n">
        <v>84</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63</v>
      </c>
      <c r="U363" s="15" t="n">
        <v>84</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63</v>
      </c>
      <c r="U364" s="15" t="n">
        <v>84</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63</v>
      </c>
      <c r="U365" s="15" t="n">
        <v>84</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63</v>
      </c>
      <c r="U366" s="15" t="n">
        <v>84</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63</v>
      </c>
      <c r="U367" s="15" t="n">
        <v>84</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63</v>
      </c>
      <c r="U368" s="15" t="n">
        <v>84</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63</v>
      </c>
      <c r="U369" s="15" t="n">
        <v>84</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63</v>
      </c>
      <c r="U370" s="15" t="n">
        <v>84</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63</v>
      </c>
      <c r="U371" s="15" t="n">
        <v>84</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63</v>
      </c>
      <c r="U372" s="15" t="n">
        <v>84</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63</v>
      </c>
      <c r="U373" s="15" t="n">
        <v>84</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63</v>
      </c>
      <c r="U374" s="15" t="n">
        <v>84</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63</v>
      </c>
      <c r="U375" s="15" t="n">
        <v>84</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63</v>
      </c>
      <c r="U376" s="15" t="n">
        <v>84</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63</v>
      </c>
      <c r="U377" s="15" t="n">
        <v>84</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63</v>
      </c>
      <c r="U378" s="15" t="n">
        <v>84</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63</v>
      </c>
      <c r="U379" s="15" t="n">
        <v>84</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63</v>
      </c>
      <c r="U380" s="15" t="n">
        <v>84</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63</v>
      </c>
      <c r="U381" s="15" t="n">
        <v>84</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63</v>
      </c>
      <c r="U382" s="15" t="n">
        <v>84</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63</v>
      </c>
      <c r="U383" s="15" t="n">
        <v>84</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63</v>
      </c>
      <c r="U384" s="15" t="n">
        <v>84</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63</v>
      </c>
      <c r="U385" s="15" t="n">
        <v>84</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63</v>
      </c>
      <c r="U386" s="15" t="n">
        <v>84</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63</v>
      </c>
      <c r="U387" s="15" t="n">
        <v>84</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63</v>
      </c>
      <c r="U388" s="15" t="n">
        <v>84</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5" t="n">
        <v>180</v>
      </c>
      <c r="U389" s="15" t="n">
        <v>10</v>
      </c>
      <c r="V389" s="15">
        <f>ROUNDUP((T389+U389+2*'Read Me'!$B$13)*(1+'Read Me'!$B$12),-1)</f>
        <v/>
      </c>
      <c r="W389" s="15">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5" t="n">
        <v>63</v>
      </c>
      <c r="U390" s="15" t="n">
        <v>84</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5" t="n">
        <v>180</v>
      </c>
      <c r="U391" s="15" t="n">
        <v>10</v>
      </c>
      <c r="V391" s="15">
        <f>ROUNDUP((T391+U391+2*'Read Me'!$B$13)*(1+'Read Me'!$B$12),-1)</f>
        <v/>
      </c>
      <c r="W391" s="15">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5" t="n">
        <v>63</v>
      </c>
      <c r="U392" s="15" t="n">
        <v>84</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0</v>
      </c>
      <c r="U393" s="15" t="n">
        <v>124</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0</v>
      </c>
      <c r="U394" s="15" t="n">
        <v>124</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0</v>
      </c>
      <c r="U395" s="15" t="n">
        <v>124</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5" t="n">
        <v>0</v>
      </c>
      <c r="U396" s="15" t="n">
        <v>124</v>
      </c>
      <c r="V396" s="15">
        <f>ROUNDUP((T396+U396+2*'Read Me'!$B$13)*(1+'Read Me'!$B$12),-1)</f>
        <v/>
      </c>
      <c r="W396" s="15">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R2C</t>
        </is>
      </c>
      <c r="F397" s="12" t="inlineStr">
        <is>
          <t>R2C: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5" t="n">
        <v>30</v>
      </c>
      <c r="U397" s="15" t="n">
        <v>109</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R2C</t>
        </is>
      </c>
      <c r="F398" s="12" t="inlineStr">
        <is>
          <t>R2C: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5" t="n">
        <v>30</v>
      </c>
      <c r="U398" s="15" t="n">
        <v>109</v>
      </c>
      <c r="V398" s="15">
        <f>ROUNDUP((T398+U398+2*'Read Me'!$B$13)*(1+'Read Me'!$B$12),-1)</f>
        <v/>
      </c>
      <c r="W398" s="15">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R2C</t>
        </is>
      </c>
      <c r="F399" s="12" t="inlineStr">
        <is>
          <t>R2C: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5" t="n">
        <v>30</v>
      </c>
      <c r="U399" s="15" t="n">
        <v>109</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R2C</t>
        </is>
      </c>
      <c r="F400" s="12" t="inlineStr">
        <is>
          <t>R2C: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5" t="n">
        <v>30</v>
      </c>
      <c r="U400" s="15" t="n">
        <v>109</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R2C</t>
        </is>
      </c>
      <c r="F401" s="12" t="inlineStr">
        <is>
          <t>R2C: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5" t="n">
        <v>30</v>
      </c>
      <c r="U401" s="15" t="n">
        <v>109</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R2C</t>
        </is>
      </c>
      <c r="F402" s="12" t="inlineStr">
        <is>
          <t>R2C: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5" t="n">
        <v>30</v>
      </c>
      <c r="U402" s="15" t="n">
        <v>109</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5" t="n">
        <v>0</v>
      </c>
      <c r="U403" s="15" t="n">
        <v>87</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0</v>
      </c>
      <c r="U404" s="15" t="n">
        <v>87</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0</v>
      </c>
      <c r="U405" s="15" t="n">
        <v>87</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0</v>
      </c>
      <c r="U406" s="15" t="n">
        <v>87</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5" t="n">
        <v>0</v>
      </c>
      <c r="U407" s="15" t="n">
        <v>87</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5" t="n">
        <v>0</v>
      </c>
      <c r="U408" s="15" t="n">
        <v>87</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5" t="n">
        <v>0</v>
      </c>
      <c r="U409" s="15" t="n">
        <v>87</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5" t="n">
        <v>0</v>
      </c>
      <c r="U410" s="15" t="n">
        <v>87</v>
      </c>
      <c r="V410" s="15">
        <f>ROUNDUP((T410+U410+2*'Read Me'!$B$13)*(1+'Read Me'!$B$12),-1)</f>
        <v/>
      </c>
      <c r="W410" s="15">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5" t="n">
        <v>0</v>
      </c>
      <c r="U411" s="15" t="n">
        <v>87</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5" t="n">
        <v>0</v>
      </c>
      <c r="U412" s="15" t="n">
        <v>87</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5" t="n">
        <v>180</v>
      </c>
      <c r="U452" s="15" t="n">
        <v>10</v>
      </c>
      <c r="V452" s="15">
        <f>ROUNDUP((T452+U452+2*'Read Me'!$B$13)*(1+'Read Me'!$B$12),-1)</f>
        <v/>
      </c>
      <c r="W452" s="15">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5" t="n">
        <v>180</v>
      </c>
      <c r="U454" s="15" t="n">
        <v>10</v>
      </c>
      <c r="V454" s="15">
        <f>ROUNDUP((T454+U454+2*'Read Me'!$B$13)*(1+'Read Me'!$B$12),-1)</f>
        <v/>
      </c>
      <c r="W454" s="15">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124</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124</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124</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124</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R3</t>
        </is>
      </c>
      <c r="F460" s="12" t="inlineStr">
        <is>
          <t>R3: ST auxiliary electrical e-house (40 x 65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5" t="n">
        <v>512</v>
      </c>
      <c r="U460" s="15" t="n">
        <v>150</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R3</t>
        </is>
      </c>
      <c r="F461" s="12" t="inlineStr">
        <is>
          <t>R3: ST auxiliary electrical e-house (40 x 65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5" t="n">
        <v>512</v>
      </c>
      <c r="U461" s="15" t="n">
        <v>150</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R3</t>
        </is>
      </c>
      <c r="F462" s="12" t="inlineStr">
        <is>
          <t>R3: ST auxiliary electrical e-house (40 x 65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5" t="n">
        <v>512</v>
      </c>
      <c r="U462" s="15" t="n">
        <v>150</v>
      </c>
      <c r="V462" s="15">
        <f>ROUNDUP((T462+U462+2*'Read Me'!$B$13)*(1+'Read Me'!$B$12),-1)</f>
        <v/>
      </c>
      <c r="W462" s="15">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R3</t>
        </is>
      </c>
      <c r="F463" s="12" t="inlineStr">
        <is>
          <t>R3: ST auxiliary electrical e-house (40 x 65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5" t="n">
        <v>512</v>
      </c>
      <c r="U463" s="15" t="n">
        <v>150</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R3</t>
        </is>
      </c>
      <c r="F464" s="12" t="inlineStr">
        <is>
          <t>R3: ST auxiliary electrical e-house (40 x 65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5" t="n">
        <v>512</v>
      </c>
      <c r="U464" s="15" t="n">
        <v>150</v>
      </c>
      <c r="V464" s="15">
        <f>ROUNDUP((T464+U464+2*'Read Me'!$B$13)*(1+'Read Me'!$B$12),-1)</f>
        <v/>
      </c>
      <c r="W464" s="15">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R3</t>
        </is>
      </c>
      <c r="F465" s="12" t="inlineStr">
        <is>
          <t>R3: ST auxiliary electrical e-house (40 x 65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5" t="n">
        <v>512</v>
      </c>
      <c r="U465" s="15" t="n">
        <v>150</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5" t="n">
        <v>497</v>
      </c>
      <c r="U466" s="15" t="n">
        <v>66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5" t="n">
        <v>51</v>
      </c>
      <c r="U467" s="15" t="n">
        <v>41</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5" t="n">
        <v>51</v>
      </c>
      <c r="U468" s="15" t="n">
        <v>41</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5" t="n">
        <v>51</v>
      </c>
      <c r="U469" s="15" t="n">
        <v>41</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5" t="n">
        <v>51</v>
      </c>
      <c r="U470" s="15" t="n">
        <v>41</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5" t="n">
        <v>51</v>
      </c>
      <c r="U471" s="15" t="n">
        <v>41</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5" t="n">
        <v>51</v>
      </c>
      <c r="U472" s="15" t="n">
        <v>41</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781</v>
      </c>
      <c r="U473" s="15" t="n">
        <v>88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5" t="n">
        <v>781</v>
      </c>
      <c r="U474" s="15" t="n">
        <v>88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5" t="n">
        <v>781</v>
      </c>
      <c r="U475" s="15" t="n">
        <v>88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5" t="n">
        <v>781</v>
      </c>
      <c r="U476" s="15" t="n">
        <v>88</v>
      </c>
      <c r="V476" s="15">
        <f>ROUNDUP((T476+U476+2*'Read Me'!$B$13)*(1+'Read Me'!$B$12),-1)</f>
        <v/>
      </c>
      <c r="W476" s="15">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5" t="n">
        <v>51</v>
      </c>
      <c r="U477" s="15" t="n">
        <v>63</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5" t="n">
        <v>51</v>
      </c>
      <c r="U478" s="15" t="n">
        <v>63</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5" t="n">
        <v>51</v>
      </c>
      <c r="U479" s="15" t="n">
        <v>63</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63</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63</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63</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5" t="n">
        <v>591</v>
      </c>
      <c r="U483" s="15" t="n">
        <v>100</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5" t="n">
        <v>591</v>
      </c>
      <c r="U484" s="15" t="n">
        <v>100</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5" t="n">
        <v>591</v>
      </c>
      <c r="U485" s="15" t="n">
        <v>100</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5" t="n">
        <v>591</v>
      </c>
      <c r="U486" s="15" t="n">
        <v>100</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5" t="n">
        <v>0</v>
      </c>
      <c r="U487" s="15" t="n">
        <v>73</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5" t="n">
        <v>0</v>
      </c>
      <c r="U488" s="15" t="n">
        <v>73</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0</v>
      </c>
      <c r="U489" s="15" t="n">
        <v>73</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5" t="n">
        <v>0</v>
      </c>
      <c r="U490" s="15" t="n">
        <v>73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5" t="n">
        <v>0</v>
      </c>
      <c r="U491" s="15" t="n">
        <v>109</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5" t="n">
        <v>0</v>
      </c>
      <c r="U492" s="15" t="n">
        <v>109</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5" t="n">
        <v>0</v>
      </c>
      <c r="U493" s="15" t="n">
        <v>109</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5" t="n">
        <v>0</v>
      </c>
      <c r="U494" s="15" t="n">
        <v>109</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5" t="n">
        <v>697</v>
      </c>
      <c r="U495" s="15" t="n">
        <v>140</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5" t="n">
        <v>697</v>
      </c>
      <c r="U496" s="15" t="n">
        <v>140</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5" t="n">
        <v>697</v>
      </c>
      <c r="U497" s="15" t="n">
        <v>140</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697</v>
      </c>
      <c r="U498" s="15" t="n">
        <v>140</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5" t="n">
        <v>0</v>
      </c>
      <c r="U499" s="15" t="n">
        <v>32</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72</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5" t="n">
        <v>0</v>
      </c>
      <c r="U501" s="15" t="n">
        <v>72</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5" t="n">
        <v>0</v>
      </c>
      <c r="U502" s="15" t="n">
        <v>72</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5" t="n">
        <v>0</v>
      </c>
      <c r="U503" s="15" t="n">
        <v>68</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R2B</t>
        </is>
      </c>
      <c r="F504" s="12" t="inlineStr">
        <is>
          <t>R2B: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116</v>
      </c>
      <c r="U504" s="15" t="n">
        <v>78</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R2B</t>
        </is>
      </c>
      <c r="F505" s="12" t="inlineStr">
        <is>
          <t>R2B: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5" t="n">
        <v>116</v>
      </c>
      <c r="U505" s="15" t="n">
        <v>78</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R2C</t>
        </is>
      </c>
      <c r="F506" s="12" t="inlineStr">
        <is>
          <t>R2C: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5" t="n">
        <v>30</v>
      </c>
      <c r="U506" s="15" t="n">
        <v>128</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R2C</t>
        </is>
      </c>
      <c r="F507" s="12" t="inlineStr">
        <is>
          <t>R2C: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5" t="n">
        <v>30</v>
      </c>
      <c r="U507" s="15" t="n">
        <v>128</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R3</t>
        </is>
      </c>
      <c r="F508" s="12" t="inlineStr">
        <is>
          <t>R3: ST auxiliary electrical e-house (40 x 65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510</v>
      </c>
      <c r="U508" s="15" t="n">
        <v>114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R3</t>
        </is>
      </c>
      <c r="F509" s="12" t="inlineStr">
        <is>
          <t>R3: ST auxiliary electrical e-house (40 x 65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5" t="n">
        <v>510</v>
      </c>
      <c r="U509" s="15" t="n">
        <v>114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5" t="n">
        <v>446</v>
      </c>
      <c r="U510" s="15" t="n">
        <v>102</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R2B</t>
        </is>
      </c>
      <c r="F511" s="12" t="inlineStr">
        <is>
          <t>R2B: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5" t="n">
        <v>446</v>
      </c>
      <c r="U511" s="15" t="n">
        <v>102</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R2B</t>
        </is>
      </c>
      <c r="F512" s="12" t="inlineStr">
        <is>
          <t>R2B: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5" t="n">
        <v>446</v>
      </c>
      <c r="U512" s="15" t="n">
        <v>102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R2B</t>
        </is>
      </c>
      <c r="F513" s="12" t="inlineStr">
        <is>
          <t>R2B: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5" t="n">
        <v>446</v>
      </c>
      <c r="U513" s="15" t="n">
        <v>102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R2C</t>
        </is>
      </c>
      <c r="F514" s="12" t="inlineStr">
        <is>
          <t>R2C: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446</v>
      </c>
      <c r="U514" s="15" t="n">
        <v>102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5" t="n">
        <v>446</v>
      </c>
      <c r="U515" s="15" t="n">
        <v>102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R2C</t>
        </is>
      </c>
      <c r="F516" s="12" t="inlineStr">
        <is>
          <t>R2C: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5" t="n">
        <v>446</v>
      </c>
      <c r="U516" s="15" t="n">
        <v>102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R2C</t>
        </is>
      </c>
      <c r="F517" s="12" t="inlineStr">
        <is>
          <t>R2C: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5" t="n">
        <v>446</v>
      </c>
      <c r="U517" s="15" t="n">
        <v>102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R3</t>
        </is>
      </c>
      <c r="F518" s="12" t="inlineStr">
        <is>
          <t>R3: ST auxiliary electrical e-house (40 x 65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Duct bank</t>
        </is>
      </c>
      <c r="T518" s="15" t="n">
        <v>438</v>
      </c>
      <c r="U518" s="15" t="n">
        <v>75</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R3</t>
        </is>
      </c>
      <c r="F519" s="12" t="inlineStr">
        <is>
          <t>R3: ST auxiliary electrical e-house (40 x 65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Duct bank</t>
        </is>
      </c>
      <c r="T519" s="15" t="n">
        <v>438</v>
      </c>
      <c r="U519" s="15" t="n">
        <v>75</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R3</t>
        </is>
      </c>
      <c r="F520" s="12" t="inlineStr">
        <is>
          <t>R3: ST auxiliary electrical e-house (40 x 65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Duct bank</t>
        </is>
      </c>
      <c r="T520" s="15" t="n">
        <v>438</v>
      </c>
      <c r="U520" s="15" t="n">
        <v>75</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R3</t>
        </is>
      </c>
      <c r="F521" s="12" t="inlineStr">
        <is>
          <t>R3: ST auxiliary electrical e-house (40 x 65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Duct bank</t>
        </is>
      </c>
      <c r="T521" s="15" t="n">
        <v>438</v>
      </c>
      <c r="U521" s="15" t="n">
        <v>75</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5" t="n">
        <v>489</v>
      </c>
      <c r="U522" s="15" t="n">
        <v>123</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5" t="n">
        <v>489</v>
      </c>
      <c r="U523" s="15" t="n">
        <v>123</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5" t="n">
        <v>489</v>
      </c>
      <c r="U524" s="15" t="n">
        <v>123</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5" t="n">
        <v>52</v>
      </c>
      <c r="U525" s="15" t="n">
        <v>10</v>
      </c>
      <c r="V525" s="15">
        <f>ROUNDUP((T525+U525+2*'Read Me'!$B$13)*(1+'Read Me'!$B$12),-1)</f>
        <v/>
      </c>
      <c r="W525" s="15">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5" t="n">
        <v>258</v>
      </c>
      <c r="U526" s="15" t="n">
        <v>100</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5" t="n">
        <v>506</v>
      </c>
      <c r="U527" s="15" t="n">
        <v>141</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5" t="n">
        <v>506</v>
      </c>
      <c r="U528" s="15" t="n">
        <v>141</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5" t="n">
        <v>506</v>
      </c>
      <c r="U529" s="15" t="n">
        <v>141</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5" t="n">
        <v>52</v>
      </c>
      <c r="U530" s="15" t="n">
        <v>10</v>
      </c>
      <c r="V530" s="15">
        <f>ROUNDUP((T530+U530+2*'Read Me'!$B$13)*(1+'Read Me'!$B$12),-1)</f>
        <v/>
      </c>
      <c r="W530" s="15">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5" t="n">
        <v>266</v>
      </c>
      <c r="U531" s="15" t="n">
        <v>96</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5" t="n">
        <v>684</v>
      </c>
      <c r="U532" s="15" t="n">
        <v>139</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5" t="n">
        <v>684</v>
      </c>
      <c r="U533" s="15" t="n">
        <v>139</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5" t="n">
        <v>684</v>
      </c>
      <c r="U534" s="15" t="n">
        <v>139</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5" t="n">
        <v>52</v>
      </c>
      <c r="U535" s="15" t="n">
        <v>10</v>
      </c>
      <c r="V535" s="15">
        <f>ROUNDUP((T535+U535+2*'Read Me'!$B$13)*(1+'Read Me'!$B$12),-1)</f>
        <v/>
      </c>
      <c r="W535" s="15">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Tray</t>
        </is>
      </c>
      <c r="T536" s="15" t="n">
        <v>266</v>
      </c>
      <c r="U536" s="15" t="n">
        <v>96</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5" t="n">
        <v>91</v>
      </c>
      <c r="U537" s="15" t="n">
        <v>70</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5" t="n">
        <v>91</v>
      </c>
      <c r="U538" s="15" t="n">
        <v>70</v>
      </c>
      <c r="V538" s="15">
        <f>ROUNDUP((T538+U538+2*'Read Me'!$B$13)*(1+'Read Me'!$B$12),-1)</f>
        <v/>
      </c>
      <c r="W538" s="15">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5" t="n">
        <v>91</v>
      </c>
      <c r="U539" s="15" t="n">
        <v>70</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5" t="n">
        <v>91</v>
      </c>
      <c r="U540" s="15" t="n">
        <v>70</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5" t="n">
        <v>91</v>
      </c>
      <c r="U541" s="15" t="n">
        <v>70</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5" t="n">
        <v>91</v>
      </c>
      <c r="U542" s="15" t="n">
        <v>70</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5" t="n">
        <v>91</v>
      </c>
      <c r="U543" s="15" t="n">
        <v>70</v>
      </c>
      <c r="V543" s="15">
        <f>ROUNDUP((T543+U543+2*'Read Me'!$B$13)*(1+'Read Me'!$B$12),-1)</f>
        <v/>
      </c>
      <c r="W543" s="15">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5" t="n">
        <v>91</v>
      </c>
      <c r="U544" s="15" t="n">
        <v>70</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5" t="n">
        <v>91</v>
      </c>
      <c r="U545" s="15" t="n">
        <v>70</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5" t="n">
        <v>91</v>
      </c>
      <c r="U546" s="15" t="n">
        <v>70</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Tray</t>
        </is>
      </c>
      <c r="T547" s="15" t="n">
        <v>14</v>
      </c>
      <c r="U547" s="15" t="n">
        <v>78</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Tray</t>
        </is>
      </c>
      <c r="T548" s="15" t="n">
        <v>14</v>
      </c>
      <c r="U548" s="15" t="n">
        <v>78</v>
      </c>
      <c r="V548" s="15">
        <f>ROUNDUP((T548+U548+2*'Read Me'!$B$13)*(1+'Read Me'!$B$12),-1)</f>
        <v/>
      </c>
      <c r="W548" s="15">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Tray</t>
        </is>
      </c>
      <c r="T549" s="15" t="n">
        <v>14</v>
      </c>
      <c r="U549" s="15" t="n">
        <v>78</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Tray</t>
        </is>
      </c>
      <c r="T550" s="15" t="n">
        <v>14</v>
      </c>
      <c r="U550" s="15" t="n">
        <v>78</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Tray</t>
        </is>
      </c>
      <c r="T551" s="15" t="n">
        <v>14</v>
      </c>
      <c r="U551" s="15" t="n">
        <v>78</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Tray</t>
        </is>
      </c>
      <c r="T552" s="15" t="n">
        <v>14</v>
      </c>
      <c r="U552" s="15" t="n">
        <v>78</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Tray</t>
        </is>
      </c>
      <c r="T553" s="15" t="n">
        <v>14</v>
      </c>
      <c r="U553" s="15" t="n">
        <v>78</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Tray</t>
        </is>
      </c>
      <c r="T554" s="15" t="n">
        <v>14</v>
      </c>
      <c r="U554" s="15" t="n">
        <v>78</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Tray</t>
        </is>
      </c>
      <c r="T555" s="15" t="n">
        <v>14</v>
      </c>
      <c r="U555" s="15" t="n">
        <v>78</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Tray</t>
        </is>
      </c>
      <c r="T556" s="15" t="n">
        <v>14</v>
      </c>
      <c r="U556" s="15" t="n">
        <v>78</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Tray</t>
        </is>
      </c>
      <c r="T557" s="15" t="n">
        <v>14</v>
      </c>
      <c r="U557" s="15" t="n">
        <v>78</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Tray</t>
        </is>
      </c>
      <c r="T558" s="15" t="n">
        <v>14</v>
      </c>
      <c r="U558" s="15" t="n">
        <v>78</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Tray</t>
        </is>
      </c>
      <c r="T559" s="15" t="n">
        <v>14</v>
      </c>
      <c r="U559" s="15" t="n">
        <v>78</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Tray</t>
        </is>
      </c>
      <c r="T560" s="15" t="n">
        <v>14</v>
      </c>
      <c r="U560" s="15" t="n">
        <v>78</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Tray</t>
        </is>
      </c>
      <c r="T561" s="15" t="n">
        <v>14</v>
      </c>
      <c r="U561" s="15" t="n">
        <v>78</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Tray</t>
        </is>
      </c>
      <c r="T562" s="15" t="n">
        <v>14</v>
      </c>
      <c r="U562" s="15" t="n">
        <v>78</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Tray</t>
        </is>
      </c>
      <c r="T563" s="15" t="n">
        <v>14</v>
      </c>
      <c r="U563" s="15" t="n">
        <v>78</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Tray</t>
        </is>
      </c>
      <c r="T564" s="15" t="n">
        <v>14</v>
      </c>
      <c r="U564" s="15" t="n">
        <v>78</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Tray</t>
        </is>
      </c>
      <c r="T565" s="15" t="n">
        <v>14</v>
      </c>
      <c r="U565" s="15" t="n">
        <v>78</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Tray</t>
        </is>
      </c>
      <c r="T566" s="15" t="n">
        <v>14</v>
      </c>
      <c r="U566" s="15" t="n">
        <v>78</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5" t="n">
        <v>119</v>
      </c>
      <c r="U567" s="15" t="n">
        <v>10</v>
      </c>
      <c r="V567" s="15">
        <f>ROUNDUP((T567+U567+2*'Read Me'!$B$13)*(1+'Read Me'!$B$12),-1)</f>
        <v/>
      </c>
      <c r="W567" s="15">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Tray</t>
        </is>
      </c>
      <c r="T568" s="15" t="n">
        <v>14</v>
      </c>
      <c r="U568" s="15" t="n">
        <v>78</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5" t="n">
        <v>119</v>
      </c>
      <c r="U569" s="15" t="n">
        <v>10</v>
      </c>
      <c r="V569" s="15">
        <f>ROUNDUP((T569+U569+2*'Read Me'!$B$13)*(1+'Read Me'!$B$12),-1)</f>
        <v/>
      </c>
      <c r="W569" s="15">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Tray</t>
        </is>
      </c>
      <c r="T570" s="15" t="n">
        <v>14</v>
      </c>
      <c r="U570" s="15" t="n">
        <v>78</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Tray</t>
        </is>
      </c>
      <c r="T571" s="15" t="n">
        <v>465</v>
      </c>
      <c r="U571" s="15" t="n">
        <v>82</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Tray</t>
        </is>
      </c>
      <c r="T572" s="15" t="n">
        <v>465</v>
      </c>
      <c r="U572" s="15" t="n">
        <v>82</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Tray</t>
        </is>
      </c>
      <c r="T573" s="15" t="n">
        <v>465</v>
      </c>
      <c r="U573" s="15" t="n">
        <v>82</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Tray</t>
        </is>
      </c>
      <c r="T574" s="15" t="n">
        <v>465</v>
      </c>
      <c r="U574" s="15" t="n">
        <v>82</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5" t="n">
        <v>0</v>
      </c>
      <c r="U575" s="15" t="n">
        <v>86</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5" t="n">
        <v>0</v>
      </c>
      <c r="U576" s="15" t="n">
        <v>86</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5" t="n">
        <v>0</v>
      </c>
      <c r="U577" s="15" t="n">
        <v>86</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5" t="n">
        <v>0</v>
      </c>
      <c r="U578" s="15" t="n">
        <v>86</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5" t="n">
        <v>0</v>
      </c>
      <c r="U579" s="15" t="n">
        <v>86</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5" t="n">
        <v>0</v>
      </c>
      <c r="U580" s="15" t="n">
        <v>86</v>
      </c>
      <c r="V580" s="15">
        <f>ROUNDUP((T580+U580+2*'Read Me'!$B$13)*(1+'Read Me'!$B$12),-1)</f>
        <v/>
      </c>
      <c r="W580" s="15">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5" t="n">
        <v>0</v>
      </c>
      <c r="U581" s="15" t="n">
        <v>97</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5" t="n">
        <v>0</v>
      </c>
      <c r="U582" s="15" t="n">
        <v>97</v>
      </c>
      <c r="V582" s="15">
        <f>ROUNDUP((T582+U582+2*'Read Me'!$B$13)*(1+'Read Me'!$B$12),-1)</f>
        <v/>
      </c>
      <c r="W582" s="15">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5" t="n">
        <v>0</v>
      </c>
      <c r="U583" s="15" t="n">
        <v>97</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5" t="n">
        <v>0</v>
      </c>
      <c r="U584" s="15" t="n">
        <v>97</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5" t="n">
        <v>0</v>
      </c>
      <c r="U585" s="15" t="n">
        <v>97</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5" t="n">
        <v>0</v>
      </c>
      <c r="U586" s="15" t="n">
        <v>97</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5" t="n">
        <v>0</v>
      </c>
      <c r="U587" s="15" t="n">
        <v>97</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97</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97</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97</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97</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97</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2</v>
      </c>
      <c r="U593" s="15" t="n">
        <v>109</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2</v>
      </c>
      <c r="U594" s="15" t="n">
        <v>109</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2</v>
      </c>
      <c r="U595" s="15" t="n">
        <v>109</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2</v>
      </c>
      <c r="U596" s="15" t="n">
        <v>109</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2</v>
      </c>
      <c r="U597" s="15" t="n">
        <v>109</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2</v>
      </c>
      <c r="U598" s="15" t="n">
        <v>109</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5" t="n">
        <v>63</v>
      </c>
      <c r="U599" s="15" t="n">
        <v>41</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5" t="n">
        <v>63</v>
      </c>
      <c r="U600" s="15" t="n">
        <v>41</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5" t="n">
        <v>63</v>
      </c>
      <c r="U601" s="15" t="n">
        <v>41</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5" t="n">
        <v>63</v>
      </c>
      <c r="U602" s="15" t="n">
        <v>41</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5" t="n">
        <v>63</v>
      </c>
      <c r="U603" s="15" t="n">
        <v>41</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5" t="n">
        <v>63</v>
      </c>
      <c r="U604" s="15" t="n">
        <v>41</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793</v>
      </c>
      <c r="U605" s="15" t="n">
        <v>88</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5" t="n">
        <v>793</v>
      </c>
      <c r="U606" s="15" t="n">
        <v>88</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5" t="n">
        <v>793</v>
      </c>
      <c r="U607" s="15" t="n">
        <v>88</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5" t="n">
        <v>793</v>
      </c>
      <c r="U608" s="15" t="n">
        <v>88</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85</v>
      </c>
      <c r="U609" s="15" t="n">
        <v>41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85</v>
      </c>
      <c r="U610" s="15" t="n">
        <v>41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85</v>
      </c>
      <c r="U611" s="15" t="n">
        <v>41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85</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85</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85</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5" t="n">
        <v>591</v>
      </c>
      <c r="U615" s="15" t="n">
        <v>114</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5" t="n">
        <v>591</v>
      </c>
      <c r="U616" s="15" t="n">
        <v>114</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5" t="n">
        <v>591</v>
      </c>
      <c r="U617" s="15" t="n">
        <v>114</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5" t="n">
        <v>591</v>
      </c>
      <c r="U618" s="15" t="n">
        <v>114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5" t="n">
        <v>178</v>
      </c>
      <c r="U619" s="15" t="n">
        <v>94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Conduit link</t>
        </is>
      </c>
      <c r="T620" s="15" t="n">
        <v>186</v>
      </c>
      <c r="U620" s="15" t="n">
        <v>90</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Conduit link</t>
        </is>
      </c>
      <c r="T621" s="15" t="n">
        <v>186</v>
      </c>
      <c r="U621" s="15" t="n">
        <v>90</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5" t="n">
        <v>465</v>
      </c>
      <c r="U622" s="15" t="n">
        <v>103</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R2B</t>
        </is>
      </c>
      <c r="F623" s="12" t="inlineStr">
        <is>
          <t>R2B: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5" t="n">
        <v>581</v>
      </c>
      <c r="U623" s="15" t="n">
        <v>79</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R2B</t>
        </is>
      </c>
      <c r="F624" s="12" t="inlineStr">
        <is>
          <t>R2B: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5" t="n">
        <v>581</v>
      </c>
      <c r="U624" s="15" t="n">
        <v>79</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R2B</t>
        </is>
      </c>
      <c r="F625" s="12" t="inlineStr">
        <is>
          <t>R2B: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5" t="n">
        <v>581</v>
      </c>
      <c r="U625" s="15" t="n">
        <v>79</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R2B</t>
        </is>
      </c>
      <c r="F626" s="12" t="inlineStr">
        <is>
          <t>R2B: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5" t="n">
        <v>581</v>
      </c>
      <c r="U626" s="15" t="n">
        <v>79</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R2B</t>
        </is>
      </c>
      <c r="F627" s="12" t="inlineStr">
        <is>
          <t>R2B: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5" t="n">
        <v>581</v>
      </c>
      <c r="U627" s="15" t="n">
        <v>79</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R2B</t>
        </is>
      </c>
      <c r="F628" s="12" t="inlineStr">
        <is>
          <t>R2B: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581</v>
      </c>
      <c r="U628" s="15" t="n">
        <v>79</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5" t="n">
        <v>581</v>
      </c>
      <c r="U629" s="15" t="n">
        <v>79</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R2B</t>
        </is>
      </c>
      <c r="F630" s="12" t="inlineStr">
        <is>
          <t>R2B: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5" t="n">
        <v>581</v>
      </c>
      <c r="U630" s="15" t="n">
        <v>79</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R2B</t>
        </is>
      </c>
      <c r="F631" s="12" t="inlineStr">
        <is>
          <t>R2B: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581</v>
      </c>
      <c r="U631" s="15" t="n">
        <v>79</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R2B</t>
        </is>
      </c>
      <c r="F632" s="12" t="inlineStr">
        <is>
          <t>R2B: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5" t="n">
        <v>581</v>
      </c>
      <c r="U632" s="15" t="n">
        <v>79</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R2C</t>
        </is>
      </c>
      <c r="F633" s="12" t="inlineStr">
        <is>
          <t>R2C: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581</v>
      </c>
      <c r="U633" s="15" t="n">
        <v>79</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R2C</t>
        </is>
      </c>
      <c r="F634" s="12" t="inlineStr">
        <is>
          <t>R2C: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581</v>
      </c>
      <c r="U634" s="15" t="n">
        <v>79</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R2C</t>
        </is>
      </c>
      <c r="F635" s="12" t="inlineStr">
        <is>
          <t>R2C: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581</v>
      </c>
      <c r="U635" s="15" t="n">
        <v>79</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R2C</t>
        </is>
      </c>
      <c r="F636" s="12" t="inlineStr">
        <is>
          <t>R2C: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581</v>
      </c>
      <c r="U636" s="15" t="n">
        <v>79</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R2C</t>
        </is>
      </c>
      <c r="F637" s="12" t="inlineStr">
        <is>
          <t>R2C: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581</v>
      </c>
      <c r="U637" s="15" t="n">
        <v>79</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R2C</t>
        </is>
      </c>
      <c r="F638" s="12" t="inlineStr">
        <is>
          <t>R2C: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581</v>
      </c>
      <c r="U638" s="15" t="n">
        <v>79</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R2C</t>
        </is>
      </c>
      <c r="F639" s="12" t="inlineStr">
        <is>
          <t>R2C: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581</v>
      </c>
      <c r="U639" s="15" t="n">
        <v>79</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R2C</t>
        </is>
      </c>
      <c r="F640" s="12" t="inlineStr">
        <is>
          <t>R2C: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Tray</t>
        </is>
      </c>
      <c r="T640" s="15" t="n">
        <v>581</v>
      </c>
      <c r="U640" s="15" t="n">
        <v>79</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R2C</t>
        </is>
      </c>
      <c r="F641" s="12" t="inlineStr">
        <is>
          <t>R2C: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5" t="n">
        <v>581</v>
      </c>
      <c r="U641" s="15" t="n">
        <v>79</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R2C</t>
        </is>
      </c>
      <c r="F642" s="12" t="inlineStr">
        <is>
          <t>R2C: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Tray</t>
        </is>
      </c>
      <c r="T642" s="15" t="n">
        <v>581</v>
      </c>
      <c r="U642" s="15" t="n">
        <v>79</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R3</t>
        </is>
      </c>
      <c r="F643" s="12" t="inlineStr">
        <is>
          <t>R3: ST auxiliary electrical e-house (40 x 65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5" t="n">
        <v>452</v>
      </c>
      <c r="U643" s="15" t="n">
        <v>50</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R3</t>
        </is>
      </c>
      <c r="F644" s="12" t="inlineStr">
        <is>
          <t>R3: ST auxiliary electrical e-house (40 x 65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5" t="n">
        <v>452</v>
      </c>
      <c r="U644" s="15" t="n">
        <v>50</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R3</t>
        </is>
      </c>
      <c r="F645" s="12" t="inlineStr">
        <is>
          <t>R3: ST auxiliary electrical e-house (40 x 65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5" t="n">
        <v>452</v>
      </c>
      <c r="U645" s="15" t="n">
        <v>50</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R3</t>
        </is>
      </c>
      <c r="F646" s="12" t="inlineStr">
        <is>
          <t>R3: ST auxiliary electrical e-house (40 x 65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452</v>
      </c>
      <c r="U646" s="15" t="n">
        <v>50</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R3</t>
        </is>
      </c>
      <c r="F647" s="12" t="inlineStr">
        <is>
          <t>R3: ST auxiliary electrical e-house (40 x 65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452</v>
      </c>
      <c r="U647" s="15" t="n">
        <v>50</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R3</t>
        </is>
      </c>
      <c r="F648" s="12" t="inlineStr">
        <is>
          <t>R3: ST auxiliary electrical e-house (40 x 65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452</v>
      </c>
      <c r="U648" s="15" t="n">
        <v>50</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R3</t>
        </is>
      </c>
      <c r="F649" s="12" t="inlineStr">
        <is>
          <t>R3: ST auxiliary electrical e-house (40 x 65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452</v>
      </c>
      <c r="U649" s="15" t="n">
        <v>50</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R3</t>
        </is>
      </c>
      <c r="F650" s="12" t="inlineStr">
        <is>
          <t>R3: ST auxiliary electrical e-house (40 x 65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5" t="n">
        <v>452</v>
      </c>
      <c r="U650" s="15" t="n">
        <v>50</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R3</t>
        </is>
      </c>
      <c r="F651" s="12" t="inlineStr">
        <is>
          <t>R3: ST auxiliary electrical e-house (40 x 65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5" t="n">
        <v>452</v>
      </c>
      <c r="U651" s="15" t="n">
        <v>50</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R3</t>
        </is>
      </c>
      <c r="F652" s="12" t="inlineStr">
        <is>
          <t>R3: ST auxiliary electrical e-house (40 x 65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5" t="n">
        <v>452</v>
      </c>
      <c r="U652" s="15" t="n">
        <v>50</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5" t="n">
        <v>414</v>
      </c>
      <c r="U653" s="15" t="n">
        <v>117</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5" t="n">
        <v>414</v>
      </c>
      <c r="U654" s="15" t="n">
        <v>117</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5" t="n">
        <v>52</v>
      </c>
      <c r="U655" s="15" t="n">
        <v>10</v>
      </c>
      <c r="V655" s="15">
        <f>ROUNDUP((T655+U655+2*'Read Me'!$B$13)*(1+'Read Me'!$B$12),-1)</f>
        <v/>
      </c>
      <c r="W655" s="15">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5" t="n">
        <v>183</v>
      </c>
      <c r="U656" s="15" t="n">
        <v>94</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5" t="n">
        <v>431</v>
      </c>
      <c r="U657" s="15" t="n">
        <v>135</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5" t="n">
        <v>431</v>
      </c>
      <c r="U658" s="15" t="n">
        <v>135</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5" t="n">
        <v>52</v>
      </c>
      <c r="U659" s="15" t="n">
        <v>10</v>
      </c>
      <c r="V659" s="15">
        <f>ROUNDUP((T659+U659+2*'Read Me'!$B$13)*(1+'Read Me'!$B$12),-1)</f>
        <v/>
      </c>
      <c r="W659" s="15">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Conduit link</t>
        </is>
      </c>
      <c r="T660" s="15" t="n">
        <v>191</v>
      </c>
      <c r="U660" s="15" t="n">
        <v>90</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5" t="n">
        <v>609</v>
      </c>
      <c r="U661" s="15" t="n">
        <v>133</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5" t="n">
        <v>609</v>
      </c>
      <c r="U662" s="15" t="n">
        <v>133</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5" t="n">
        <v>52</v>
      </c>
      <c r="U663" s="15" t="n">
        <v>10</v>
      </c>
      <c r="V663" s="15">
        <f>ROUNDUP((T663+U663+2*'Read Me'!$B$13)*(1+'Read Me'!$B$12),-1)</f>
        <v/>
      </c>
      <c r="W663" s="15">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Conduit link</t>
        </is>
      </c>
      <c r="T664" s="15" t="n">
        <v>191</v>
      </c>
      <c r="U664" s="15" t="n">
        <v>90</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5" t="n">
        <v>900</v>
      </c>
      <c r="U665" s="15" t="n">
        <v>77</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5" t="n">
        <v>1055</v>
      </c>
      <c r="U666" s="15" t="n">
        <v>73</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5" t="n">
        <v>1220</v>
      </c>
      <c r="U667" s="15" t="n">
        <v>77</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Tray</t>
        </is>
      </c>
      <c r="T668" s="15" t="n">
        <v>931</v>
      </c>
      <c r="U668" s="15" t="n">
        <v>58</v>
      </c>
      <c r="V668" s="15">
        <f>ROUNDUP((T668+U668+2*'Read Me'!$B$13)*(1+'Read Me'!$B$12),-1)</f>
        <v/>
      </c>
      <c r="W668" s="15">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5" t="n">
        <v>1091</v>
      </c>
      <c r="U669" s="15" t="n">
        <v>58</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5" t="n">
        <v>1251</v>
      </c>
      <c r="U670" s="15" t="n">
        <v>58</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5" t="n">
        <v>1299</v>
      </c>
      <c r="U671" s="15" t="n">
        <v>86</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Tray</t>
        </is>
      </c>
      <c r="T672" s="15" t="n">
        <v>939</v>
      </c>
      <c r="U672" s="15" t="n">
        <v>61</v>
      </c>
      <c r="V672" s="15">
        <f>ROUNDUP((T672+U672+2*'Read Me'!$B$13)*(1+'Read Me'!$B$12),-1)</f>
        <v/>
      </c>
      <c r="W672" s="15">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5" t="n">
        <v>1099</v>
      </c>
      <c r="U673" s="15" t="n">
        <v>61</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5" t="n">
        <v>1259</v>
      </c>
      <c r="U674" s="15" t="n">
        <v>61</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5" t="n">
        <v>1299</v>
      </c>
      <c r="U675" s="15" t="n">
        <v>70</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5" t="n">
        <v>313</v>
      </c>
      <c r="U676" s="15" t="n">
        <v>32</v>
      </c>
      <c r="V676" s="15">
        <f>ROUNDUP((T676+U676+2*'Read Me'!$B$13)*(1+'Read Me'!$B$12),-1)</f>
        <v/>
      </c>
      <c r="W676" s="15">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5" t="n">
        <v>556</v>
      </c>
      <c r="U677" s="15" t="n">
        <v>70</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5" t="n">
        <v>971</v>
      </c>
      <c r="U678" s="15" t="n">
        <v>64</v>
      </c>
      <c r="V678" s="15">
        <f>ROUNDUP((T678+U678+2*'Read Me'!$B$13)*(1+'Read Me'!$B$12),-1)</f>
        <v/>
      </c>
      <c r="W678" s="15">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5" t="n">
        <v>1131</v>
      </c>
      <c r="U679" s="15" t="n">
        <v>64</v>
      </c>
      <c r="V679" s="15">
        <f>ROUNDUP((T679+U679+2*'Read Me'!$B$13)*(1+'Read Me'!$B$12),-1)</f>
        <v/>
      </c>
      <c r="W679" s="15">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5" t="n">
        <v>1262</v>
      </c>
      <c r="U680" s="15" t="n">
        <v>70</v>
      </c>
      <c r="V680" s="15">
        <f>ROUNDUP((T680+U680+2*'Read Me'!$B$13)*(1+'Read Me'!$B$12),-1)</f>
        <v/>
      </c>
      <c r="W680" s="15">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5" t="n">
        <v>960</v>
      </c>
      <c r="U681" s="15" t="n">
        <v>53</v>
      </c>
      <c r="V681" s="15">
        <f>ROUNDUP((T681+U681+2*'Read Me'!$B$13)*(1+'Read Me'!$B$12),-1)</f>
        <v/>
      </c>
      <c r="W681" s="15">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5" t="n">
        <v>1120</v>
      </c>
      <c r="U682" s="15" t="n">
        <v>53</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5" t="n">
        <v>1280</v>
      </c>
      <c r="U683" s="15" t="n">
        <v>53</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R2B</t>
        </is>
      </c>
      <c r="F684" s="12" t="inlineStr">
        <is>
          <t>R2B: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5" t="n">
        <v>242</v>
      </c>
      <c r="U684" s="15" t="n">
        <v>103</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R2C</t>
        </is>
      </c>
      <c r="F685" s="12" t="inlineStr">
        <is>
          <t>R2C: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5" t="n">
        <v>246</v>
      </c>
      <c r="U685" s="15" t="n">
        <v>99</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5" t="n">
        <v>277</v>
      </c>
      <c r="U686" s="15" t="n">
        <v>97</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Conduit link</t>
        </is>
      </c>
      <c r="T687" s="15" t="n">
        <v>187</v>
      </c>
      <c r="U687" s="15" t="n">
        <v>90</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R2B</t>
        </is>
      </c>
      <c r="F688" s="12" t="inlineStr">
        <is>
          <t>R2B: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5" t="n">
        <v>451</v>
      </c>
      <c r="U688" s="15" t="n">
        <v>78</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R2C</t>
        </is>
      </c>
      <c r="F689" s="12" t="inlineStr">
        <is>
          <t>R2C: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5" t="n">
        <v>451</v>
      </c>
      <c r="U689" s="15" t="n">
        <v>78</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R3</t>
        </is>
      </c>
      <c r="F690" s="12" t="inlineStr">
        <is>
          <t>R3: ST auxiliary electrical e-house (40 x 65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5" t="n">
        <v>481</v>
      </c>
      <c r="U690" s="15" t="n">
        <v>86</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5" t="n">
        <v>459</v>
      </c>
      <c r="U691" s="15" t="n">
        <v>70</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5" t="n">
        <v>154</v>
      </c>
      <c r="U692" s="15" t="n">
        <v>103</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Conduit link</t>
        </is>
      </c>
      <c r="T693" s="15" t="n">
        <v>162</v>
      </c>
      <c r="U693" s="15" t="n">
        <v>99</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Conduit link</t>
        </is>
      </c>
      <c r="T694" s="15" t="n">
        <v>162</v>
      </c>
      <c r="U694" s="15" t="n">
        <v>99</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R2B</t>
        </is>
      </c>
      <c r="F695" s="12" t="inlineStr">
        <is>
          <t>R2B: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5" t="n">
        <v>459</v>
      </c>
      <c r="U695" s="15" t="n">
        <v>81</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R2C</t>
        </is>
      </c>
      <c r="F696" s="12" t="inlineStr">
        <is>
          <t>R2C: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5" t="n">
        <v>459</v>
      </c>
      <c r="U696" s="15" t="n">
        <v>81</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R3</t>
        </is>
      </c>
      <c r="F697" s="12" t="inlineStr">
        <is>
          <t>R3: ST auxiliary electrical e-house (40 x 65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5" t="n">
        <v>489</v>
      </c>
      <c r="U697" s="15" t="n">
        <v>89</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5" t="n">
        <v>465</v>
      </c>
      <c r="U698" s="15" t="n">
        <v>73</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5" t="n">
        <v>683</v>
      </c>
      <c r="U699" s="15" t="n">
        <v>76</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5" t="n">
        <v>691</v>
      </c>
      <c r="U700" s="15" t="n">
        <v>101</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5" t="n">
        <v>691</v>
      </c>
      <c r="U701" s="15" t="n">
        <v>90</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5" t="n">
        <v>331</v>
      </c>
      <c r="U702" s="15" t="n">
        <v>137</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5" t="n">
        <v>698</v>
      </c>
      <c r="U703" s="15" t="n">
        <v>140</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R1</t>
        </is>
      </c>
      <c r="F704" s="12" t="inlineStr">
        <is>
          <t>R1: main electrical building (64 x 180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5" t="n">
        <v>0</v>
      </c>
      <c r="U704" s="15" t="n">
        <v>79</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R1</t>
        </is>
      </c>
      <c r="F705" s="12" t="inlineStr">
        <is>
          <t>R1: main electrical building (64 x 180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0</v>
      </c>
      <c r="U705" s="15" t="n">
        <v>95</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R1</t>
        </is>
      </c>
      <c r="F706" s="12" t="inlineStr">
        <is>
          <t>R1: main electrical building (64 x 180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0</v>
      </c>
      <c r="U706" s="15" t="n">
        <v>111</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Conduit link</t>
        </is>
      </c>
      <c r="T707" s="15" t="n">
        <v>153</v>
      </c>
      <c r="U707" s="15" t="n">
        <v>76</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331</v>
      </c>
      <c r="U708" s="15" t="n">
        <v>99</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683</v>
      </c>
      <c r="U709" s="15" t="n">
        <v>63</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0</v>
      </c>
      <c r="U710" s="15" t="n">
        <v>85</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5" t="n">
        <v>0</v>
      </c>
      <c r="U711" s="15" t="n">
        <v>32</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0</v>
      </c>
      <c r="U712" s="15" t="n">
        <v>72</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5" t="n">
        <v>0</v>
      </c>
      <c r="U713" s="15" t="n">
        <v>72</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5" t="n">
        <v>0</v>
      </c>
      <c r="U714" s="15" t="n">
        <v>72</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5" t="n">
        <v>0</v>
      </c>
      <c r="U715" s="15" t="n">
        <v>68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5" t="n">
        <v>258</v>
      </c>
      <c r="U716" s="15" t="n">
        <v>100</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5" t="n">
        <v>266</v>
      </c>
      <c r="U717" s="15" t="n">
        <v>96</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5" t="n">
        <v>266</v>
      </c>
      <c r="U718" s="15" t="n">
        <v>96</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5" t="n">
        <v>407</v>
      </c>
      <c r="U719" s="15" t="n">
        <v>82</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5" t="n">
        <v>416</v>
      </c>
      <c r="U720" s="15" t="n">
        <v>78</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R3</t>
        </is>
      </c>
      <c r="F721" s="12" t="inlineStr">
        <is>
          <t>R3: ST auxiliary electrical e-house (40 x 65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5" t="n">
        <v>508</v>
      </c>
      <c r="U721" s="15" t="n">
        <v>86</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Conduit link</t>
        </is>
      </c>
      <c r="T722" s="15" t="n">
        <v>187</v>
      </c>
      <c r="U722" s="15" t="n">
        <v>90</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5" t="n">
        <v>88</v>
      </c>
      <c r="U723" s="15" t="n">
        <v>10</v>
      </c>
      <c r="V723" s="15">
        <f>ROUNDUP((T723+U723+2*'Read Me'!$B$13)*(1+'Read Me'!$B$12),-1)</f>
        <v/>
      </c>
      <c r="W723" s="15">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5" t="n">
        <v>90</v>
      </c>
      <c r="U724" s="15" t="n">
        <v>70</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5" t="n">
        <v>88</v>
      </c>
      <c r="U725" s="15" t="n">
        <v>10</v>
      </c>
      <c r="V725" s="15">
        <f>ROUNDUP((T725+U725+2*'Read Me'!$B$13)*(1+'Read Me'!$B$12),-1)</f>
        <v/>
      </c>
      <c r="W725" s="15">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5" t="n">
        <v>90</v>
      </c>
      <c r="U726" s="15" t="n">
        <v>70</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5" t="n">
        <v>68</v>
      </c>
      <c r="U727" s="15" t="n">
        <v>10</v>
      </c>
      <c r="V727" s="15">
        <f>ROUNDUP((T727+U727+2*'Read Me'!$B$13)*(1+'Read Me'!$B$12),-1)</f>
        <v/>
      </c>
      <c r="W727" s="15">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R2B</t>
        </is>
      </c>
      <c r="F728" s="12" t="inlineStr">
        <is>
          <t>R2B: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5" t="n">
        <v>41</v>
      </c>
      <c r="U728" s="15" t="n">
        <v>78</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5" t="n">
        <v>68</v>
      </c>
      <c r="U729" s="15" t="n">
        <v>10</v>
      </c>
      <c r="V729" s="15">
        <f>ROUNDUP((T729+U729+2*'Read Me'!$B$13)*(1+'Read Me'!$B$12),-1)</f>
        <v/>
      </c>
      <c r="W729" s="15">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R2B</t>
        </is>
      </c>
      <c r="F730" s="12" t="inlineStr">
        <is>
          <t>R2B: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5" t="n">
        <v>41</v>
      </c>
      <c r="U730" s="15" t="n">
        <v>78</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5" t="n">
        <v>68</v>
      </c>
      <c r="U731" s="15" t="n">
        <v>10</v>
      </c>
      <c r="V731" s="15">
        <f>ROUNDUP((T731+U731+2*'Read Me'!$B$13)*(1+'Read Me'!$B$12),-1)</f>
        <v/>
      </c>
      <c r="W731" s="15">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R2B</t>
        </is>
      </c>
      <c r="F732" s="12" t="inlineStr">
        <is>
          <t>R2B: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5" t="n">
        <v>41</v>
      </c>
      <c r="U732" s="15" t="n">
        <v>78</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5" t="n">
        <v>68</v>
      </c>
      <c r="U733" s="15" t="n">
        <v>10</v>
      </c>
      <c r="V733" s="15">
        <f>ROUNDUP((T733+U733+2*'Read Me'!$B$13)*(1+'Read Me'!$B$12),-1)</f>
        <v/>
      </c>
      <c r="W733" s="15">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R2B</t>
        </is>
      </c>
      <c r="F734" s="12" t="inlineStr">
        <is>
          <t>R2B: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5" t="n">
        <v>41</v>
      </c>
      <c r="U734" s="15" t="n">
        <v>78</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5" t="n">
        <v>68</v>
      </c>
      <c r="U735" s="15" t="n">
        <v>10</v>
      </c>
      <c r="V735" s="15">
        <f>ROUNDUP((T735+U735+2*'Read Me'!$B$13)*(1+'Read Me'!$B$12),-1)</f>
        <v/>
      </c>
      <c r="W735" s="15">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R2B</t>
        </is>
      </c>
      <c r="F736" s="12" t="inlineStr">
        <is>
          <t>R2B: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5" t="n">
        <v>41</v>
      </c>
      <c r="U736" s="15" t="n">
        <v>78</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5" t="n">
        <v>68</v>
      </c>
      <c r="U737" s="15" t="n">
        <v>10</v>
      </c>
      <c r="V737" s="15">
        <f>ROUNDUP((T737+U737+2*'Read Me'!$B$13)*(1+'Read Me'!$B$12),-1)</f>
        <v/>
      </c>
      <c r="W737" s="15">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R2B</t>
        </is>
      </c>
      <c r="F738" s="12" t="inlineStr">
        <is>
          <t>R2B: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5" t="n">
        <v>41</v>
      </c>
      <c r="U738" s="15" t="n">
        <v>78</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5" t="n">
        <v>68</v>
      </c>
      <c r="U739" s="15" t="n">
        <v>10</v>
      </c>
      <c r="V739" s="15">
        <f>ROUNDUP((T739+U739+2*'Read Me'!$B$13)*(1+'Read Me'!$B$12),-1)</f>
        <v/>
      </c>
      <c r="W739" s="15">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R2C</t>
        </is>
      </c>
      <c r="F740" s="12" t="inlineStr">
        <is>
          <t>R2C: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5" t="n">
        <v>43</v>
      </c>
      <c r="U740" s="15" t="n">
        <v>78</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5" t="n">
        <v>68</v>
      </c>
      <c r="U741" s="15" t="n">
        <v>10</v>
      </c>
      <c r="V741" s="15">
        <f>ROUNDUP((T741+U741+2*'Read Me'!$B$13)*(1+'Read Me'!$B$12),-1)</f>
        <v/>
      </c>
      <c r="W741" s="15">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R2C</t>
        </is>
      </c>
      <c r="F742" s="12" t="inlineStr">
        <is>
          <t>R2C: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5" t="n">
        <v>43</v>
      </c>
      <c r="U742" s="15" t="n">
        <v>78</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5" t="n">
        <v>68</v>
      </c>
      <c r="U743" s="15" t="n">
        <v>10</v>
      </c>
      <c r="V743" s="15">
        <f>ROUNDUP((T743+U743+2*'Read Me'!$B$13)*(1+'Read Me'!$B$12),-1)</f>
        <v/>
      </c>
      <c r="W743" s="15">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R2C</t>
        </is>
      </c>
      <c r="F744" s="12" t="inlineStr">
        <is>
          <t>R2C: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5" t="n">
        <v>43</v>
      </c>
      <c r="U744" s="15" t="n">
        <v>78</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5" t="n">
        <v>68</v>
      </c>
      <c r="U745" s="15" t="n">
        <v>10</v>
      </c>
      <c r="V745" s="15">
        <f>ROUNDUP((T745+U745+2*'Read Me'!$B$13)*(1+'Read Me'!$B$12),-1)</f>
        <v/>
      </c>
      <c r="W745" s="15">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R2C</t>
        </is>
      </c>
      <c r="F746" s="12" t="inlineStr">
        <is>
          <t>R2C: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5" t="n">
        <v>43</v>
      </c>
      <c r="U746" s="15" t="n">
        <v>78</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5" t="n">
        <v>68</v>
      </c>
      <c r="U747" s="15" t="n">
        <v>10</v>
      </c>
      <c r="V747" s="15">
        <f>ROUNDUP((T747+U747+2*'Read Me'!$B$13)*(1+'Read Me'!$B$12),-1)</f>
        <v/>
      </c>
      <c r="W747" s="15">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R2C</t>
        </is>
      </c>
      <c r="F748" s="12" t="inlineStr">
        <is>
          <t>R2C: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5" t="n">
        <v>43</v>
      </c>
      <c r="U748" s="15" t="n">
        <v>78</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5" t="n">
        <v>68</v>
      </c>
      <c r="U749" s="15" t="n">
        <v>10</v>
      </c>
      <c r="V749" s="15">
        <f>ROUNDUP((T749+U749+2*'Read Me'!$B$13)*(1+'Read Me'!$B$12),-1)</f>
        <v/>
      </c>
      <c r="W749" s="15">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R2C</t>
        </is>
      </c>
      <c r="F750" s="12" t="inlineStr">
        <is>
          <t>R2C: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5" t="n">
        <v>43</v>
      </c>
      <c r="U750" s="15" t="n">
        <v>78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5" t="n">
        <v>68</v>
      </c>
      <c r="U751" s="15" t="n">
        <v>10</v>
      </c>
      <c r="V751" s="15">
        <f>ROUNDUP((T751+U751+2*'Read Me'!$B$13)*(1+'Read Me'!$B$12),-1)</f>
        <v/>
      </c>
      <c r="W751" s="15">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R3</t>
        </is>
      </c>
      <c r="F752" s="12" t="inlineStr">
        <is>
          <t>R3: ST auxiliary electrical e-house (40 x 65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5" t="n">
        <v>585</v>
      </c>
      <c r="U752" s="15" t="n">
        <v>114</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5" t="n">
        <v>68</v>
      </c>
      <c r="U753" s="15" t="n">
        <v>10</v>
      </c>
      <c r="V753" s="15">
        <f>ROUNDUP((T753+U753+2*'Read Me'!$B$13)*(1+'Read Me'!$B$12),-1)</f>
        <v/>
      </c>
      <c r="W753" s="15">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R3</t>
        </is>
      </c>
      <c r="F754" s="12" t="inlineStr">
        <is>
          <t>R3: ST auxiliary electrical e-house (40 x 65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5" t="n">
        <v>585</v>
      </c>
      <c r="U754" s="15" t="n">
        <v>114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5" t="n">
        <v>68</v>
      </c>
      <c r="U755" s="15" t="n">
        <v>10</v>
      </c>
      <c r="V755" s="15">
        <f>ROUNDUP((T755+U755+2*'Read Me'!$B$13)*(1+'Read Me'!$B$12),-1)</f>
        <v/>
      </c>
      <c r="W755" s="15">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R3</t>
        </is>
      </c>
      <c r="F756" s="12" t="inlineStr">
        <is>
          <t>R3: ST auxiliary electrical e-house (40 x 65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5" t="n">
        <v>585</v>
      </c>
      <c r="U756" s="15" t="n">
        <v>114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5" t="n">
        <v>68</v>
      </c>
      <c r="U757" s="15" t="n">
        <v>10</v>
      </c>
      <c r="V757" s="15">
        <f>ROUNDUP((T757+U757+2*'Read Me'!$B$13)*(1+'Read Me'!$B$12),-1)</f>
        <v/>
      </c>
      <c r="W757" s="15">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R3</t>
        </is>
      </c>
      <c r="F758" s="12" t="inlineStr">
        <is>
          <t>R3: ST auxiliary electrical e-house (40 x 65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5" t="n">
        <v>585</v>
      </c>
      <c r="U758" s="15" t="n">
        <v>114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5" t="n">
        <v>68</v>
      </c>
      <c r="U759" s="15" t="n">
        <v>10</v>
      </c>
      <c r="V759" s="15">
        <f>ROUNDUP((T759+U759+2*'Read Me'!$B$13)*(1+'Read Me'!$B$12),-1)</f>
        <v/>
      </c>
      <c r="W759" s="15">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R3</t>
        </is>
      </c>
      <c r="F760" s="12" t="inlineStr">
        <is>
          <t>R3: ST auxiliary electrical e-house (40 x 65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5" t="n">
        <v>585</v>
      </c>
      <c r="U760" s="15" t="n">
        <v>114</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5" t="n">
        <v>68</v>
      </c>
      <c r="U761" s="15" t="n">
        <v>10</v>
      </c>
      <c r="V761" s="15">
        <f>ROUNDUP((T761+U761+2*'Read Me'!$B$13)*(1+'Read Me'!$B$12),-1)</f>
        <v/>
      </c>
      <c r="W761" s="15">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R3</t>
        </is>
      </c>
      <c r="F762" s="12" t="inlineStr">
        <is>
          <t>R3: ST auxiliary electrical e-house (40 x 65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5" t="n">
        <v>585</v>
      </c>
      <c r="U762" s="15" t="n">
        <v>114</v>
      </c>
      <c r="V762" s="15">
        <f>ROUNDUP((T762+U762+2*'Read Me'!$B$13)*(1+'Read Me'!$B$12),-1)</f>
        <v/>
      </c>
      <c r="W762" s="15">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5" t="n">
        <v>45</v>
      </c>
      <c r="U763" s="15" t="n">
        <v>10</v>
      </c>
      <c r="V763" s="15">
        <f>ROUNDUP((T763+U763+2*'Read Me'!$B$13)*(1+'Read Me'!$B$12),-1)</f>
        <v/>
      </c>
      <c r="W763" s="15">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R2B</t>
        </is>
      </c>
      <c r="F764" s="12" t="inlineStr">
        <is>
          <t>R2B: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5" t="n">
        <v>242</v>
      </c>
      <c r="U764" s="15" t="n">
        <v>103</v>
      </c>
      <c r="V764" s="15">
        <f>ROUNDUP((T764+U764+2*'Read Me'!$B$13)*(1+'Read Me'!$B$12),-1)</f>
        <v/>
      </c>
      <c r="W764" s="15">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5" t="n">
        <v>45</v>
      </c>
      <c r="U765" s="15" t="n">
        <v>10</v>
      </c>
      <c r="V765" s="15">
        <f>ROUNDUP((T765+U765+2*'Read Me'!$B$13)*(1+'Read Me'!$B$12),-1)</f>
        <v/>
      </c>
      <c r="W765" s="15">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R2B</t>
        </is>
      </c>
      <c r="F766" s="12" t="inlineStr">
        <is>
          <t>R2B: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5" t="n">
        <v>242</v>
      </c>
      <c r="U766" s="15" t="n">
        <v>103</v>
      </c>
      <c r="V766" s="15">
        <f>ROUNDUP((T766+U766+2*'Read Me'!$B$13)*(1+'Read Me'!$B$12),-1)</f>
        <v/>
      </c>
      <c r="W766" s="15">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5" t="n">
        <v>45</v>
      </c>
      <c r="U767" s="15" t="n">
        <v>10</v>
      </c>
      <c r="V767" s="15">
        <f>ROUNDUP((T767+U767+2*'Read Me'!$B$13)*(1+'Read Me'!$B$12),-1)</f>
        <v/>
      </c>
      <c r="W767" s="15">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R2C</t>
        </is>
      </c>
      <c r="F768" s="12" t="inlineStr">
        <is>
          <t>R2C: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5" t="n">
        <v>246</v>
      </c>
      <c r="U768" s="15" t="n">
        <v>99</v>
      </c>
      <c r="V768" s="15">
        <f>ROUNDUP((T768+U768+2*'Read Me'!$B$13)*(1+'Read Me'!$B$12),-1)</f>
        <v/>
      </c>
      <c r="W768" s="15">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5" t="n">
        <v>45</v>
      </c>
      <c r="U769" s="15" t="n">
        <v>10</v>
      </c>
      <c r="V769" s="15">
        <f>ROUNDUP((T769+U769+2*'Read Me'!$B$13)*(1+'Read Me'!$B$12),-1)</f>
        <v/>
      </c>
      <c r="W769" s="15">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R2C</t>
        </is>
      </c>
      <c r="F770" s="12" t="inlineStr">
        <is>
          <t>R2C: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5" t="n">
        <v>246</v>
      </c>
      <c r="U770" s="15" t="n">
        <v>99</v>
      </c>
      <c r="V770" s="15">
        <f>ROUNDUP((T770+U770+2*'Read Me'!$B$13)*(1+'Read Me'!$B$12),-1)</f>
        <v/>
      </c>
      <c r="W770" s="15">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5" t="n">
        <v>45</v>
      </c>
      <c r="U771" s="15" t="n">
        <v>10</v>
      </c>
      <c r="V771" s="15">
        <f>ROUNDUP((T771+U771+2*'Read Me'!$B$13)*(1+'Read Me'!$B$12),-1)</f>
        <v/>
      </c>
      <c r="W771" s="15">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5" t="n">
        <v>277</v>
      </c>
      <c r="U772" s="15" t="n">
        <v>97</v>
      </c>
      <c r="V772" s="15">
        <f>ROUNDUP((T772+U772+2*'Read Me'!$B$13)*(1+'Read Me'!$B$12),-1)</f>
        <v/>
      </c>
      <c r="W772" s="15">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5" t="n">
        <v>45</v>
      </c>
      <c r="U773" s="15" t="n">
        <v>10</v>
      </c>
      <c r="V773" s="15">
        <f>ROUNDUP((T773+U773+2*'Read Me'!$B$13)*(1+'Read Me'!$B$12),-1)</f>
        <v/>
      </c>
      <c r="W773" s="15">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5" t="n">
        <v>277</v>
      </c>
      <c r="U774" s="15" t="n">
        <v>97</v>
      </c>
      <c r="V774" s="15">
        <f>ROUNDUP((T774+U774+2*'Read Me'!$B$13)*(1+'Read Me'!$B$12),-1)</f>
        <v/>
      </c>
      <c r="W774" s="15">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5" t="n">
        <v>75</v>
      </c>
      <c r="U775" s="15" t="n">
        <v>10</v>
      </c>
      <c r="V775" s="15">
        <f>ROUNDUP((T775+U775+2*'Read Me'!$B$13)*(1+'Read Me'!$B$12),-1)</f>
        <v/>
      </c>
      <c r="W775" s="15">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5" t="n">
        <v>230</v>
      </c>
      <c r="U776" s="15" t="n">
        <v>53</v>
      </c>
      <c r="V776" s="15">
        <f>ROUNDUP((T776+U776+2*'Read Me'!$B$13)*(1+'Read Me'!$B$12),-1)</f>
        <v/>
      </c>
      <c r="W776" s="15">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5" t="n">
        <v>75</v>
      </c>
      <c r="U777" s="15" t="n">
        <v>10</v>
      </c>
      <c r="V777" s="15">
        <f>ROUNDUP((T777+U777+2*'Read Me'!$B$13)*(1+'Read Me'!$B$12),-1)</f>
        <v/>
      </c>
      <c r="W777" s="15">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5" t="n">
        <v>230</v>
      </c>
      <c r="U778" s="15" t="n">
        <v>53</v>
      </c>
      <c r="V778" s="15">
        <f>ROUNDUP((T778+U778+2*'Read Me'!$B$13)*(1+'Read Me'!$B$12),-1)</f>
        <v/>
      </c>
      <c r="W778" s="15">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5" t="n">
        <v>53</v>
      </c>
      <c r="U779" s="15" t="n">
        <v>10</v>
      </c>
      <c r="V779" s="15">
        <f>ROUNDUP((T779+U779+2*'Read Me'!$B$13)*(1+'Read Me'!$B$12),-1)</f>
        <v/>
      </c>
      <c r="W779" s="15">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5" t="n">
        <v>36</v>
      </c>
      <c r="U780" s="15" t="n">
        <v>102</v>
      </c>
      <c r="V780" s="15">
        <f>ROUNDUP((T780+U780+2*'Read Me'!$B$13)*(1+'Read Me'!$B$12),-1)</f>
        <v/>
      </c>
      <c r="W780" s="15">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5" t="n">
        <v>53</v>
      </c>
      <c r="U781" s="15" t="n">
        <v>10</v>
      </c>
      <c r="V781" s="15">
        <f>ROUNDUP((T781+U781+2*'Read Me'!$B$13)*(1+'Read Me'!$B$12),-1)</f>
        <v/>
      </c>
      <c r="W781" s="15">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5" t="n">
        <v>36</v>
      </c>
      <c r="U782" s="15" t="n">
        <v>102</v>
      </c>
      <c r="V782" s="15">
        <f>ROUNDUP((T782+U782+2*'Read Me'!$B$13)*(1+'Read Me'!$B$12),-1)</f>
        <v/>
      </c>
      <c r="W782" s="15">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5" t="n">
        <v>437</v>
      </c>
      <c r="U783" s="15" t="n">
        <v>62</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5" t="n">
        <v>437</v>
      </c>
      <c r="U784" s="15" t="n">
        <v>62</v>
      </c>
      <c r="V784" s="15">
        <f>ROUNDUP((T784+U784+2*'Read Me'!$B$13)*(1+'Read Me'!$B$12),-1)</f>
        <v/>
      </c>
      <c r="W784" s="15">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5" t="n">
        <v>437</v>
      </c>
      <c r="U785" s="15" t="n">
        <v>62</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5" t="n">
        <v>437</v>
      </c>
      <c r="U786" s="15" t="n">
        <v>62</v>
      </c>
      <c r="V786" s="15">
        <f>ROUNDUP((T786+U786+2*'Read Me'!$B$13)*(1+'Read Me'!$B$12),-1)</f>
        <v/>
      </c>
      <c r="W786" s="15">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5" t="n">
        <v>437</v>
      </c>
      <c r="U787" s="15" t="n">
        <v>62</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5" t="n">
        <v>437</v>
      </c>
      <c r="U788" s="15" t="n">
        <v>62</v>
      </c>
      <c r="V788" s="15">
        <f>ROUNDUP((T788+U788+2*'Read Me'!$B$13)*(1+'Read Me'!$B$12),-1)</f>
        <v/>
      </c>
      <c r="W788" s="15">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5" t="n">
        <v>437</v>
      </c>
      <c r="U789" s="15" t="n">
        <v>62</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5" t="n">
        <v>437</v>
      </c>
      <c r="U790" s="15" t="n">
        <v>62</v>
      </c>
      <c r="V790" s="15">
        <f>ROUNDUP((T790+U790+2*'Read Me'!$B$13)*(1+'Read Me'!$B$12),-1)</f>
        <v/>
      </c>
      <c r="W790" s="15">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5" t="n">
        <v>437</v>
      </c>
      <c r="U791" s="15" t="n">
        <v>62</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5" t="n">
        <v>437</v>
      </c>
      <c r="U792" s="15" t="n">
        <v>62</v>
      </c>
      <c r="V792" s="15">
        <f>ROUNDUP((T792+U792+2*'Read Me'!$B$13)*(1+'Read Me'!$B$12),-1)</f>
        <v/>
      </c>
      <c r="W792" s="15">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5" t="n">
        <v>446</v>
      </c>
      <c r="U793" s="15" t="n">
        <v>58</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5" t="n">
        <v>446</v>
      </c>
      <c r="U794" s="15" t="n">
        <v>58</v>
      </c>
      <c r="V794" s="15">
        <f>ROUNDUP((T794+U794+2*'Read Me'!$B$13)*(1+'Read Me'!$B$12),-1)</f>
        <v/>
      </c>
      <c r="W794" s="15">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5" t="n">
        <v>446</v>
      </c>
      <c r="U795" s="15" t="n">
        <v>58</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5" t="n">
        <v>446</v>
      </c>
      <c r="U796" s="15" t="n">
        <v>58</v>
      </c>
      <c r="V796" s="15">
        <f>ROUNDUP((T796+U796+2*'Read Me'!$B$13)*(1+'Read Me'!$B$12),-1)</f>
        <v/>
      </c>
      <c r="W796" s="15">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5" t="n">
        <v>446</v>
      </c>
      <c r="U797" s="15" t="n">
        <v>58</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5" t="n">
        <v>446</v>
      </c>
      <c r="U798" s="15" t="n">
        <v>58</v>
      </c>
      <c r="V798" s="15">
        <f>ROUNDUP((T798+U798+2*'Read Me'!$B$13)*(1+'Read Me'!$B$12),-1)</f>
        <v/>
      </c>
      <c r="W798" s="15">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5" t="n">
        <v>446</v>
      </c>
      <c r="U799" s="15" t="n">
        <v>58</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5" t="n">
        <v>446</v>
      </c>
      <c r="U800" s="15" t="n">
        <v>58</v>
      </c>
      <c r="V800" s="15">
        <f>ROUNDUP((T800+U800+2*'Read Me'!$B$13)*(1+'Read Me'!$B$12),-1)</f>
        <v/>
      </c>
      <c r="W800" s="15">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5" t="n">
        <v>446</v>
      </c>
      <c r="U801" s="15" t="n">
        <v>58</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5" t="n">
        <v>446</v>
      </c>
      <c r="U802" s="15" t="n">
        <v>58</v>
      </c>
      <c r="V802" s="15">
        <f>ROUNDUP((T802+U802+2*'Read Me'!$B$13)*(1+'Read Me'!$B$12),-1)</f>
        <v/>
      </c>
      <c r="W802" s="15">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Tray</t>
        </is>
      </c>
      <c r="T803" s="15" t="n">
        <v>446</v>
      </c>
      <c r="U803" s="15" t="n">
        <v>58</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Tray</t>
        </is>
      </c>
      <c r="T804" s="15" t="n">
        <v>446</v>
      </c>
      <c r="U804" s="15" t="n">
        <v>58</v>
      </c>
      <c r="V804" s="15">
        <f>ROUNDUP((T804+U804+2*'Read Me'!$B$13)*(1+'Read Me'!$B$12),-1)</f>
        <v/>
      </c>
      <c r="W804" s="15">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5" t="n">
        <v>446</v>
      </c>
      <c r="U805" s="15" t="n">
        <v>58</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5" t="n">
        <v>446</v>
      </c>
      <c r="U806" s="15" t="n">
        <v>58</v>
      </c>
      <c r="V806" s="15">
        <f>ROUNDUP((T806+U806+2*'Read Me'!$B$13)*(1+'Read Me'!$B$12),-1)</f>
        <v/>
      </c>
      <c r="W806" s="15">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5" t="n">
        <v>446</v>
      </c>
      <c r="U807" s="15" t="n">
        <v>58</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Tray</t>
        </is>
      </c>
      <c r="T808" s="15" t="n">
        <v>446</v>
      </c>
      <c r="U808" s="15" t="n">
        <v>58</v>
      </c>
      <c r="V808" s="15">
        <f>ROUNDUP((T808+U808+2*'Read Me'!$B$13)*(1+'Read Me'!$B$12),-1)</f>
        <v/>
      </c>
      <c r="W808" s="15">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Tray</t>
        </is>
      </c>
      <c r="T809" s="15" t="n">
        <v>446</v>
      </c>
      <c r="U809" s="15" t="n">
        <v>58</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Tray</t>
        </is>
      </c>
      <c r="T810" s="15" t="n">
        <v>446</v>
      </c>
      <c r="U810" s="15" t="n">
        <v>58</v>
      </c>
      <c r="V810" s="15">
        <f>ROUNDUP((T810+U810+2*'Read Me'!$B$13)*(1+'Read Me'!$B$12),-1)</f>
        <v/>
      </c>
      <c r="W810" s="15">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5" t="n">
        <v>446</v>
      </c>
      <c r="U811" s="15" t="n">
        <v>58</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5" t="n">
        <v>446</v>
      </c>
      <c r="U812" s="15" t="n">
        <v>58</v>
      </c>
      <c r="V812" s="15">
        <f>ROUNDUP((T812+U812+2*'Read Me'!$B$13)*(1+'Read Me'!$B$12),-1)</f>
        <v/>
      </c>
      <c r="W812" s="15">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5" t="n">
        <v>41</v>
      </c>
      <c r="U813" s="15" t="n">
        <v>10</v>
      </c>
      <c r="V813" s="15">
        <f>ROUNDUP((T813+U813+2*'Read Me'!$B$13)*(1+'Read Me'!$B$12),-1)</f>
        <v/>
      </c>
      <c r="W813" s="15">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R2B</t>
        </is>
      </c>
      <c r="F814" s="12" t="inlineStr">
        <is>
          <t>R2B: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5" t="n">
        <v>451</v>
      </c>
      <c r="U814" s="15" t="n">
        <v>78</v>
      </c>
      <c r="V814" s="15">
        <f>ROUNDUP((T814+U814+2*'Read Me'!$B$13)*(1+'Read Me'!$B$12),-1)</f>
        <v/>
      </c>
      <c r="W814" s="15">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5" t="n">
        <v>41</v>
      </c>
      <c r="U815" s="15" t="n">
        <v>10</v>
      </c>
      <c r="V815" s="15">
        <f>ROUNDUP((T815+U815+2*'Read Me'!$B$13)*(1+'Read Me'!$B$12),-1)</f>
        <v/>
      </c>
      <c r="W815" s="15">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R2B</t>
        </is>
      </c>
      <c r="F816" s="12" t="inlineStr">
        <is>
          <t>R2B: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5" t="n">
        <v>451</v>
      </c>
      <c r="U816" s="15" t="n">
        <v>78</v>
      </c>
      <c r="V816" s="15">
        <f>ROUNDUP((T816+U816+2*'Read Me'!$B$13)*(1+'Read Me'!$B$12),-1)</f>
        <v/>
      </c>
      <c r="W816" s="15">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5" t="n">
        <v>41</v>
      </c>
      <c r="U817" s="15" t="n">
        <v>10</v>
      </c>
      <c r="V817" s="15">
        <f>ROUNDUP((T817+U817+2*'Read Me'!$B$13)*(1+'Read Me'!$B$12),-1)</f>
        <v/>
      </c>
      <c r="W817" s="15">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R2C</t>
        </is>
      </c>
      <c r="F818" s="12" t="inlineStr">
        <is>
          <t>R2C: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5" t="n">
        <v>451</v>
      </c>
      <c r="U818" s="15" t="n">
        <v>78</v>
      </c>
      <c r="V818" s="15">
        <f>ROUNDUP((T818+U818+2*'Read Me'!$B$13)*(1+'Read Me'!$B$12),-1)</f>
        <v/>
      </c>
      <c r="W818" s="15">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5" t="n">
        <v>41</v>
      </c>
      <c r="U819" s="15" t="n">
        <v>10</v>
      </c>
      <c r="V819" s="15">
        <f>ROUNDUP((T819+U819+2*'Read Me'!$B$13)*(1+'Read Me'!$B$12),-1)</f>
        <v/>
      </c>
      <c r="W819" s="15">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R2C</t>
        </is>
      </c>
      <c r="F820" s="12" t="inlineStr">
        <is>
          <t>R2C: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5" t="n">
        <v>451</v>
      </c>
      <c r="U820" s="15" t="n">
        <v>78</v>
      </c>
      <c r="V820" s="15">
        <f>ROUNDUP((T820+U820+2*'Read Me'!$B$13)*(1+'Read Me'!$B$12),-1)</f>
        <v/>
      </c>
      <c r="W820" s="15">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5" t="n">
        <v>41</v>
      </c>
      <c r="U821" s="15" t="n">
        <v>10</v>
      </c>
      <c r="V821" s="15">
        <f>ROUNDUP((T821+U821+2*'Read Me'!$B$13)*(1+'Read Me'!$B$12),-1)</f>
        <v/>
      </c>
      <c r="W821" s="15">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R3</t>
        </is>
      </c>
      <c r="F822" s="12" t="inlineStr">
        <is>
          <t>R3: ST auxiliary electrical e-house (40 x 65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Tray</t>
        </is>
      </c>
      <c r="T822" s="15" t="n">
        <v>481</v>
      </c>
      <c r="U822" s="15" t="n">
        <v>86</v>
      </c>
      <c r="V822" s="15">
        <f>ROUNDUP((T822+U822+2*'Read Me'!$B$13)*(1+'Read Me'!$B$12),-1)</f>
        <v/>
      </c>
      <c r="W822" s="15">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5" t="n">
        <v>41</v>
      </c>
      <c r="U823" s="15" t="n">
        <v>10</v>
      </c>
      <c r="V823" s="15">
        <f>ROUNDUP((T823+U823+2*'Read Me'!$B$13)*(1+'Read Me'!$B$12),-1)</f>
        <v/>
      </c>
      <c r="W823" s="15">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R3</t>
        </is>
      </c>
      <c r="F824" s="12" t="inlineStr">
        <is>
          <t>R3: ST auxiliary electrical e-house (40 x 65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Tray</t>
        </is>
      </c>
      <c r="T824" s="15" t="n">
        <v>481</v>
      </c>
      <c r="U824" s="15" t="n">
        <v>86</v>
      </c>
      <c r="V824" s="15">
        <f>ROUNDUP((T824+U824+2*'Read Me'!$B$13)*(1+'Read Me'!$B$12),-1)</f>
        <v/>
      </c>
      <c r="W824" s="15">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5" t="n">
        <v>41</v>
      </c>
      <c r="U825" s="15" t="n">
        <v>10</v>
      </c>
      <c r="V825" s="15">
        <f>ROUNDUP((T825+U825+2*'Read Me'!$B$13)*(1+'Read Me'!$B$12),-1)</f>
        <v/>
      </c>
      <c r="W825" s="15">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5" t="n">
        <v>459</v>
      </c>
      <c r="U826" s="15" t="n">
        <v>70</v>
      </c>
      <c r="V826" s="15">
        <f>ROUNDUP((T826+U826+2*'Read Me'!$B$13)*(1+'Read Me'!$B$12),-1)</f>
        <v/>
      </c>
      <c r="W826" s="15">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5" t="n">
        <v>41</v>
      </c>
      <c r="U827" s="15" t="n">
        <v>10</v>
      </c>
      <c r="V827" s="15">
        <f>ROUNDUP((T827+U827+2*'Read Me'!$B$13)*(1+'Read Me'!$B$12),-1)</f>
        <v/>
      </c>
      <c r="W827" s="15">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5" t="n">
        <v>459</v>
      </c>
      <c r="U828" s="15" t="n">
        <v>70</v>
      </c>
      <c r="V828" s="15">
        <f>ROUNDUP((T828+U828+2*'Read Me'!$B$13)*(1+'Read Me'!$B$12),-1)</f>
        <v/>
      </c>
      <c r="W828" s="15">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5" t="n">
        <v>140</v>
      </c>
      <c r="U829" s="15" t="n">
        <v>10</v>
      </c>
      <c r="V829" s="15">
        <f>ROUNDUP((T829+U829+2*'Read Me'!$B$13)*(1+'Read Me'!$B$12),-1)</f>
        <v/>
      </c>
      <c r="W829" s="15">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5" t="n">
        <v>407</v>
      </c>
      <c r="U830" s="15" t="n">
        <v>62</v>
      </c>
      <c r="V830" s="15">
        <f>ROUNDUP((T830+U830+2*'Read Me'!$B$13)*(1+'Read Me'!$B$12),-1)</f>
        <v/>
      </c>
      <c r="W830" s="15">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5" t="n">
        <v>140</v>
      </c>
      <c r="U831" s="15" t="n">
        <v>10</v>
      </c>
      <c r="V831" s="15">
        <f>ROUNDUP((T831+U831+2*'Read Me'!$B$13)*(1+'Read Me'!$B$12),-1)</f>
        <v/>
      </c>
      <c r="W831" s="15">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5" t="n">
        <v>407</v>
      </c>
      <c r="U832" s="15" t="n">
        <v>62</v>
      </c>
      <c r="V832" s="15">
        <f>ROUNDUP((T832+U832+2*'Read Me'!$B$13)*(1+'Read Me'!$B$12),-1)</f>
        <v/>
      </c>
      <c r="W832" s="15">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5" t="n">
        <v>140</v>
      </c>
      <c r="U833" s="15" t="n">
        <v>10</v>
      </c>
      <c r="V833" s="15">
        <f>ROUNDUP((T833+U833+2*'Read Me'!$B$13)*(1+'Read Me'!$B$12),-1)</f>
        <v/>
      </c>
      <c r="W833" s="15">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5" t="n">
        <v>407</v>
      </c>
      <c r="U834" s="15" t="n">
        <v>62</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5" t="n">
        <v>140</v>
      </c>
      <c r="U835" s="15" t="n">
        <v>10</v>
      </c>
      <c r="V835" s="15">
        <f>ROUNDUP((T835+U835+2*'Read Me'!$B$13)*(1+'Read Me'!$B$12),-1)</f>
        <v/>
      </c>
      <c r="W835" s="15">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5" t="n">
        <v>416</v>
      </c>
      <c r="U836" s="15" t="n">
        <v>58</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5" t="n">
        <v>140</v>
      </c>
      <c r="U837" s="15" t="n">
        <v>10</v>
      </c>
      <c r="V837" s="15">
        <f>ROUNDUP((T837+U837+2*'Read Me'!$B$13)*(1+'Read Me'!$B$12),-1)</f>
        <v/>
      </c>
      <c r="W837" s="15">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5" t="n">
        <v>416</v>
      </c>
      <c r="U838" s="15" t="n">
        <v>58</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5" t="n">
        <v>140</v>
      </c>
      <c r="U839" s="15" t="n">
        <v>10</v>
      </c>
      <c r="V839" s="15">
        <f>ROUNDUP((T839+U839+2*'Read Me'!$B$13)*(1+'Read Me'!$B$12),-1)</f>
        <v/>
      </c>
      <c r="W839" s="15">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5" t="n">
        <v>416</v>
      </c>
      <c r="U840" s="15" t="n">
        <v>58</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5" t="n">
        <v>140</v>
      </c>
      <c r="U841" s="15" t="n">
        <v>10</v>
      </c>
      <c r="V841" s="15">
        <f>ROUNDUP((T841+U841+2*'Read Me'!$B$13)*(1+'Read Me'!$B$12),-1)</f>
        <v/>
      </c>
      <c r="W841" s="15">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R3</t>
        </is>
      </c>
      <c r="F842" s="12" t="inlineStr">
        <is>
          <t>R3: ST auxiliary electrical e-house (40 x 65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5" t="n">
        <v>508</v>
      </c>
      <c r="U842" s="15" t="n">
        <v>66</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5" t="n">
        <v>140</v>
      </c>
      <c r="U843" s="15" t="n">
        <v>10</v>
      </c>
      <c r="V843" s="15">
        <f>ROUNDUP((T843+U843+2*'Read Me'!$B$13)*(1+'Read Me'!$B$12),-1)</f>
        <v/>
      </c>
      <c r="W843" s="15">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R3</t>
        </is>
      </c>
      <c r="F844" s="12" t="inlineStr">
        <is>
          <t>R3: ST auxiliary electrical e-house (40 x 65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5" t="n">
        <v>508</v>
      </c>
      <c r="U844" s="15" t="n">
        <v>66</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5" t="n">
        <v>140</v>
      </c>
      <c r="U845" s="15" t="n">
        <v>10</v>
      </c>
      <c r="V845" s="15">
        <f>ROUNDUP((T845+U845+2*'Read Me'!$B$13)*(1+'Read Me'!$B$12),-1)</f>
        <v/>
      </c>
      <c r="W845" s="15">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R3</t>
        </is>
      </c>
      <c r="F846" s="12" t="inlineStr">
        <is>
          <t>R3: ST auxiliary electrical e-house (40 x 65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5" t="n">
        <v>508</v>
      </c>
      <c r="U846" s="15" t="n">
        <v>66</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5" t="n">
        <v>54</v>
      </c>
      <c r="U847" s="15" t="n">
        <v>10</v>
      </c>
      <c r="V847" s="15">
        <f>ROUNDUP((T847+U847+2*'Read Me'!$B$13)*(1+'Read Me'!$B$12),-1)</f>
        <v/>
      </c>
      <c r="W847" s="15">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R2B</t>
        </is>
      </c>
      <c r="F848" s="12" t="inlineStr">
        <is>
          <t>R2B: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Conduit link</t>
        </is>
      </c>
      <c r="T848" s="15" t="n">
        <v>222</v>
      </c>
      <c r="U848" s="15" t="n">
        <v>100</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5" t="n">
        <v>54</v>
      </c>
      <c r="U849" s="15" t="n">
        <v>10</v>
      </c>
      <c r="V849" s="15">
        <f>ROUNDUP((T849+U849+2*'Read Me'!$B$13)*(1+'Read Me'!$B$12),-1)</f>
        <v/>
      </c>
      <c r="W849" s="15">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R2B</t>
        </is>
      </c>
      <c r="F850" s="12" t="inlineStr">
        <is>
          <t>R2B: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Conduit link</t>
        </is>
      </c>
      <c r="T850" s="15" t="n">
        <v>222</v>
      </c>
      <c r="U850" s="15" t="n">
        <v>100</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5" t="n">
        <v>54</v>
      </c>
      <c r="U851" s="15" t="n">
        <v>10</v>
      </c>
      <c r="V851" s="15">
        <f>ROUNDUP((T851+U851+2*'Read Me'!$B$13)*(1+'Read Me'!$B$12),-1)</f>
        <v/>
      </c>
      <c r="W851" s="15">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R2C</t>
        </is>
      </c>
      <c r="F852" s="12" t="inlineStr">
        <is>
          <t>R2C: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Conduit link</t>
        </is>
      </c>
      <c r="T852" s="15" t="n">
        <v>222</v>
      </c>
      <c r="U852" s="15" t="n">
        <v>100</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5" t="n">
        <v>54</v>
      </c>
      <c r="U853" s="15" t="n">
        <v>10</v>
      </c>
      <c r="V853" s="15">
        <f>ROUNDUP((T853+U853+2*'Read Me'!$B$13)*(1+'Read Me'!$B$12),-1)</f>
        <v/>
      </c>
      <c r="W853" s="15">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R2C</t>
        </is>
      </c>
      <c r="F854" s="12" t="inlineStr">
        <is>
          <t>R2C: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Conduit link</t>
        </is>
      </c>
      <c r="T854" s="15" t="n">
        <v>222</v>
      </c>
      <c r="U854" s="15" t="n">
        <v>100</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5" t="n">
        <v>54</v>
      </c>
      <c r="U855" s="15" t="n">
        <v>10</v>
      </c>
      <c r="V855" s="15">
        <f>ROUNDUP((T855+U855+2*'Read Me'!$B$13)*(1+'Read Me'!$B$12),-1)</f>
        <v/>
      </c>
      <c r="W855" s="15">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R3</t>
        </is>
      </c>
      <c r="F856" s="12" t="inlineStr">
        <is>
          <t>R3: ST auxiliary electrical e-house (40 x 65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5" t="n">
        <v>162</v>
      </c>
      <c r="U856" s="15" t="n">
        <v>96</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5" t="n">
        <v>54</v>
      </c>
      <c r="U857" s="15" t="n">
        <v>10</v>
      </c>
      <c r="V857" s="15">
        <f>ROUNDUP((T857+U857+2*'Read Me'!$B$13)*(1+'Read Me'!$B$12),-1)</f>
        <v/>
      </c>
      <c r="W857" s="15">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R3</t>
        </is>
      </c>
      <c r="F858" s="12" t="inlineStr">
        <is>
          <t>R3: ST auxiliary electrical e-house (40 x 65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5" t="n">
        <v>162</v>
      </c>
      <c r="U858" s="15" t="n">
        <v>96</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5" t="n">
        <v>47</v>
      </c>
      <c r="U859" s="15" t="n">
        <v>10</v>
      </c>
      <c r="V859" s="15">
        <f>ROUNDUP((T859+U859+2*'Read Me'!$B$13)*(1+'Read Me'!$B$12),-1)</f>
        <v/>
      </c>
      <c r="W859" s="15">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5" t="n">
        <v>407</v>
      </c>
      <c r="U860" s="15" t="n">
        <v>74</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5" t="n">
        <v>47</v>
      </c>
      <c r="U861" s="15" t="n">
        <v>10</v>
      </c>
      <c r="V861" s="15">
        <f>ROUNDUP((T861+U861+2*'Read Me'!$B$13)*(1+'Read Me'!$B$12),-1)</f>
        <v/>
      </c>
      <c r="W861" s="15">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5" t="n">
        <v>416</v>
      </c>
      <c r="U862" s="15" t="n">
        <v>70</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5" t="n">
        <v>47</v>
      </c>
      <c r="U863" s="15" t="n">
        <v>10</v>
      </c>
      <c r="V863" s="15">
        <f>ROUNDUP((T863+U863+2*'Read Me'!$B$13)*(1+'Read Me'!$B$12),-1)</f>
        <v/>
      </c>
      <c r="W863" s="15">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R3</t>
        </is>
      </c>
      <c r="F864" s="12" t="inlineStr">
        <is>
          <t>R3: ST auxiliary electrical e-house (40 x 65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5" t="n">
        <v>508</v>
      </c>
      <c r="U864" s="15" t="n">
        <v>78</v>
      </c>
      <c r="V864" s="15">
        <f>ROUNDUP((T864+U864+2*'Read Me'!$B$13)*(1+'Read Me'!$B$12),-1)</f>
        <v/>
      </c>
      <c r="W864" s="15">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5" t="n">
        <v>47</v>
      </c>
      <c r="U865" s="15" t="n">
        <v>10</v>
      </c>
      <c r="V865" s="15">
        <f>ROUNDUP((T865+U865+2*'Read Me'!$B$13)*(1+'Read Me'!$B$12),-1)</f>
        <v/>
      </c>
      <c r="W865" s="15">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Duct bank</t>
        </is>
      </c>
      <c r="T866" s="15" t="n">
        <v>438</v>
      </c>
      <c r="U866" s="15" t="n">
        <v>85</v>
      </c>
      <c r="V866" s="15">
        <f>ROUNDUP((T866+U866+2*'Read Me'!$B$13)*(1+'Read Me'!$B$12),-1)</f>
        <v/>
      </c>
      <c r="W866" s="15">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5" t="n">
        <v>70</v>
      </c>
      <c r="U867" s="15" t="n">
        <v>10</v>
      </c>
      <c r="V867" s="15">
        <f>ROUNDUP((T867+U867+2*'Read Me'!$B$13)*(1+'Read Me'!$B$12),-1)</f>
        <v/>
      </c>
      <c r="W867" s="15">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R2B</t>
        </is>
      </c>
      <c r="F868" s="12" t="inlineStr">
        <is>
          <t>R2B: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Conduit link</t>
        </is>
      </c>
      <c r="T868" s="15" t="n">
        <v>200</v>
      </c>
      <c r="U868" s="15" t="n">
        <v>90</v>
      </c>
      <c r="V868" s="15">
        <f>ROUNDUP((T868+U868+2*'Read Me'!$B$13)*(1+'Read Me'!$B$12),-1)</f>
        <v/>
      </c>
      <c r="W868" s="15">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5" t="n">
        <v>70</v>
      </c>
      <c r="U869" s="15" t="n">
        <v>10</v>
      </c>
      <c r="V869" s="15">
        <f>ROUNDUP((T869+U869+2*'Read Me'!$B$13)*(1+'Read Me'!$B$12),-1)</f>
        <v/>
      </c>
      <c r="W869" s="15">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R2B</t>
        </is>
      </c>
      <c r="F870" s="12" t="inlineStr">
        <is>
          <t>R2B: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Conduit link</t>
        </is>
      </c>
      <c r="T870" s="15" t="n">
        <v>200</v>
      </c>
      <c r="U870" s="15" t="n">
        <v>90</v>
      </c>
      <c r="V870" s="15">
        <f>ROUNDUP((T870+U870+2*'Read Me'!$B$13)*(1+'Read Me'!$B$12),-1)</f>
        <v/>
      </c>
      <c r="W870" s="15">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5" t="n">
        <v>70</v>
      </c>
      <c r="U871" s="15" t="n">
        <v>10</v>
      </c>
      <c r="V871" s="15">
        <f>ROUNDUP((T871+U871+2*'Read Me'!$B$13)*(1+'Read Me'!$B$12),-1)</f>
        <v/>
      </c>
      <c r="W871" s="15">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R2C</t>
        </is>
      </c>
      <c r="F872" s="12" t="inlineStr">
        <is>
          <t>R2C: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Conduit link</t>
        </is>
      </c>
      <c r="T872" s="15" t="n">
        <v>200</v>
      </c>
      <c r="U872" s="15" t="n">
        <v>90</v>
      </c>
      <c r="V872" s="15">
        <f>ROUNDUP((T872+U872+2*'Read Me'!$B$13)*(1+'Read Me'!$B$12),-1)</f>
        <v/>
      </c>
      <c r="W872" s="15">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5" t="n">
        <v>70</v>
      </c>
      <c r="U873" s="15" t="n">
        <v>10</v>
      </c>
      <c r="V873" s="15">
        <f>ROUNDUP((T873+U873+2*'Read Me'!$B$13)*(1+'Read Me'!$B$12),-1)</f>
        <v/>
      </c>
      <c r="W873" s="15">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R2C</t>
        </is>
      </c>
      <c r="F874" s="12" t="inlineStr">
        <is>
          <t>R2C: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Conduit link</t>
        </is>
      </c>
      <c r="T874" s="15" t="n">
        <v>200</v>
      </c>
      <c r="U874" s="15" t="n">
        <v>90</v>
      </c>
      <c r="V874" s="15">
        <f>ROUNDUP((T874+U874+2*'Read Me'!$B$13)*(1+'Read Me'!$B$12),-1)</f>
        <v/>
      </c>
      <c r="W874" s="15">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5" t="n">
        <v>70</v>
      </c>
      <c r="U875" s="15" t="n">
        <v>10</v>
      </c>
      <c r="V875" s="15">
        <f>ROUNDUP((T875+U875+2*'Read Me'!$B$13)*(1+'Read Me'!$B$12),-1)</f>
        <v/>
      </c>
      <c r="W875" s="15">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R3</t>
        </is>
      </c>
      <c r="F876" s="12" t="inlineStr">
        <is>
          <t>R3: ST auxiliary electrical e-house (40 x 65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5" t="n">
        <v>150</v>
      </c>
      <c r="U876" s="15" t="n">
        <v>70</v>
      </c>
      <c r="V876" s="15">
        <f>ROUNDUP((T876+U876+2*'Read Me'!$B$13)*(1+'Read Me'!$B$12),-1)</f>
        <v/>
      </c>
      <c r="W876" s="15">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5" t="n">
        <v>70</v>
      </c>
      <c r="U877" s="15" t="n">
        <v>10</v>
      </c>
      <c r="V877" s="15">
        <f>ROUNDUP((T877+U877+2*'Read Me'!$B$13)*(1+'Read Me'!$B$12),-1)</f>
        <v/>
      </c>
      <c r="W877" s="15">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R3</t>
        </is>
      </c>
      <c r="F878" s="12" t="inlineStr">
        <is>
          <t>R3: ST auxiliary electrical e-house (40 x 65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5" t="n">
        <v>150</v>
      </c>
      <c r="U878" s="15" t="n">
        <v>70</v>
      </c>
      <c r="V878" s="15">
        <f>ROUNDUP((T878+U878+2*'Read Me'!$B$13)*(1+'Read Me'!$B$12),-1)</f>
        <v/>
      </c>
      <c r="W878" s="15">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5" t="n">
        <v>55</v>
      </c>
      <c r="U879" s="15" t="n">
        <v>10</v>
      </c>
      <c r="V879" s="15">
        <f>ROUNDUP((T879+U879+2*'Read Me'!$B$13)*(1+'Read Me'!$B$12),-1)</f>
        <v/>
      </c>
      <c r="W879" s="15">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5" t="n">
        <v>91</v>
      </c>
      <c r="U880" s="15" t="n">
        <v>113</v>
      </c>
      <c r="V880" s="15">
        <f>ROUNDUP((T880+U880+2*'Read Me'!$B$13)*(1+'Read Me'!$B$12),-1)</f>
        <v/>
      </c>
      <c r="W880" s="15">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5" t="n">
        <v>55</v>
      </c>
      <c r="U881" s="15" t="n">
        <v>10</v>
      </c>
      <c r="V881" s="15">
        <f>ROUNDUP((T881+U881+2*'Read Me'!$B$13)*(1+'Read Me'!$B$12),-1)</f>
        <v/>
      </c>
      <c r="W881" s="15">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5" t="n">
        <v>91</v>
      </c>
      <c r="U882" s="15" t="n">
        <v>113</v>
      </c>
      <c r="V882" s="15">
        <f>ROUNDUP((T882+U882+2*'Read Me'!$B$13)*(1+'Read Me'!$B$12),-1)</f>
        <v/>
      </c>
      <c r="W882" s="15">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5" t="n">
        <v>63</v>
      </c>
      <c r="U883" s="15" t="n">
        <v>10</v>
      </c>
      <c r="V883" s="15">
        <f>ROUNDUP((T883+U883+2*'Read Me'!$B$13)*(1+'Read Me'!$B$12),-1)</f>
        <v/>
      </c>
      <c r="W883" s="15">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5" t="n">
        <v>437</v>
      </c>
      <c r="U884" s="15" t="n">
        <v>100</v>
      </c>
      <c r="V884" s="15">
        <f>ROUNDUP((T884+U884+2*'Read Me'!$B$13)*(1+'Read Me'!$B$12),-1)</f>
        <v/>
      </c>
      <c r="W884" s="15">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5" t="n">
        <v>63</v>
      </c>
      <c r="U885" s="15" t="n">
        <v>10</v>
      </c>
      <c r="V885" s="15">
        <f>ROUNDUP((T885+U885+2*'Read Me'!$B$13)*(1+'Read Me'!$B$12),-1)</f>
        <v/>
      </c>
      <c r="W885" s="15">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5" t="n">
        <v>437</v>
      </c>
      <c r="U886" s="15" t="n">
        <v>100</v>
      </c>
      <c r="V886" s="15">
        <f>ROUNDUP((T886+U886+2*'Read Me'!$B$13)*(1+'Read Me'!$B$12),-1)</f>
        <v/>
      </c>
      <c r="W886" s="15">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5" t="n">
        <v>83</v>
      </c>
      <c r="U887" s="15" t="n">
        <v>10</v>
      </c>
      <c r="V887" s="15">
        <f>ROUNDUP((T887+U887+2*'Read Me'!$B$13)*(1+'Read Me'!$B$12),-1)</f>
        <v/>
      </c>
      <c r="W887" s="15">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5" t="n">
        <v>395</v>
      </c>
      <c r="U888" s="15" t="n">
        <v>130</v>
      </c>
      <c r="V888" s="15">
        <f>ROUNDUP((T888+U888+2*'Read Me'!$B$13)*(1+'Read Me'!$B$12),-1)</f>
        <v/>
      </c>
      <c r="W888" s="15">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5" t="n">
        <v>83</v>
      </c>
      <c r="U889" s="15" t="n">
        <v>10</v>
      </c>
      <c r="V889" s="15">
        <f>ROUNDUP((T889+U889+2*'Read Me'!$B$13)*(1+'Read Me'!$B$12),-1)</f>
        <v/>
      </c>
      <c r="W889" s="15">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5" t="n">
        <v>395</v>
      </c>
      <c r="U890" s="15" t="n">
        <v>130</v>
      </c>
      <c r="V890" s="15">
        <f>ROUNDUP((T890+U890+2*'Read Me'!$B$13)*(1+'Read Me'!$B$12),-1)</f>
        <v/>
      </c>
      <c r="W890" s="15">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5" t="n">
        <v>63</v>
      </c>
      <c r="U891" s="15" t="n">
        <v>10</v>
      </c>
      <c r="V891" s="15">
        <f>ROUNDUP((T891+U891+2*'Read Me'!$B$13)*(1+'Read Me'!$B$12),-1)</f>
        <v/>
      </c>
      <c r="W891" s="15">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5" t="n">
        <v>446</v>
      </c>
      <c r="U892" s="15" t="n">
        <v>96</v>
      </c>
      <c r="V892" s="15">
        <f>ROUNDUP((T892+U892+2*'Read Me'!$B$13)*(1+'Read Me'!$B$12),-1)</f>
        <v/>
      </c>
      <c r="W892" s="15">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5" t="n">
        <v>63</v>
      </c>
      <c r="U893" s="15" t="n">
        <v>10</v>
      </c>
      <c r="V893" s="15">
        <f>ROUNDUP((T893+U893+2*'Read Me'!$B$13)*(1+'Read Me'!$B$12),-1)</f>
        <v/>
      </c>
      <c r="W893" s="15">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5" t="n">
        <v>446</v>
      </c>
      <c r="U894" s="15" t="n">
        <v>96</v>
      </c>
      <c r="V894" s="15">
        <f>ROUNDUP((T894+U894+2*'Read Me'!$B$13)*(1+'Read Me'!$B$12),-1)</f>
        <v/>
      </c>
      <c r="W894" s="15">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5" t="n">
        <v>83</v>
      </c>
      <c r="U895" s="15" t="n">
        <v>10</v>
      </c>
      <c r="V895" s="15">
        <f>ROUNDUP((T895+U895+2*'Read Me'!$B$13)*(1+'Read Me'!$B$12),-1)</f>
        <v/>
      </c>
      <c r="W895" s="15">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Tray</t>
        </is>
      </c>
      <c r="T896" s="15" t="n">
        <v>403</v>
      </c>
      <c r="U896" s="15" t="n">
        <v>126</v>
      </c>
      <c r="V896" s="15">
        <f>ROUNDUP((T896+U896+2*'Read Me'!$B$13)*(1+'Read Me'!$B$12),-1)</f>
        <v/>
      </c>
      <c r="W896" s="15">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5" t="n">
        <v>83</v>
      </c>
      <c r="U897" s="15" t="n">
        <v>10</v>
      </c>
      <c r="V897" s="15">
        <f>ROUNDUP((T897+U897+2*'Read Me'!$B$13)*(1+'Read Me'!$B$12),-1)</f>
        <v/>
      </c>
      <c r="W897" s="15">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5" t="n">
        <v>403</v>
      </c>
      <c r="U898" s="15" t="n">
        <v>126</v>
      </c>
      <c r="V898" s="15">
        <f>ROUNDUP((T898+U898+2*'Read Me'!$B$13)*(1+'Read Me'!$B$12),-1)</f>
        <v/>
      </c>
      <c r="W898" s="15">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5" t="n">
        <v>63</v>
      </c>
      <c r="U899" s="15" t="n">
        <v>10</v>
      </c>
      <c r="V899" s="15">
        <f>ROUNDUP((T899+U899+2*'Read Me'!$B$13)*(1+'Read Me'!$B$12),-1)</f>
        <v/>
      </c>
      <c r="W899" s="15">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R3</t>
        </is>
      </c>
      <c r="F900" s="12" t="inlineStr">
        <is>
          <t>R3: ST auxiliary electrical e-house (40 x 65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5" t="n">
        <v>489</v>
      </c>
      <c r="U900" s="15" t="n">
        <v>64</v>
      </c>
      <c r="V900" s="15">
        <f>ROUNDUP((T900+U900+2*'Read Me'!$B$13)*(1+'Read Me'!$B$12),-1)</f>
        <v/>
      </c>
      <c r="W900" s="15">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5" t="n">
        <v>63</v>
      </c>
      <c r="U901" s="15" t="n">
        <v>10</v>
      </c>
      <c r="V901" s="15">
        <f>ROUNDUP((T901+U901+2*'Read Me'!$B$13)*(1+'Read Me'!$B$12),-1)</f>
        <v/>
      </c>
      <c r="W901" s="15">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R3</t>
        </is>
      </c>
      <c r="F902" s="12" t="inlineStr">
        <is>
          <t>R3: ST auxiliary electrical e-house (40 x 65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5" t="n">
        <v>489</v>
      </c>
      <c r="U902" s="15" t="n">
        <v>64</v>
      </c>
      <c r="V902" s="15">
        <f>ROUNDUP((T902+U902+2*'Read Me'!$B$13)*(1+'Read Me'!$B$12),-1)</f>
        <v/>
      </c>
      <c r="W902" s="15">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5" t="n">
        <v>83</v>
      </c>
      <c r="U903" s="15" t="n">
        <v>10</v>
      </c>
      <c r="V903" s="15">
        <f>ROUNDUP((T903+U903+2*'Read Me'!$B$13)*(1+'Read Me'!$B$12),-1)</f>
        <v/>
      </c>
      <c r="W903" s="15">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R3</t>
        </is>
      </c>
      <c r="F904" s="12" t="inlineStr">
        <is>
          <t>R3: ST auxiliary electrical e-house (40 x 65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5" t="n">
        <v>452</v>
      </c>
      <c r="U904" s="15" t="n">
        <v>67</v>
      </c>
      <c r="V904" s="15">
        <f>ROUNDUP((T904+U904+2*'Read Me'!$B$13)*(1+'Read Me'!$B$12),-1)</f>
        <v/>
      </c>
      <c r="W904" s="15">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5" t="n">
        <v>83</v>
      </c>
      <c r="U905" s="15" t="n">
        <v>10</v>
      </c>
      <c r="V905" s="15">
        <f>ROUNDUP((T905+U905+2*'Read Me'!$B$13)*(1+'Read Me'!$B$12),-1)</f>
        <v/>
      </c>
      <c r="W905" s="15">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R3</t>
        </is>
      </c>
      <c r="F906" s="12" t="inlineStr">
        <is>
          <t>R3: ST auxiliary electrical e-house (40 x 65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5" t="n">
        <v>452</v>
      </c>
      <c r="U906" s="15" t="n">
        <v>67</v>
      </c>
      <c r="V906" s="15">
        <f>ROUNDUP((T906+U906+2*'Read Me'!$B$13)*(1+'Read Me'!$B$12),-1)</f>
        <v/>
      </c>
      <c r="W906" s="15">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5" t="n">
        <v>63</v>
      </c>
      <c r="U907" s="15" t="n">
        <v>10</v>
      </c>
      <c r="V907" s="15">
        <f>ROUNDUP((T907+U907+2*'Read Me'!$B$13)*(1+'Read Me'!$B$12),-1)</f>
        <v/>
      </c>
      <c r="W907" s="15">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5" t="n">
        <v>399</v>
      </c>
      <c r="U908" s="15" t="n">
        <v>73</v>
      </c>
      <c r="V908" s="15">
        <f>ROUNDUP((T908+U908+2*'Read Me'!$B$13)*(1+'Read Me'!$B$12),-1)</f>
        <v/>
      </c>
      <c r="W908" s="15">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5" t="n">
        <v>63</v>
      </c>
      <c r="U909" s="15" t="n">
        <v>10</v>
      </c>
      <c r="V909" s="15">
        <f>ROUNDUP((T909+U909+2*'Read Me'!$B$13)*(1+'Read Me'!$B$12),-1)</f>
        <v/>
      </c>
      <c r="W909" s="15">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5" t="n">
        <v>399</v>
      </c>
      <c r="U910" s="15" t="n">
        <v>73</v>
      </c>
      <c r="V910" s="15">
        <f>ROUNDUP((T910+U910+2*'Read Me'!$B$13)*(1+'Read Me'!$B$12),-1)</f>
        <v/>
      </c>
      <c r="W910" s="15">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5" t="n">
        <v>89</v>
      </c>
      <c r="U911" s="15" t="n">
        <v>10</v>
      </c>
      <c r="V911" s="15">
        <f>ROUNDUP((T911+U911+2*'Read Me'!$B$13)*(1+'Read Me'!$B$12),-1)</f>
        <v/>
      </c>
      <c r="W911" s="15">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5" t="n">
        <v>387</v>
      </c>
      <c r="U912" s="15" t="n">
        <v>58</v>
      </c>
      <c r="V912" s="15">
        <f>ROUNDUP((T912+U912+2*'Read Me'!$B$13)*(1+'Read Me'!$B$12),-1)</f>
        <v/>
      </c>
      <c r="W912" s="15">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5" t="n">
        <v>89</v>
      </c>
      <c r="U913" s="15" t="n">
        <v>10</v>
      </c>
      <c r="V913" s="15">
        <f>ROUNDUP((T913+U913+2*'Read Me'!$B$13)*(1+'Read Me'!$B$12),-1)</f>
        <v/>
      </c>
      <c r="W913" s="15">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5" t="n">
        <v>387</v>
      </c>
      <c r="U914" s="15" t="n">
        <v>58</v>
      </c>
      <c r="V914" s="15">
        <f>ROUNDUP((T914+U914+2*'Read Me'!$B$13)*(1+'Read Me'!$B$12),-1)</f>
        <v/>
      </c>
      <c r="W914" s="15">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5" t="n">
        <v>62</v>
      </c>
      <c r="U915" s="15" t="n">
        <v>10</v>
      </c>
      <c r="V915" s="15">
        <f>ROUNDUP((T915+U915+2*'Read Me'!$B$13)*(1+'Read Me'!$B$12),-1)</f>
        <v/>
      </c>
      <c r="W915" s="15">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R2B</t>
        </is>
      </c>
      <c r="F916" s="12" t="inlineStr">
        <is>
          <t>R2B: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Conduit link</t>
        </is>
      </c>
      <c r="T916" s="15" t="n">
        <v>236</v>
      </c>
      <c r="U916" s="15" t="n">
        <v>115</v>
      </c>
      <c r="V916" s="15">
        <f>ROUNDUP((T916+U916+2*'Read Me'!$B$13)*(1+'Read Me'!$B$12),-1)</f>
        <v/>
      </c>
      <c r="W916" s="15">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5" t="n">
        <v>62</v>
      </c>
      <c r="U917" s="15" t="n">
        <v>10</v>
      </c>
      <c r="V917" s="15">
        <f>ROUNDUP((T917+U917+2*'Read Me'!$B$13)*(1+'Read Me'!$B$12),-1)</f>
        <v/>
      </c>
      <c r="W917" s="15">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R2B</t>
        </is>
      </c>
      <c r="F918" s="12" t="inlineStr">
        <is>
          <t>R2B: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Conduit link</t>
        </is>
      </c>
      <c r="T918" s="15" t="n">
        <v>236</v>
      </c>
      <c r="U918" s="15" t="n">
        <v>115</v>
      </c>
      <c r="V918" s="15">
        <f>ROUNDUP((T918+U918+2*'Read Me'!$B$13)*(1+'Read Me'!$B$12),-1)</f>
        <v/>
      </c>
      <c r="W918" s="15">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5" t="n">
        <v>62</v>
      </c>
      <c r="U919" s="15" t="n">
        <v>10</v>
      </c>
      <c r="V919" s="15">
        <f>ROUNDUP((T919+U919+2*'Read Me'!$B$13)*(1+'Read Me'!$B$12),-1)</f>
        <v/>
      </c>
      <c r="W919" s="15">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R2B</t>
        </is>
      </c>
      <c r="F920" s="12" t="inlineStr">
        <is>
          <t>R2B: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Conduit link</t>
        </is>
      </c>
      <c r="T920" s="15" t="n">
        <v>236</v>
      </c>
      <c r="U920" s="15" t="n">
        <v>115</v>
      </c>
      <c r="V920" s="15">
        <f>ROUNDUP((T920+U920+2*'Read Me'!$B$13)*(1+'Read Me'!$B$12),-1)</f>
        <v/>
      </c>
      <c r="W920" s="15">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5" t="n">
        <v>62</v>
      </c>
      <c r="U921" s="15" t="n">
        <v>10</v>
      </c>
      <c r="V921" s="15">
        <f>ROUNDUP((T921+U921+2*'Read Me'!$B$13)*(1+'Read Me'!$B$12),-1)</f>
        <v/>
      </c>
      <c r="W921" s="15">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R2B</t>
        </is>
      </c>
      <c r="F922" s="12" t="inlineStr">
        <is>
          <t>R2B: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Conduit link</t>
        </is>
      </c>
      <c r="T922" s="15" t="n">
        <v>236</v>
      </c>
      <c r="U922" s="15" t="n">
        <v>115</v>
      </c>
      <c r="V922" s="15">
        <f>ROUNDUP((T922+U922+2*'Read Me'!$B$13)*(1+'Read Me'!$B$12),-1)</f>
        <v/>
      </c>
      <c r="W922" s="15">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5" t="n">
        <v>132</v>
      </c>
      <c r="U923" s="15" t="n">
        <v>10</v>
      </c>
      <c r="V923" s="15">
        <f>ROUNDUP((T923+U923+2*'Read Me'!$B$13)*(1+'Read Me'!$B$12),-1)</f>
        <v/>
      </c>
      <c r="W923" s="15">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R2B</t>
        </is>
      </c>
      <c r="F924" s="12" t="inlineStr">
        <is>
          <t>R2B: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5" t="n">
        <v>478</v>
      </c>
      <c r="U924" s="15" t="n">
        <v>74</v>
      </c>
      <c r="V924" s="15">
        <f>ROUNDUP((T924+U924+2*'Read Me'!$B$13)*(1+'Read Me'!$B$12),-1)</f>
        <v/>
      </c>
      <c r="W924" s="15">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5" t="n">
        <v>132</v>
      </c>
      <c r="U925" s="15" t="n">
        <v>10</v>
      </c>
      <c r="V925" s="15">
        <f>ROUNDUP((T925+U925+2*'Read Me'!$B$13)*(1+'Read Me'!$B$12),-1)</f>
        <v/>
      </c>
      <c r="W925" s="15">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R2B</t>
        </is>
      </c>
      <c r="F926" s="12" t="inlineStr">
        <is>
          <t>R2B: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5" t="n">
        <v>478</v>
      </c>
      <c r="U926" s="15" t="n">
        <v>74</v>
      </c>
      <c r="V926" s="15">
        <f>ROUNDUP((T926+U926+2*'Read Me'!$B$13)*(1+'Read Me'!$B$12),-1)</f>
        <v/>
      </c>
      <c r="W926" s="15">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5" t="n">
        <v>96</v>
      </c>
      <c r="U927" s="15" t="n">
        <v>10</v>
      </c>
      <c r="V927" s="15">
        <f>ROUNDUP((T927+U927+2*'Read Me'!$B$13)*(1+'Read Me'!$B$12),-1)</f>
        <v/>
      </c>
      <c r="W927" s="15">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5" t="n">
        <v>154</v>
      </c>
      <c r="U928" s="15" t="n">
        <v>103</v>
      </c>
      <c r="V928" s="15">
        <f>ROUNDUP((T928+U928+2*'Read Me'!$B$13)*(1+'Read Me'!$B$12),-1)</f>
        <v/>
      </c>
      <c r="W928" s="15">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5" t="n">
        <v>96</v>
      </c>
      <c r="U929" s="15" t="n">
        <v>10</v>
      </c>
      <c r="V929" s="15">
        <f>ROUNDUP((T929+U929+2*'Read Me'!$B$13)*(1+'Read Me'!$B$12),-1)</f>
        <v/>
      </c>
      <c r="W929" s="15">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5" t="n">
        <v>154</v>
      </c>
      <c r="U930" s="15" t="n">
        <v>103</v>
      </c>
      <c r="V930" s="15">
        <f>ROUNDUP((T930+U930+2*'Read Me'!$B$13)*(1+'Read Me'!$B$12),-1)</f>
        <v/>
      </c>
      <c r="W930" s="15">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5" t="n">
        <v>96</v>
      </c>
      <c r="U931" s="15" t="n">
        <v>10</v>
      </c>
      <c r="V931" s="15">
        <f>ROUNDUP((T931+U931+2*'Read Me'!$B$13)*(1+'Read Me'!$B$12),-1)</f>
        <v/>
      </c>
      <c r="W931" s="15">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5" t="n">
        <v>154</v>
      </c>
      <c r="U932" s="15" t="n">
        <v>103</v>
      </c>
      <c r="V932" s="15">
        <f>ROUNDUP((T932+U932+2*'Read Me'!$B$13)*(1+'Read Me'!$B$12),-1)</f>
        <v/>
      </c>
      <c r="W932" s="15">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5" t="n">
        <v>96</v>
      </c>
      <c r="U933" s="15" t="n">
        <v>10</v>
      </c>
      <c r="V933" s="15">
        <f>ROUNDUP((T933+U933+2*'Read Me'!$B$13)*(1+'Read Me'!$B$12),-1)</f>
        <v/>
      </c>
      <c r="W933" s="15">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5" t="n">
        <v>154</v>
      </c>
      <c r="U934" s="15" t="n">
        <v>103</v>
      </c>
      <c r="V934" s="15">
        <f>ROUNDUP((T934+U934+2*'Read Me'!$B$13)*(1+'Read Me'!$B$12),-1)</f>
        <v/>
      </c>
      <c r="W934" s="15">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5" t="n">
        <v>96</v>
      </c>
      <c r="U935" s="15" t="n">
        <v>10</v>
      </c>
      <c r="V935" s="15">
        <f>ROUNDUP((T935+U935+2*'Read Me'!$B$13)*(1+'Read Me'!$B$12),-1)</f>
        <v/>
      </c>
      <c r="W935" s="15">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5" t="n">
        <v>154</v>
      </c>
      <c r="U936" s="15" t="n">
        <v>103</v>
      </c>
      <c r="V936" s="15">
        <f>ROUNDUP((T936+U936+2*'Read Me'!$B$13)*(1+'Read Me'!$B$12),-1)</f>
        <v/>
      </c>
      <c r="W936" s="15">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5" t="n">
        <v>96</v>
      </c>
      <c r="U937" s="15" t="n">
        <v>10</v>
      </c>
      <c r="V937" s="15">
        <f>ROUNDUP((T937+U937+2*'Read Me'!$B$13)*(1+'Read Me'!$B$12),-1)</f>
        <v/>
      </c>
      <c r="W937" s="15">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5" t="n">
        <v>154</v>
      </c>
      <c r="U938" s="15" t="n">
        <v>103</v>
      </c>
      <c r="V938" s="15">
        <f>ROUNDUP((T938+U938+2*'Read Me'!$B$13)*(1+'Read Me'!$B$12),-1)</f>
        <v/>
      </c>
      <c r="W938" s="15">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5" t="n">
        <v>96</v>
      </c>
      <c r="U939" s="15" t="n">
        <v>10</v>
      </c>
      <c r="V939" s="15">
        <f>ROUNDUP((T939+U939+2*'Read Me'!$B$13)*(1+'Read Me'!$B$12),-1)</f>
        <v/>
      </c>
      <c r="W939" s="15">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5" t="n">
        <v>154</v>
      </c>
      <c r="U940" s="15" t="n">
        <v>103</v>
      </c>
      <c r="V940" s="15">
        <f>ROUNDUP((T940+U940+2*'Read Me'!$B$13)*(1+'Read Me'!$B$12),-1)</f>
        <v/>
      </c>
      <c r="W940" s="15">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5" t="n">
        <v>96</v>
      </c>
      <c r="U941" s="15" t="n">
        <v>10</v>
      </c>
      <c r="V941" s="15">
        <f>ROUNDUP((T941+U941+2*'Read Me'!$B$13)*(1+'Read Me'!$B$12),-1)</f>
        <v/>
      </c>
      <c r="W941" s="15">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5" t="n">
        <v>154</v>
      </c>
      <c r="U942" s="15" t="n">
        <v>103</v>
      </c>
      <c r="V942" s="15">
        <f>ROUNDUP((T942+U942+2*'Read Me'!$B$13)*(1+'Read Me'!$B$12),-1)</f>
        <v/>
      </c>
      <c r="W942" s="15">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5" t="n">
        <v>96</v>
      </c>
      <c r="U943" s="15" t="n">
        <v>10</v>
      </c>
      <c r="V943" s="15">
        <f>ROUNDUP((T943+U943+2*'Read Me'!$B$13)*(1+'Read Me'!$B$12),-1)</f>
        <v/>
      </c>
      <c r="W943" s="15">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5" t="n">
        <v>154</v>
      </c>
      <c r="U944" s="15" t="n">
        <v>103</v>
      </c>
      <c r="V944" s="15">
        <f>ROUNDUP((T944+U944+2*'Read Me'!$B$13)*(1+'Read Me'!$B$12),-1)</f>
        <v/>
      </c>
      <c r="W944" s="15">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5" t="n">
        <v>96</v>
      </c>
      <c r="U945" s="15" t="n">
        <v>10</v>
      </c>
      <c r="V945" s="15">
        <f>ROUNDUP((T945+U945+2*'Read Me'!$B$13)*(1+'Read Me'!$B$12),-1)</f>
        <v/>
      </c>
      <c r="W945" s="15">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5" t="n">
        <v>154</v>
      </c>
      <c r="U946" s="15" t="n">
        <v>103</v>
      </c>
      <c r="V946" s="15">
        <f>ROUNDUP((T946+U946+2*'Read Me'!$B$13)*(1+'Read Me'!$B$12),-1)</f>
        <v/>
      </c>
      <c r="W946" s="15">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5" t="n">
        <v>96</v>
      </c>
      <c r="U947" s="15" t="n">
        <v>10</v>
      </c>
      <c r="V947" s="15">
        <f>ROUNDUP((T947+U947+2*'Read Me'!$B$13)*(1+'Read Me'!$B$12),-1)</f>
        <v/>
      </c>
      <c r="W947" s="15">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5" t="n">
        <v>154</v>
      </c>
      <c r="U948" s="15" t="n">
        <v>103</v>
      </c>
      <c r="V948" s="15">
        <f>ROUNDUP((T948+U948+2*'Read Me'!$B$13)*(1+'Read Me'!$B$12),-1)</f>
        <v/>
      </c>
      <c r="W948" s="15">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5" t="n">
        <v>96</v>
      </c>
      <c r="U949" s="15" t="n">
        <v>10</v>
      </c>
      <c r="V949" s="15">
        <f>ROUNDUP((T949+U949+2*'Read Me'!$B$13)*(1+'Read Me'!$B$12),-1)</f>
        <v/>
      </c>
      <c r="W949" s="15">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5" t="n">
        <v>154</v>
      </c>
      <c r="U950" s="15" t="n">
        <v>103</v>
      </c>
      <c r="V950" s="15">
        <f>ROUNDUP((T950+U950+2*'Read Me'!$B$13)*(1+'Read Me'!$B$12),-1)</f>
        <v/>
      </c>
      <c r="W950" s="15">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5" t="n">
        <v>96</v>
      </c>
      <c r="U951" s="15" t="n">
        <v>10</v>
      </c>
      <c r="V951" s="15">
        <f>ROUNDUP((T951+U951+2*'Read Me'!$B$13)*(1+'Read Me'!$B$12),-1)</f>
        <v/>
      </c>
      <c r="W951" s="15">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5" t="n">
        <v>154</v>
      </c>
      <c r="U952" s="15" t="n">
        <v>103</v>
      </c>
      <c r="V952" s="15">
        <f>ROUNDUP((T952+U952+2*'Read Me'!$B$13)*(1+'Read Me'!$B$12),-1)</f>
        <v/>
      </c>
      <c r="W952" s="15">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5" t="n">
        <v>154</v>
      </c>
      <c r="U953" s="15" t="n">
        <v>103</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5" t="n">
        <v>62</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R2C</t>
        </is>
      </c>
      <c r="F955" s="12" t="inlineStr">
        <is>
          <t>R2C: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Conduit link</t>
        </is>
      </c>
      <c r="T955" s="15" t="n">
        <v>236</v>
      </c>
      <c r="U955" s="15" t="n">
        <v>115</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5" t="n">
        <v>62</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R2C</t>
        </is>
      </c>
      <c r="F957" s="12" t="inlineStr">
        <is>
          <t>R2C: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Conduit link</t>
        </is>
      </c>
      <c r="T957" s="15" t="n">
        <v>236</v>
      </c>
      <c r="U957" s="15" t="n">
        <v>115</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5" t="n">
        <v>62</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R2C</t>
        </is>
      </c>
      <c r="F959" s="12" t="inlineStr">
        <is>
          <t>R2C: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Conduit link</t>
        </is>
      </c>
      <c r="T959" s="15" t="n">
        <v>236</v>
      </c>
      <c r="U959" s="15" t="n">
        <v>115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5" t="n">
        <v>62</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R2C</t>
        </is>
      </c>
      <c r="F961" s="12" t="inlineStr">
        <is>
          <t>R2C: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Conduit link</t>
        </is>
      </c>
      <c r="T961" s="15" t="n">
        <v>236</v>
      </c>
      <c r="U961" s="15" t="n">
        <v>115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5" t="n">
        <v>132</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R2C</t>
        </is>
      </c>
      <c r="F963" s="12" t="inlineStr">
        <is>
          <t>R2C: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5" t="n">
        <v>478</v>
      </c>
      <c r="U963" s="15" t="n">
        <v>74</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5" t="n">
        <v>132</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R2C</t>
        </is>
      </c>
      <c r="F965" s="12" t="inlineStr">
        <is>
          <t>R2C: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5" t="n">
        <v>478</v>
      </c>
      <c r="U965" s="15" t="n">
        <v>74</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96</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Conduit link</t>
        </is>
      </c>
      <c r="T967" s="15" t="n">
        <v>162</v>
      </c>
      <c r="U967" s="15" t="n">
        <v>99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96</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Conduit link</t>
        </is>
      </c>
      <c r="T969" s="15" t="n">
        <v>162</v>
      </c>
      <c r="U969" s="15" t="n">
        <v>99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96</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Conduit link</t>
        </is>
      </c>
      <c r="T971" s="15" t="n">
        <v>162</v>
      </c>
      <c r="U971" s="15" t="n">
        <v>99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96</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Conduit link</t>
        </is>
      </c>
      <c r="T973" s="15" t="n">
        <v>162</v>
      </c>
      <c r="U973" s="15" t="n">
        <v>99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5" t="n">
        <v>96</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Conduit link</t>
        </is>
      </c>
      <c r="T975" s="15" t="n">
        <v>162</v>
      </c>
      <c r="U975" s="15" t="n">
        <v>99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5" t="n">
        <v>96</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Conduit link</t>
        </is>
      </c>
      <c r="T977" s="15" t="n">
        <v>162</v>
      </c>
      <c r="U977" s="15" t="n">
        <v>99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Conduit link</t>
        </is>
      </c>
      <c r="T979" s="15" t="n">
        <v>162</v>
      </c>
      <c r="U979" s="15" t="n">
        <v>99</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Conduit link</t>
        </is>
      </c>
      <c r="T981" s="15" t="n">
        <v>162</v>
      </c>
      <c r="U981" s="15" t="n">
        <v>99</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Conduit link</t>
        </is>
      </c>
      <c r="T983" s="15" t="n">
        <v>162</v>
      </c>
      <c r="U983" s="15" t="n">
        <v>99</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Conduit link</t>
        </is>
      </c>
      <c r="T985" s="15" t="n">
        <v>162</v>
      </c>
      <c r="U985" s="15" t="n">
        <v>99</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Conduit link</t>
        </is>
      </c>
      <c r="T987" s="15" t="n">
        <v>162</v>
      </c>
      <c r="U987" s="15" t="n">
        <v>99</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Conduit link</t>
        </is>
      </c>
      <c r="T989" s="15" t="n">
        <v>162</v>
      </c>
      <c r="U989" s="15" t="n">
        <v>99</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Conduit link</t>
        </is>
      </c>
      <c r="T991" s="15" t="n">
        <v>162</v>
      </c>
      <c r="U991" s="15" t="n">
        <v>99</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Conduit link</t>
        </is>
      </c>
      <c r="T992" s="15" t="n">
        <v>162</v>
      </c>
      <c r="U992" s="15" t="n">
        <v>99</v>
      </c>
      <c r="V992" s="15">
        <f>ROUNDUP((T992+U992+2*'Read Me'!$B$13)*(1+'Read Me'!$B$12),-1)</f>
        <v/>
      </c>
      <c r="W992" s="15">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5" t="n">
        <v>62</v>
      </c>
      <c r="U993" s="15" t="n">
        <v>10</v>
      </c>
      <c r="V993" s="15">
        <f>ROUNDUP((T993+U993+2*'Read Me'!$B$13)*(1+'Read Me'!$B$12),-1)</f>
        <v/>
      </c>
      <c r="W993" s="15">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R3</t>
        </is>
      </c>
      <c r="F994" s="12" t="inlineStr">
        <is>
          <t>R3: ST auxiliary electrical e-house (40 x 65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5" t="n">
        <v>180</v>
      </c>
      <c r="U994" s="15" t="n">
        <v>106</v>
      </c>
      <c r="V994" s="15">
        <f>ROUNDUP((T994+U994+2*'Read Me'!$B$13)*(1+'Read Me'!$B$12),-1)</f>
        <v/>
      </c>
      <c r="W994" s="15">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5" t="n">
        <v>62</v>
      </c>
      <c r="U995" s="15" t="n">
        <v>10</v>
      </c>
      <c r="V995" s="15">
        <f>ROUNDUP((T995+U995+2*'Read Me'!$B$13)*(1+'Read Me'!$B$12),-1)</f>
        <v/>
      </c>
      <c r="W995" s="15">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R3</t>
        </is>
      </c>
      <c r="F996" s="12" t="inlineStr">
        <is>
          <t>R3: ST auxiliary electrical e-house (40 x 65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5" t="n">
        <v>180</v>
      </c>
      <c r="U996" s="15" t="n">
        <v>106</v>
      </c>
      <c r="V996" s="15">
        <f>ROUNDUP((T996+U996+2*'Read Me'!$B$13)*(1+'Read Me'!$B$12),-1)</f>
        <v/>
      </c>
      <c r="W996" s="15">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5" t="n">
        <v>62</v>
      </c>
      <c r="U997" s="15" t="n">
        <v>10</v>
      </c>
      <c r="V997" s="15">
        <f>ROUNDUP((T997+U997+2*'Read Me'!$B$13)*(1+'Read Me'!$B$12),-1)</f>
        <v/>
      </c>
      <c r="W997" s="15">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R3</t>
        </is>
      </c>
      <c r="F998" s="12" t="inlineStr">
        <is>
          <t>R3: ST auxiliary electrical e-house (40 x 65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5" t="n">
        <v>180</v>
      </c>
      <c r="U998" s="15" t="n">
        <v>106</v>
      </c>
      <c r="V998" s="15">
        <f>ROUNDUP((T998+U998+2*'Read Me'!$B$13)*(1+'Read Me'!$B$12),-1)</f>
        <v/>
      </c>
      <c r="W998" s="15">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5" t="n">
        <v>62</v>
      </c>
      <c r="U999" s="15" t="n">
        <v>10</v>
      </c>
      <c r="V999" s="15">
        <f>ROUNDUP((T999+U999+2*'Read Me'!$B$13)*(1+'Read Me'!$B$12),-1)</f>
        <v/>
      </c>
      <c r="W999" s="15">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R3</t>
        </is>
      </c>
      <c r="F1000" s="12" t="inlineStr">
        <is>
          <t>R3: ST auxiliary electrical e-house (40 x 65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5" t="n">
        <v>180</v>
      </c>
      <c r="U1000" s="15" t="n">
        <v>106</v>
      </c>
      <c r="V1000" s="15">
        <f>ROUNDUP((T1000+U1000+2*'Read Me'!$B$13)*(1+'Read Me'!$B$12),-1)</f>
        <v/>
      </c>
      <c r="W1000" s="15">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5" t="n">
        <v>132</v>
      </c>
      <c r="U1001" s="15" t="n">
        <v>10</v>
      </c>
      <c r="V1001" s="15">
        <f>ROUNDUP((T1001+U1001+2*'Read Me'!$B$13)*(1+'Read Me'!$B$12),-1)</f>
        <v/>
      </c>
      <c r="W1001" s="15">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R3</t>
        </is>
      </c>
      <c r="F1002" s="12" t="inlineStr">
        <is>
          <t>R3: ST auxiliary electrical e-house (40 x 65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5" t="n">
        <v>458</v>
      </c>
      <c r="U1002" s="15" t="n">
        <v>63</v>
      </c>
      <c r="V1002" s="15">
        <f>ROUNDUP((T1002+U1002+2*'Read Me'!$B$13)*(1+'Read Me'!$B$12),-1)</f>
        <v/>
      </c>
      <c r="W1002" s="15">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5" t="n">
        <v>132</v>
      </c>
      <c r="U1003" s="15" t="n">
        <v>10</v>
      </c>
      <c r="V1003" s="15">
        <f>ROUNDUP((T1003+U1003+2*'Read Me'!$B$13)*(1+'Read Me'!$B$12),-1)</f>
        <v/>
      </c>
      <c r="W1003" s="15">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R3</t>
        </is>
      </c>
      <c r="F1004" s="12" t="inlineStr">
        <is>
          <t>R3: ST auxiliary electrical e-house (40 x 65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5" t="n">
        <v>458</v>
      </c>
      <c r="U1004" s="15" t="n">
        <v>63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96</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Conduit link</t>
        </is>
      </c>
      <c r="T1006" s="15" t="n">
        <v>162</v>
      </c>
      <c r="U1006" s="15" t="n">
        <v>99</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96</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Conduit link</t>
        </is>
      </c>
      <c r="T1008" s="15" t="n">
        <v>162</v>
      </c>
      <c r="U1008" s="15" t="n">
        <v>99</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96</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Conduit link</t>
        </is>
      </c>
      <c r="T1010" s="15" t="n">
        <v>162</v>
      </c>
      <c r="U1010" s="15" t="n">
        <v>99</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96</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Conduit link</t>
        </is>
      </c>
      <c r="T1012" s="15" t="n">
        <v>162</v>
      </c>
      <c r="U1012" s="15" t="n">
        <v>99</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5" t="n">
        <v>96</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Conduit link</t>
        </is>
      </c>
      <c r="T1014" s="15" t="n">
        <v>162</v>
      </c>
      <c r="U1014" s="15" t="n">
        <v>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5" t="n">
        <v>96</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Conduit link</t>
        </is>
      </c>
      <c r="T1016" s="15" t="n">
        <v>162</v>
      </c>
      <c r="U1016" s="15" t="n">
        <v>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Conduit link</t>
        </is>
      </c>
      <c r="T1018" s="15" t="n">
        <v>162</v>
      </c>
      <c r="U1018" s="15" t="n">
        <v>99</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Conduit link</t>
        </is>
      </c>
      <c r="T1020" s="15" t="n">
        <v>162</v>
      </c>
      <c r="U1020" s="15" t="n">
        <v>99</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Conduit link</t>
        </is>
      </c>
      <c r="T1022" s="15" t="n">
        <v>162</v>
      </c>
      <c r="U1022" s="15" t="n">
        <v>99</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Conduit link</t>
        </is>
      </c>
      <c r="T1024" s="15" t="n">
        <v>162</v>
      </c>
      <c r="U1024" s="15" t="n">
        <v>99</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Conduit link</t>
        </is>
      </c>
      <c r="T1026" s="15" t="n">
        <v>162</v>
      </c>
      <c r="U1026" s="15" t="n">
        <v>99</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Conduit link</t>
        </is>
      </c>
      <c r="T1028" s="15" t="n">
        <v>162</v>
      </c>
      <c r="U1028" s="15" t="n">
        <v>99</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Conduit link</t>
        </is>
      </c>
      <c r="T1030" s="15" t="n">
        <v>162</v>
      </c>
      <c r="U1030" s="15" t="n">
        <v>99</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Conduit link</t>
        </is>
      </c>
      <c r="T1031" s="15" t="n">
        <v>162</v>
      </c>
      <c r="U1031" s="15" t="n">
        <v>99</v>
      </c>
      <c r="V1031" s="15">
        <f>ROUNDUP((T1031+U1031+2*'Read Me'!$B$13)*(1+'Read Me'!$B$12),-1)</f>
        <v/>
      </c>
      <c r="W1031" s="15">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5" t="n">
        <v>70</v>
      </c>
      <c r="U1032" s="15" t="n">
        <v>10</v>
      </c>
      <c r="V1032" s="15">
        <f>ROUNDUP((T1032+U1032+2*'Read Me'!$B$13)*(1+'Read Me'!$B$12),-1)</f>
        <v/>
      </c>
      <c r="W1032" s="15">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5" t="n">
        <v>401</v>
      </c>
      <c r="U1033" s="15" t="n">
        <v>85</v>
      </c>
      <c r="V1033" s="15">
        <f>ROUNDUP((T1033+U1033+2*'Read Me'!$B$13)*(1+'Read Me'!$B$12),-1)</f>
        <v/>
      </c>
      <c r="W1033" s="15">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5" t="n">
        <v>70</v>
      </c>
      <c r="U1034" s="15" t="n">
        <v>10</v>
      </c>
      <c r="V1034" s="15">
        <f>ROUNDUP((T1034+U1034+2*'Read Me'!$B$13)*(1+'Read Me'!$B$12),-1)</f>
        <v/>
      </c>
      <c r="W1034" s="15">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5" t="n">
        <v>401</v>
      </c>
      <c r="U1035" s="15" t="n">
        <v>85</v>
      </c>
      <c r="V1035" s="15">
        <f>ROUNDUP((T1035+U1035+2*'Read Me'!$B$13)*(1+'Read Me'!$B$12),-1)</f>
        <v/>
      </c>
      <c r="W1035" s="15">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5" t="n">
        <v>70</v>
      </c>
      <c r="U1036" s="15" t="n">
        <v>10</v>
      </c>
      <c r="V1036" s="15">
        <f>ROUNDUP((T1036+U1036+2*'Read Me'!$B$13)*(1+'Read Me'!$B$12),-1)</f>
        <v/>
      </c>
      <c r="W1036" s="15">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5" t="n">
        <v>401</v>
      </c>
      <c r="U1037" s="15" t="n">
        <v>85</v>
      </c>
      <c r="V1037" s="15">
        <f>ROUNDUP((T1037+U1037+2*'Read Me'!$B$13)*(1+'Read Me'!$B$12),-1)</f>
        <v/>
      </c>
      <c r="W1037" s="15">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5" t="n">
        <v>70</v>
      </c>
      <c r="U1038" s="15" t="n">
        <v>10</v>
      </c>
      <c r="V1038" s="15">
        <f>ROUNDUP((T1038+U1038+2*'Read Me'!$B$13)*(1+'Read Me'!$B$12),-1)</f>
        <v/>
      </c>
      <c r="W1038" s="15">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5" t="n">
        <v>401</v>
      </c>
      <c r="U1039" s="15" t="n">
        <v>85</v>
      </c>
      <c r="V1039" s="15">
        <f>ROUNDUP((T1039+U1039+2*'Read Me'!$B$13)*(1+'Read Me'!$B$12),-1)</f>
        <v/>
      </c>
      <c r="W1039" s="15">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5" t="n">
        <v>70</v>
      </c>
      <c r="U1040" s="15" t="n">
        <v>10</v>
      </c>
      <c r="V1040" s="15">
        <f>ROUNDUP((T1040+U1040+2*'Read Me'!$B$13)*(1+'Read Me'!$B$12),-1)</f>
        <v/>
      </c>
      <c r="W1040" s="15">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5" t="n">
        <v>401</v>
      </c>
      <c r="U1041" s="15" t="n">
        <v>85</v>
      </c>
      <c r="V1041" s="15">
        <f>ROUNDUP((T1041+U1041+2*'Read Me'!$B$13)*(1+'Read Me'!$B$12),-1)</f>
        <v/>
      </c>
      <c r="W1041" s="15">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5" t="n">
        <v>401</v>
      </c>
      <c r="U1042" s="15" t="n">
        <v>85</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5" t="n">
        <v>70</v>
      </c>
      <c r="U1043" s="15" t="n">
        <v>10</v>
      </c>
      <c r="V1043" s="15">
        <f>ROUNDUP((T1043+U1043+2*'Read Me'!$B$13)*(1+'Read Me'!$B$12),-1)</f>
        <v/>
      </c>
      <c r="W1043" s="15">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5" t="n">
        <v>409</v>
      </c>
      <c r="U1044" s="15" t="n">
        <v>81</v>
      </c>
      <c r="V1044" s="15">
        <f>ROUNDUP((T1044+U1044+2*'Read Me'!$B$13)*(1+'Read Me'!$B$12),-1)</f>
        <v/>
      </c>
      <c r="W1044" s="15">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5" t="n">
        <v>70</v>
      </c>
      <c r="U1045" s="15" t="n">
        <v>10</v>
      </c>
      <c r="V1045" s="15">
        <f>ROUNDUP((T1045+U1045+2*'Read Me'!$B$13)*(1+'Read Me'!$B$12),-1)</f>
        <v/>
      </c>
      <c r="W1045" s="15">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5" t="n">
        <v>409</v>
      </c>
      <c r="U1046" s="15" t="n">
        <v>81</v>
      </c>
      <c r="V1046" s="15">
        <f>ROUNDUP((T1046+U1046+2*'Read Me'!$B$13)*(1+'Read Me'!$B$12),-1)</f>
        <v/>
      </c>
      <c r="W1046" s="15">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5" t="n">
        <v>70</v>
      </c>
      <c r="U1047" s="15" t="n">
        <v>10</v>
      </c>
      <c r="V1047" s="15">
        <f>ROUNDUP((T1047+U1047+2*'Read Me'!$B$13)*(1+'Read Me'!$B$12),-1)</f>
        <v/>
      </c>
      <c r="W1047" s="15">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5" t="n">
        <v>409</v>
      </c>
      <c r="U1048" s="15" t="n">
        <v>81</v>
      </c>
      <c r="V1048" s="15">
        <f>ROUNDUP((T1048+U1048+2*'Read Me'!$B$13)*(1+'Read Me'!$B$12),-1)</f>
        <v/>
      </c>
      <c r="W1048" s="15">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5" t="n">
        <v>70</v>
      </c>
      <c r="U1049" s="15" t="n">
        <v>10</v>
      </c>
      <c r="V1049" s="15">
        <f>ROUNDUP((T1049+U1049+2*'Read Me'!$B$13)*(1+'Read Me'!$B$12),-1)</f>
        <v/>
      </c>
      <c r="W1049" s="15">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5" t="n">
        <v>409</v>
      </c>
      <c r="U1050" s="15" t="n">
        <v>81</v>
      </c>
      <c r="V1050" s="15">
        <f>ROUNDUP((T1050+U1050+2*'Read Me'!$B$13)*(1+'Read Me'!$B$12),-1)</f>
        <v/>
      </c>
      <c r="W1050" s="15">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5" t="n">
        <v>70</v>
      </c>
      <c r="U1051" s="15" t="n">
        <v>10</v>
      </c>
      <c r="V1051" s="15">
        <f>ROUNDUP((T1051+U1051+2*'Read Me'!$B$13)*(1+'Read Me'!$B$12),-1)</f>
        <v/>
      </c>
      <c r="W1051" s="15">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5" t="n">
        <v>409</v>
      </c>
      <c r="U1052" s="15" t="n">
        <v>81</v>
      </c>
      <c r="V1052" s="15">
        <f>ROUNDUP((T1052+U1052+2*'Read Me'!$B$13)*(1+'Read Me'!$B$12),-1)</f>
        <v/>
      </c>
      <c r="W1052" s="15">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5" t="n">
        <v>409</v>
      </c>
      <c r="U1053" s="15" t="n">
        <v>81</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5" t="n">
        <v>70</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R3</t>
        </is>
      </c>
      <c r="F1055" s="12" t="inlineStr">
        <is>
          <t>R3: ST auxiliary electrical e-house (40 x 65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Tray</t>
        </is>
      </c>
      <c r="T1055" s="15" t="n">
        <v>501</v>
      </c>
      <c r="U1055" s="15" t="n">
        <v>89</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5" t="n">
        <v>70</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R3</t>
        </is>
      </c>
      <c r="F1057" s="12" t="inlineStr">
        <is>
          <t>R3: ST auxiliary electrical e-house (40 x 65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Tray</t>
        </is>
      </c>
      <c r="T1057" s="15" t="n">
        <v>501</v>
      </c>
      <c r="U1057" s="15" t="n">
        <v>89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5" t="n">
        <v>70</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R3</t>
        </is>
      </c>
      <c r="F1059" s="12" t="inlineStr">
        <is>
          <t>R3: ST auxiliary electrical e-house (40 x 65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Tray</t>
        </is>
      </c>
      <c r="T1059" s="15" t="n">
        <v>501</v>
      </c>
      <c r="U1059" s="15" t="n">
        <v>89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5" t="n">
        <v>70</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R3</t>
        </is>
      </c>
      <c r="F1061" s="12" t="inlineStr">
        <is>
          <t>R3: ST auxiliary electrical e-house (40 x 65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Tray</t>
        </is>
      </c>
      <c r="T1061" s="15" t="n">
        <v>501</v>
      </c>
      <c r="U1061" s="15" t="n">
        <v>89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5" t="n">
        <v>70</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R3</t>
        </is>
      </c>
      <c r="F1063" s="12" t="inlineStr">
        <is>
          <t>R3: ST auxiliary electrical e-house (40 x 65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5" t="n">
        <v>501</v>
      </c>
      <c r="U1063" s="15" t="n">
        <v>89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R3</t>
        </is>
      </c>
      <c r="F1064" s="12" t="inlineStr">
        <is>
          <t>R3: ST auxiliary electrical e-house (40 x 65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Tray</t>
        </is>
      </c>
      <c r="T1064" s="15" t="n">
        <v>501</v>
      </c>
      <c r="U1064" s="15" t="n">
        <v>89</v>
      </c>
      <c r="V1064" s="15">
        <f>ROUNDUP((T1064+U1064+2*'Read Me'!$B$13)*(1+'Read Me'!$B$12),-1)</f>
        <v/>
      </c>
      <c r="W1064" s="15">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5" t="n">
        <v>180</v>
      </c>
      <c r="U1065" s="15" t="n">
        <v>10</v>
      </c>
      <c r="V1065" s="15">
        <f>ROUNDUP((T1065+U1065+2*'Read Me'!$B$13)*(1+'Read Me'!$B$12),-1)</f>
        <v/>
      </c>
      <c r="W1065" s="15">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5" t="n">
        <v>0</v>
      </c>
      <c r="U1066" s="15" t="n">
        <v>87</v>
      </c>
      <c r="V1066" s="15">
        <f>ROUNDUP((T1066+U1066+2*'Read Me'!$B$13)*(1+'Read Me'!$B$12),-1)</f>
        <v/>
      </c>
      <c r="W1066" s="15">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5" t="n">
        <v>180</v>
      </c>
      <c r="U1067" s="15" t="n">
        <v>10</v>
      </c>
      <c r="V1067" s="15">
        <f>ROUNDUP((T1067+U1067+2*'Read Me'!$B$13)*(1+'Read Me'!$B$12),-1)</f>
        <v/>
      </c>
      <c r="W1067" s="15">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5" t="n">
        <v>0</v>
      </c>
      <c r="U1068" s="15" t="n">
        <v>87</v>
      </c>
      <c r="V1068" s="15">
        <f>ROUNDUP((T1068+U1068+2*'Read Me'!$B$13)*(1+'Read Me'!$B$12),-1)</f>
        <v/>
      </c>
      <c r="W1068" s="15">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5" t="n">
        <v>180</v>
      </c>
      <c r="U1069" s="15" t="n">
        <v>10</v>
      </c>
      <c r="V1069" s="15">
        <f>ROUNDUP((T1069+U1069+2*'Read Me'!$B$13)*(1+'Read Me'!$B$12),-1)</f>
        <v/>
      </c>
      <c r="W1069" s="15">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5" t="n">
        <v>0</v>
      </c>
      <c r="U1070" s="15" t="n">
        <v>87</v>
      </c>
      <c r="V1070" s="15">
        <f>ROUNDUP((T1070+U1070+2*'Read Me'!$B$13)*(1+'Read Me'!$B$12),-1)</f>
        <v/>
      </c>
      <c r="W1070" s="15">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5" t="n">
        <v>180</v>
      </c>
      <c r="U1071" s="15" t="n">
        <v>10</v>
      </c>
      <c r="V1071" s="15">
        <f>ROUNDUP((T1071+U1071+2*'Read Me'!$B$13)*(1+'Read Me'!$B$12),-1)</f>
        <v/>
      </c>
      <c r="W1071" s="15">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5" t="n">
        <v>0</v>
      </c>
      <c r="U1072" s="15" t="n">
        <v>87</v>
      </c>
      <c r="V1072" s="15">
        <f>ROUNDUP((T1072+U1072+2*'Read Me'!$B$13)*(1+'Read Me'!$B$12),-1)</f>
        <v/>
      </c>
      <c r="W1072" s="15">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5" t="n">
        <v>180</v>
      </c>
      <c r="U1073" s="15" t="n">
        <v>10</v>
      </c>
      <c r="V1073" s="15">
        <f>ROUNDUP((T1073+U1073+2*'Read Me'!$B$13)*(1+'Read Me'!$B$12),-1)</f>
        <v/>
      </c>
      <c r="W1073" s="15">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5" t="n">
        <v>0</v>
      </c>
      <c r="U1074" s="15" t="n">
        <v>87</v>
      </c>
      <c r="V1074" s="15">
        <f>ROUNDUP((T1074+U1074+2*'Read Me'!$B$13)*(1+'Read Me'!$B$12),-1)</f>
        <v/>
      </c>
      <c r="W1074" s="15">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5" t="n">
        <v>180</v>
      </c>
      <c r="U1075" s="15" t="n">
        <v>10</v>
      </c>
      <c r="V1075" s="15">
        <f>ROUNDUP((T1075+U1075+2*'Read Me'!$B$13)*(1+'Read Me'!$B$12),-1)</f>
        <v/>
      </c>
      <c r="W1075" s="15">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5" t="n">
        <v>0</v>
      </c>
      <c r="U1076" s="15" t="n">
        <v>87</v>
      </c>
      <c r="V1076" s="15">
        <f>ROUNDUP((T1076+U1076+2*'Read Me'!$B$13)*(1+'Read Me'!$B$12),-1)</f>
        <v/>
      </c>
      <c r="W1076" s="15">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5" t="n">
        <v>180</v>
      </c>
      <c r="U1077" s="15" t="n">
        <v>10</v>
      </c>
      <c r="V1077" s="15">
        <f>ROUNDUP((T1077+U1077+2*'Read Me'!$B$13)*(1+'Read Me'!$B$12),-1)</f>
        <v/>
      </c>
      <c r="W1077" s="15">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5" t="n">
        <v>0</v>
      </c>
      <c r="U1078" s="15" t="n">
        <v>87</v>
      </c>
      <c r="V1078" s="15">
        <f>ROUNDUP((T1078+U1078+2*'Read Me'!$B$13)*(1+'Read Me'!$B$12),-1)</f>
        <v/>
      </c>
      <c r="W1078" s="15">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5" t="n">
        <v>180</v>
      </c>
      <c r="U1079" s="15" t="n">
        <v>10</v>
      </c>
      <c r="V1079" s="15">
        <f>ROUNDUP((T1079+U1079+2*'Read Me'!$B$13)*(1+'Read Me'!$B$12),-1)</f>
        <v/>
      </c>
      <c r="W1079" s="15">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5" t="n">
        <v>0</v>
      </c>
      <c r="U1080" s="15" t="n">
        <v>87</v>
      </c>
      <c r="V1080" s="15">
        <f>ROUNDUP((T1080+U1080+2*'Read Me'!$B$13)*(1+'Read Me'!$B$12),-1)</f>
        <v/>
      </c>
      <c r="W1080" s="15">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5" t="n">
        <v>180</v>
      </c>
      <c r="U1081" s="15" t="n">
        <v>10</v>
      </c>
      <c r="V1081" s="15">
        <f>ROUNDUP((T1081+U1081+2*'Read Me'!$B$13)*(1+'Read Me'!$B$12),-1)</f>
        <v/>
      </c>
      <c r="W1081" s="15">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5" t="n">
        <v>0</v>
      </c>
      <c r="U1082" s="15" t="n">
        <v>87</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180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0</v>
      </c>
      <c r="U1084" s="15" t="n">
        <v>87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180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0</v>
      </c>
      <c r="U1086" s="15" t="n">
        <v>87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5" t="n">
        <v>180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5" t="n">
        <v>0</v>
      </c>
      <c r="U1088" s="15" t="n">
        <v>87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5" t="n">
        <v>180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5" t="n">
        <v>0</v>
      </c>
      <c r="U1090" s="15" t="n">
        <v>87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5" t="n">
        <v>180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5" t="n">
        <v>0</v>
      </c>
      <c r="U1092" s="15" t="n">
        <v>87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5" t="n">
        <v>180</v>
      </c>
      <c r="U1093" s="15" t="n">
        <v>10</v>
      </c>
      <c r="V1093" s="15">
        <f>ROUNDUP((T1093+U1093+2*'Read Me'!$B$13)*(1+'Read Me'!$B$12),-1)</f>
        <v/>
      </c>
      <c r="W1093" s="15">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5" t="n">
        <v>0</v>
      </c>
      <c r="U1094" s="15" t="n">
        <v>87</v>
      </c>
      <c r="V1094" s="15">
        <f>ROUNDUP((T1094+U1094+2*'Read Me'!$B$13)*(1+'Read Me'!$B$12),-1)</f>
        <v/>
      </c>
      <c r="W1094" s="15">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5" t="n">
        <v>180</v>
      </c>
      <c r="U1095" s="15" t="n">
        <v>10</v>
      </c>
      <c r="V1095" s="15">
        <f>ROUNDUP((T1095+U1095+2*'Read Me'!$B$13)*(1+'Read Me'!$B$12),-1)</f>
        <v/>
      </c>
      <c r="W1095" s="15">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5" t="n">
        <v>0</v>
      </c>
      <c r="U1096" s="15" t="n">
        <v>87</v>
      </c>
      <c r="V1096" s="15">
        <f>ROUNDUP((T1096+U1096+2*'Read Me'!$B$13)*(1+'Read Me'!$B$12),-1)</f>
        <v/>
      </c>
      <c r="W1096" s="15">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5" t="n">
        <v>43</v>
      </c>
      <c r="U1097" s="15" t="n">
        <v>10</v>
      </c>
      <c r="V1097" s="15">
        <f>ROUNDUP((T1097+U1097+2*'Read Me'!$B$13)*(1+'Read Me'!$B$12),-1)</f>
        <v/>
      </c>
      <c r="W1097" s="15">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5" t="n">
        <v>0</v>
      </c>
      <c r="U1098" s="15" t="n">
        <v>124</v>
      </c>
      <c r="V1098" s="15">
        <f>ROUNDUP((T1098+U1098+2*'Read Me'!$B$13)*(1+'Read Me'!$B$12),-1)</f>
        <v/>
      </c>
      <c r="W1098" s="15">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5" t="n">
        <v>43</v>
      </c>
      <c r="U1099" s="15" t="n">
        <v>10</v>
      </c>
      <c r="V1099" s="15">
        <f>ROUNDUP((T1099+U1099+2*'Read Me'!$B$13)*(1+'Read Me'!$B$12),-1)</f>
        <v/>
      </c>
      <c r="W1099" s="15">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5" t="n">
        <v>0</v>
      </c>
      <c r="U1100" s="15" t="n">
        <v>124</v>
      </c>
      <c r="V1100" s="15">
        <f>ROUNDUP((T1100+U1100+2*'Read Me'!$B$13)*(1+'Read Me'!$B$12),-1)</f>
        <v/>
      </c>
      <c r="W1100" s="15">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5" t="n">
        <v>42</v>
      </c>
      <c r="U1101" s="15" t="n">
        <v>10</v>
      </c>
      <c r="V1101" s="15">
        <f>ROUNDUP((T1101+U1101+2*'Read Me'!$B$13)*(1+'Read Me'!$B$12),-1)</f>
        <v/>
      </c>
      <c r="W1101" s="15">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R2B</t>
        </is>
      </c>
      <c r="F1102" s="12" t="inlineStr">
        <is>
          <t>R2B: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5" t="n">
        <v>30</v>
      </c>
      <c r="U1102" s="15" t="n">
        <v>109</v>
      </c>
      <c r="V1102" s="15">
        <f>ROUNDUP((T1102+U1102+2*'Read Me'!$B$13)*(1+'Read Me'!$B$12),-1)</f>
        <v/>
      </c>
      <c r="W1102" s="15">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5" t="n">
        <v>42</v>
      </c>
      <c r="U1103" s="15" t="n">
        <v>10</v>
      </c>
      <c r="V1103" s="15">
        <f>ROUNDUP((T1103+U1103+2*'Read Me'!$B$13)*(1+'Read Me'!$B$12),-1)</f>
        <v/>
      </c>
      <c r="W1103" s="15">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R2B</t>
        </is>
      </c>
      <c r="F1104" s="12" t="inlineStr">
        <is>
          <t>R2B: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5" t="n">
        <v>30</v>
      </c>
      <c r="U1104" s="15" t="n">
        <v>109</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180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5" t="n">
        <v>63</v>
      </c>
      <c r="U1106" s="15" t="n">
        <v>84</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180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5" t="n">
        <v>63</v>
      </c>
      <c r="U1108" s="15" t="n">
        <v>84</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5" t="n">
        <v>180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5" t="n">
        <v>63</v>
      </c>
      <c r="U1110" s="15" t="n">
        <v>84</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5" t="n">
        <v>180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5" t="n">
        <v>63</v>
      </c>
      <c r="U1112" s="15" t="n">
        <v>84</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5" t="n">
        <v>180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5" t="n">
        <v>63</v>
      </c>
      <c r="U1114" s="15" t="n">
        <v>84</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5" t="n">
        <v>180</v>
      </c>
      <c r="U1115" s="15" t="n">
        <v>10</v>
      </c>
      <c r="V1115" s="15">
        <f>ROUNDUP((T1115+U1115+2*'Read Me'!$B$13)*(1+'Read Me'!$B$12),-1)</f>
        <v/>
      </c>
      <c r="W1115" s="15">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5" t="n">
        <v>63</v>
      </c>
      <c r="U1116" s="15" t="n">
        <v>84</v>
      </c>
      <c r="V1116" s="15">
        <f>ROUNDUP((T1116+U1116+2*'Read Me'!$B$13)*(1+'Read Me'!$B$12),-1)</f>
        <v/>
      </c>
      <c r="W1116" s="15">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5" t="n">
        <v>180</v>
      </c>
      <c r="U1117" s="15" t="n">
        <v>10</v>
      </c>
      <c r="V1117" s="15">
        <f>ROUNDUP((T1117+U1117+2*'Read Me'!$B$13)*(1+'Read Me'!$B$12),-1)</f>
        <v/>
      </c>
      <c r="W1117" s="15">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5" t="n">
        <v>63</v>
      </c>
      <c r="U1118" s="15" t="n">
        <v>84</v>
      </c>
      <c r="V1118" s="15">
        <f>ROUNDUP((T1118+U1118+2*'Read Me'!$B$13)*(1+'Read Me'!$B$12),-1)</f>
        <v/>
      </c>
      <c r="W1118" s="15">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5" t="n">
        <v>180</v>
      </c>
      <c r="U1119" s="15" t="n">
        <v>10</v>
      </c>
      <c r="V1119" s="15">
        <f>ROUNDUP((T1119+U1119+2*'Read Me'!$B$13)*(1+'Read Me'!$B$12),-1)</f>
        <v/>
      </c>
      <c r="W1119" s="15">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5" t="n">
        <v>63</v>
      </c>
      <c r="U1120" s="15" t="n">
        <v>84</v>
      </c>
      <c r="V1120" s="15">
        <f>ROUNDUP((T1120+U1120+2*'Read Me'!$B$13)*(1+'Read Me'!$B$12),-1)</f>
        <v/>
      </c>
      <c r="W1120" s="15">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5" t="n">
        <v>180</v>
      </c>
      <c r="U1121" s="15" t="n">
        <v>10</v>
      </c>
      <c r="V1121" s="15">
        <f>ROUNDUP((T1121+U1121+2*'Read Me'!$B$13)*(1+'Read Me'!$B$12),-1)</f>
        <v/>
      </c>
      <c r="W1121" s="15">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5" t="n">
        <v>63</v>
      </c>
      <c r="U1122" s="15" t="n">
        <v>84</v>
      </c>
      <c r="V1122" s="15">
        <f>ROUNDUP((T1122+U1122+2*'Read Me'!$B$13)*(1+'Read Me'!$B$12),-1)</f>
        <v/>
      </c>
      <c r="W1122" s="15">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5" t="n">
        <v>180</v>
      </c>
      <c r="U1123" s="15" t="n">
        <v>10</v>
      </c>
      <c r="V1123" s="15">
        <f>ROUNDUP((T1123+U1123+2*'Read Me'!$B$13)*(1+'Read Me'!$B$12),-1)</f>
        <v/>
      </c>
      <c r="W1123" s="15">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5" t="n">
        <v>63</v>
      </c>
      <c r="U1124" s="15" t="n">
        <v>84</v>
      </c>
      <c r="V1124" s="15">
        <f>ROUNDUP((T1124+U1124+2*'Read Me'!$B$13)*(1+'Read Me'!$B$12),-1)</f>
        <v/>
      </c>
      <c r="W1124" s="15">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5" t="n">
        <v>180</v>
      </c>
      <c r="U1125" s="15" t="n">
        <v>10</v>
      </c>
      <c r="V1125" s="15">
        <f>ROUNDUP((T1125+U1125+2*'Read Me'!$B$13)*(1+'Read Me'!$B$12),-1)</f>
        <v/>
      </c>
      <c r="W1125" s="15">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5" t="n">
        <v>63</v>
      </c>
      <c r="U1126" s="15" t="n">
        <v>84</v>
      </c>
      <c r="V1126" s="15">
        <f>ROUNDUP((T1126+U1126+2*'Read Me'!$B$13)*(1+'Read Me'!$B$12),-1)</f>
        <v/>
      </c>
      <c r="W1126" s="15">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5" t="n">
        <v>180</v>
      </c>
      <c r="U1127" s="15" t="n">
        <v>10</v>
      </c>
      <c r="V1127" s="15">
        <f>ROUNDUP((T1127+U1127+2*'Read Me'!$B$13)*(1+'Read Me'!$B$12),-1)</f>
        <v/>
      </c>
      <c r="W1127" s="15">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5" t="n">
        <v>63</v>
      </c>
      <c r="U1128" s="15" t="n">
        <v>84</v>
      </c>
      <c r="V1128" s="15">
        <f>ROUNDUP((T1128+U1128+2*'Read Me'!$B$13)*(1+'Read Me'!$B$12),-1)</f>
        <v/>
      </c>
      <c r="W1128" s="15">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5" t="n">
        <v>180</v>
      </c>
      <c r="U1129" s="15" t="n">
        <v>10</v>
      </c>
      <c r="V1129" s="15">
        <f>ROUNDUP((T1129+U1129+2*'Read Me'!$B$13)*(1+'Read Me'!$B$12),-1)</f>
        <v/>
      </c>
      <c r="W1129" s="15">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5" t="n">
        <v>63</v>
      </c>
      <c r="U1130" s="15" t="n">
        <v>84</v>
      </c>
      <c r="V1130" s="15">
        <f>ROUNDUP((T1130+U1130+2*'Read Me'!$B$13)*(1+'Read Me'!$B$12),-1)</f>
        <v/>
      </c>
      <c r="W1130" s="15">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5" t="n">
        <v>180</v>
      </c>
      <c r="U1131" s="15" t="n">
        <v>10</v>
      </c>
      <c r="V1131" s="15">
        <f>ROUNDUP((T1131+U1131+2*'Read Me'!$B$13)*(1+'Read Me'!$B$12),-1)</f>
        <v/>
      </c>
      <c r="W1131" s="15">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5" t="n">
        <v>63</v>
      </c>
      <c r="U1132" s="15" t="n">
        <v>84</v>
      </c>
      <c r="V1132" s="15">
        <f>ROUNDUP((T1132+U1132+2*'Read Me'!$B$13)*(1+'Read Me'!$B$12),-1)</f>
        <v/>
      </c>
      <c r="W1132" s="15">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5" t="n">
        <v>180</v>
      </c>
      <c r="U1133" s="15" t="n">
        <v>10</v>
      </c>
      <c r="V1133" s="15">
        <f>ROUNDUP((T1133+U1133+2*'Read Me'!$B$13)*(1+'Read Me'!$B$12),-1)</f>
        <v/>
      </c>
      <c r="W1133" s="15">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5" t="n">
        <v>63</v>
      </c>
      <c r="U1134" s="15" t="n">
        <v>84</v>
      </c>
      <c r="V1134" s="15">
        <f>ROUNDUP((T1134+U1134+2*'Read Me'!$B$13)*(1+'Read Me'!$B$12),-1)</f>
        <v/>
      </c>
      <c r="W1134" s="15">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5" t="n">
        <v>180</v>
      </c>
      <c r="U1135" s="15" t="n">
        <v>10</v>
      </c>
      <c r="V1135" s="15">
        <f>ROUNDUP((T1135+U1135+2*'Read Me'!$B$13)*(1+'Read Me'!$B$12),-1)</f>
        <v/>
      </c>
      <c r="W1135" s="15">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5" t="n">
        <v>63</v>
      </c>
      <c r="U1136" s="15" t="n">
        <v>84</v>
      </c>
      <c r="V1136" s="15">
        <f>ROUNDUP((T1136+U1136+2*'Read Me'!$B$13)*(1+'Read Me'!$B$12),-1)</f>
        <v/>
      </c>
      <c r="W1136" s="15">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5" t="n">
        <v>43</v>
      </c>
      <c r="U1137" s="15" t="n">
        <v>10</v>
      </c>
      <c r="V1137" s="15">
        <f>ROUNDUP((T1137+U1137+2*'Read Me'!$B$13)*(1+'Read Me'!$B$12),-1)</f>
        <v/>
      </c>
      <c r="W1137" s="15">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5" t="n">
        <v>0</v>
      </c>
      <c r="U1138" s="15" t="n">
        <v>124</v>
      </c>
      <c r="V1138" s="15">
        <f>ROUNDUP((T1138+U1138+2*'Read Me'!$B$13)*(1+'Read Me'!$B$12),-1)</f>
        <v/>
      </c>
      <c r="W1138" s="15">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5" t="n">
        <v>43</v>
      </c>
      <c r="U1139" s="15" t="n">
        <v>10</v>
      </c>
      <c r="V1139" s="15">
        <f>ROUNDUP((T1139+U1139+2*'Read Me'!$B$13)*(1+'Read Me'!$B$12),-1)</f>
        <v/>
      </c>
      <c r="W1139" s="15">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5" t="n">
        <v>0</v>
      </c>
      <c r="U1140" s="15" t="n">
        <v>124</v>
      </c>
      <c r="V1140" s="15">
        <f>ROUNDUP((T1140+U1140+2*'Read Me'!$B$13)*(1+'Read Me'!$B$12),-1)</f>
        <v/>
      </c>
      <c r="W1140" s="15">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5" t="n">
        <v>42</v>
      </c>
      <c r="U1141" s="15" t="n">
        <v>10</v>
      </c>
      <c r="V1141" s="15">
        <f>ROUNDUP((T1141+U1141+2*'Read Me'!$B$13)*(1+'Read Me'!$B$12),-1)</f>
        <v/>
      </c>
      <c r="W1141" s="15">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R2C</t>
        </is>
      </c>
      <c r="F1142" s="12" t="inlineStr">
        <is>
          <t>R2C: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5" t="n">
        <v>30</v>
      </c>
      <c r="U1142" s="15" t="n">
        <v>109</v>
      </c>
      <c r="V1142" s="15">
        <f>ROUNDUP((T1142+U1142+2*'Read Me'!$B$13)*(1+'Read Me'!$B$12),-1)</f>
        <v/>
      </c>
      <c r="W1142" s="15">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5" t="n">
        <v>42</v>
      </c>
      <c r="U1143" s="15" t="n">
        <v>10</v>
      </c>
      <c r="V1143" s="15">
        <f>ROUNDUP((T1143+U1143+2*'Read Me'!$B$13)*(1+'Read Me'!$B$12),-1)</f>
        <v/>
      </c>
      <c r="W1143" s="15">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R2C</t>
        </is>
      </c>
      <c r="F1144" s="12" t="inlineStr">
        <is>
          <t>R2C: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5" t="n">
        <v>30</v>
      </c>
      <c r="U1144" s="15" t="n">
        <v>109</v>
      </c>
      <c r="V1144" s="15">
        <f>ROUNDUP((T1144+U1144+2*'Read Me'!$B$13)*(1+'Read Me'!$B$12),-1)</f>
        <v/>
      </c>
      <c r="W1144" s="15">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5" t="n">
        <v>180</v>
      </c>
      <c r="U1145" s="15" t="n">
        <v>10</v>
      </c>
      <c r="V1145" s="15">
        <f>ROUNDUP((T1145+U1145+2*'Read Me'!$B$13)*(1+'Read Me'!$B$12),-1)</f>
        <v/>
      </c>
      <c r="W1145" s="15">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5" t="n">
        <v>0</v>
      </c>
      <c r="U1146" s="15" t="n">
        <v>87</v>
      </c>
      <c r="V1146" s="15">
        <f>ROUNDUP((T1146+U1146+2*'Read Me'!$B$13)*(1+'Read Me'!$B$12),-1)</f>
        <v/>
      </c>
      <c r="W1146" s="15">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5" t="n">
        <v>180</v>
      </c>
      <c r="U1147" s="15" t="n">
        <v>10</v>
      </c>
      <c r="V1147" s="15">
        <f>ROUNDUP((T1147+U1147+2*'Read Me'!$B$13)*(1+'Read Me'!$B$12),-1)</f>
        <v/>
      </c>
      <c r="W1147" s="15">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5" t="n">
        <v>0</v>
      </c>
      <c r="U1148" s="15" t="n">
        <v>87</v>
      </c>
      <c r="V1148" s="15">
        <f>ROUNDUP((T1148+U1148+2*'Read Me'!$B$13)*(1+'Read Me'!$B$12),-1)</f>
        <v/>
      </c>
      <c r="W1148" s="15">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5" t="n">
        <v>180</v>
      </c>
      <c r="U1149" s="15" t="n">
        <v>10</v>
      </c>
      <c r="V1149" s="15">
        <f>ROUNDUP((T1149+U1149+2*'Read Me'!$B$13)*(1+'Read Me'!$B$12),-1)</f>
        <v/>
      </c>
      <c r="W1149" s="15">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5" t="n">
        <v>0</v>
      </c>
      <c r="U1150" s="15" t="n">
        <v>87</v>
      </c>
      <c r="V1150" s="15">
        <f>ROUNDUP((T1150+U1150+2*'Read Me'!$B$13)*(1+'Read Me'!$B$12),-1)</f>
        <v/>
      </c>
      <c r="W1150" s="15">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5" t="n">
        <v>180</v>
      </c>
      <c r="U1151" s="15" t="n">
        <v>10</v>
      </c>
      <c r="V1151" s="15">
        <f>ROUNDUP((T1151+U1151+2*'Read Me'!$B$13)*(1+'Read Me'!$B$12),-1)</f>
        <v/>
      </c>
      <c r="W1151" s="15">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5" t="n">
        <v>0</v>
      </c>
      <c r="U1152" s="15" t="n">
        <v>87</v>
      </c>
      <c r="V1152" s="15">
        <f>ROUNDUP((T1152+U1152+2*'Read Me'!$B$13)*(1+'Read Me'!$B$12),-1)</f>
        <v/>
      </c>
      <c r="W1152" s="15">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5" t="n">
        <v>180</v>
      </c>
      <c r="U1153" s="15" t="n">
        <v>10</v>
      </c>
      <c r="V1153" s="15">
        <f>ROUNDUP((T1153+U1153+2*'Read Me'!$B$13)*(1+'Read Me'!$B$12),-1)</f>
        <v/>
      </c>
      <c r="W1153" s="15">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5" t="n">
        <v>0</v>
      </c>
      <c r="U1154" s="15" t="n">
        <v>87</v>
      </c>
      <c r="V1154" s="15">
        <f>ROUNDUP((T1154+U1154+2*'Read Me'!$B$13)*(1+'Read Me'!$B$12),-1)</f>
        <v/>
      </c>
      <c r="W1154" s="15">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5" t="n">
        <v>180</v>
      </c>
      <c r="U1155" s="15" t="n">
        <v>10</v>
      </c>
      <c r="V1155" s="15">
        <f>ROUNDUP((T1155+U1155+2*'Read Me'!$B$13)*(1+'Read Me'!$B$12),-1)</f>
        <v/>
      </c>
      <c r="W1155" s="15">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5" t="n">
        <v>0</v>
      </c>
      <c r="U1156" s="15" t="n">
        <v>87</v>
      </c>
      <c r="V1156" s="15">
        <f>ROUNDUP((T1156+U1156+2*'Read Me'!$B$13)*(1+'Read Me'!$B$12),-1)</f>
        <v/>
      </c>
      <c r="W1156" s="15">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5" t="n">
        <v>180</v>
      </c>
      <c r="U1157" s="15" t="n">
        <v>10</v>
      </c>
      <c r="V1157" s="15">
        <f>ROUNDUP((T1157+U1157+2*'Read Me'!$B$13)*(1+'Read Me'!$B$12),-1)</f>
        <v/>
      </c>
      <c r="W1157" s="15">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5" t="n">
        <v>0</v>
      </c>
      <c r="U1158" s="15" t="n">
        <v>87</v>
      </c>
      <c r="V1158" s="15">
        <f>ROUNDUP((T1158+U1158+2*'Read Me'!$B$13)*(1+'Read Me'!$B$12),-1)</f>
        <v/>
      </c>
      <c r="W1158" s="15">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5" t="n">
        <v>180</v>
      </c>
      <c r="U1159" s="15" t="n">
        <v>10</v>
      </c>
      <c r="V1159" s="15">
        <f>ROUNDUP((T1159+U1159+2*'Read Me'!$B$13)*(1+'Read Me'!$B$12),-1)</f>
        <v/>
      </c>
      <c r="W1159" s="15">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5" t="n">
        <v>0</v>
      </c>
      <c r="U1160" s="15" t="n">
        <v>87</v>
      </c>
      <c r="V1160" s="15">
        <f>ROUNDUP((T1160+U1160+2*'Read Me'!$B$13)*(1+'Read Me'!$B$12),-1)</f>
        <v/>
      </c>
      <c r="W1160" s="15">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5" t="n">
        <v>180</v>
      </c>
      <c r="U1161" s="15" t="n">
        <v>10</v>
      </c>
      <c r="V1161" s="15">
        <f>ROUNDUP((T1161+U1161+2*'Read Me'!$B$13)*(1+'Read Me'!$B$12),-1)</f>
        <v/>
      </c>
      <c r="W1161" s="15">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5" t="n">
        <v>0</v>
      </c>
      <c r="U1162" s="15" t="n">
        <v>87</v>
      </c>
      <c r="V1162" s="15">
        <f>ROUNDUP((T1162+U1162+2*'Read Me'!$B$13)*(1+'Read Me'!$B$12),-1)</f>
        <v/>
      </c>
      <c r="W1162" s="15">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5" t="n">
        <v>180</v>
      </c>
      <c r="U1163" s="15" t="n">
        <v>10</v>
      </c>
      <c r="V1163" s="15">
        <f>ROUNDUP((T1163+U1163+2*'Read Me'!$B$13)*(1+'Read Me'!$B$12),-1)</f>
        <v/>
      </c>
      <c r="W1163" s="15">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5" t="n">
        <v>0</v>
      </c>
      <c r="U1164" s="15" t="n">
        <v>87</v>
      </c>
      <c r="V1164" s="15">
        <f>ROUNDUP((T1164+U1164+2*'Read Me'!$B$13)*(1+'Read Me'!$B$12),-1)</f>
        <v/>
      </c>
      <c r="W1164" s="15">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5" t="n">
        <v>180</v>
      </c>
      <c r="U1165" s="15" t="n">
        <v>10</v>
      </c>
      <c r="V1165" s="15">
        <f>ROUNDUP((T1165+U1165+2*'Read Me'!$B$13)*(1+'Read Me'!$B$12),-1)</f>
        <v/>
      </c>
      <c r="W1165" s="15">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5" t="n">
        <v>0</v>
      </c>
      <c r="U1166" s="15" t="n">
        <v>87</v>
      </c>
      <c r="V1166" s="15">
        <f>ROUNDUP((T1166+U1166+2*'Read Me'!$B$13)*(1+'Read Me'!$B$12),-1)</f>
        <v/>
      </c>
      <c r="W1166" s="15">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5" t="n">
        <v>180</v>
      </c>
      <c r="U1167" s="15" t="n">
        <v>10</v>
      </c>
      <c r="V1167" s="15">
        <f>ROUNDUP((T1167+U1167+2*'Read Me'!$B$13)*(1+'Read Me'!$B$12),-1)</f>
        <v/>
      </c>
      <c r="W1167" s="15">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5" t="n">
        <v>0</v>
      </c>
      <c r="U1168" s="15" t="n">
        <v>87</v>
      </c>
      <c r="V1168" s="15">
        <f>ROUNDUP((T1168+U1168+2*'Read Me'!$B$13)*(1+'Read Me'!$B$12),-1)</f>
        <v/>
      </c>
      <c r="W1168" s="15">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5" t="n">
        <v>180</v>
      </c>
      <c r="U1169" s="15" t="n">
        <v>10</v>
      </c>
      <c r="V1169" s="15">
        <f>ROUNDUP((T1169+U1169+2*'Read Me'!$B$13)*(1+'Read Me'!$B$12),-1)</f>
        <v/>
      </c>
      <c r="W1169" s="15">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5" t="n">
        <v>0</v>
      </c>
      <c r="U1170" s="15" t="n">
        <v>87</v>
      </c>
      <c r="V1170" s="15">
        <f>ROUNDUP((T1170+U1170+2*'Read Me'!$B$13)*(1+'Read Me'!$B$12),-1)</f>
        <v/>
      </c>
      <c r="W1170" s="15">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5" t="n">
        <v>180</v>
      </c>
      <c r="U1171" s="15" t="n">
        <v>10</v>
      </c>
      <c r="V1171" s="15">
        <f>ROUNDUP((T1171+U1171+2*'Read Me'!$B$13)*(1+'Read Me'!$B$12),-1)</f>
        <v/>
      </c>
      <c r="W1171" s="15">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5" t="n">
        <v>0</v>
      </c>
      <c r="U1172" s="15" t="n">
        <v>87</v>
      </c>
      <c r="V1172" s="15">
        <f>ROUNDUP((T1172+U1172+2*'Read Me'!$B$13)*(1+'Read Me'!$B$12),-1)</f>
        <v/>
      </c>
      <c r="W1172" s="15">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5" t="n">
        <v>180</v>
      </c>
      <c r="U1173" s="15" t="n">
        <v>10</v>
      </c>
      <c r="V1173" s="15">
        <f>ROUNDUP((T1173+U1173+2*'Read Me'!$B$13)*(1+'Read Me'!$B$12),-1)</f>
        <v/>
      </c>
      <c r="W1173" s="15">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5" t="n">
        <v>0</v>
      </c>
      <c r="U1174" s="15" t="n">
        <v>87</v>
      </c>
      <c r="V1174" s="15">
        <f>ROUNDUP((T1174+U1174+2*'Read Me'!$B$13)*(1+'Read Me'!$B$12),-1)</f>
        <v/>
      </c>
      <c r="W1174" s="15">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5" t="n">
        <v>180</v>
      </c>
      <c r="U1175" s="15" t="n">
        <v>10</v>
      </c>
      <c r="V1175" s="15">
        <f>ROUNDUP((T1175+U1175+2*'Read Me'!$B$13)*(1+'Read Me'!$B$12),-1)</f>
        <v/>
      </c>
      <c r="W1175" s="15">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5" t="n">
        <v>0</v>
      </c>
      <c r="U1176" s="15" t="n">
        <v>87</v>
      </c>
      <c r="V1176" s="15">
        <f>ROUNDUP((T1176+U1176+2*'Read Me'!$B$13)*(1+'Read Me'!$B$12),-1)</f>
        <v/>
      </c>
      <c r="W1176" s="15">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5" t="n">
        <v>43</v>
      </c>
      <c r="U1177" s="15" t="n">
        <v>10</v>
      </c>
      <c r="V1177" s="15">
        <f>ROUNDUP((T1177+U1177+2*'Read Me'!$B$13)*(1+'Read Me'!$B$12),-1)</f>
        <v/>
      </c>
      <c r="W1177" s="15">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5" t="n">
        <v>0</v>
      </c>
      <c r="U1178" s="15" t="n">
        <v>124</v>
      </c>
      <c r="V1178" s="15">
        <f>ROUNDUP((T1178+U1178+2*'Read Me'!$B$13)*(1+'Read Me'!$B$12),-1)</f>
        <v/>
      </c>
      <c r="W1178" s="15">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5" t="n">
        <v>43</v>
      </c>
      <c r="U1179" s="15" t="n">
        <v>10</v>
      </c>
      <c r="V1179" s="15">
        <f>ROUNDUP((T1179+U1179+2*'Read Me'!$B$13)*(1+'Read Me'!$B$12),-1)</f>
        <v/>
      </c>
      <c r="W1179" s="15">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5" t="n">
        <v>0</v>
      </c>
      <c r="U1180" s="15" t="n">
        <v>124</v>
      </c>
      <c r="V1180" s="15">
        <f>ROUNDUP((T1180+U1180+2*'Read Me'!$B$13)*(1+'Read Me'!$B$12),-1)</f>
        <v/>
      </c>
      <c r="W1180" s="15">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5" t="n">
        <v>42</v>
      </c>
      <c r="U1181" s="15" t="n">
        <v>10</v>
      </c>
      <c r="V1181" s="15">
        <f>ROUNDUP((T1181+U1181+2*'Read Me'!$B$13)*(1+'Read Me'!$B$12),-1)</f>
        <v/>
      </c>
      <c r="W1181" s="15">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R3</t>
        </is>
      </c>
      <c r="F1182" s="12" t="inlineStr">
        <is>
          <t>R3: ST auxiliary electrical e-house (40 x 65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5" t="n">
        <v>512</v>
      </c>
      <c r="U1182" s="15" t="n">
        <v>150</v>
      </c>
      <c r="V1182" s="15">
        <f>ROUNDUP((T1182+U1182+2*'Read Me'!$B$13)*(1+'Read Me'!$B$12),-1)</f>
        <v/>
      </c>
      <c r="W1182" s="15">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5" t="n">
        <v>42</v>
      </c>
      <c r="U1183" s="15" t="n">
        <v>10</v>
      </c>
      <c r="V1183" s="15">
        <f>ROUNDUP((T1183+U1183+2*'Read Me'!$B$13)*(1+'Read Me'!$B$12),-1)</f>
        <v/>
      </c>
      <c r="W1183" s="15">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R3</t>
        </is>
      </c>
      <c r="F1184" s="12" t="inlineStr">
        <is>
          <t>R3: ST auxiliary electrical e-house (40 x 65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5" t="n">
        <v>512</v>
      </c>
      <c r="U1184" s="15" t="n">
        <v>150</v>
      </c>
      <c r="V1184" s="15">
        <f>ROUNDUP((T1184+U1184+2*'Read Me'!$B$13)*(1+'Read Me'!$B$12),-1)</f>
        <v/>
      </c>
      <c r="W1184" s="15">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5" t="n">
        <v>41</v>
      </c>
      <c r="U1185" s="15" t="n">
        <v>10</v>
      </c>
      <c r="V1185" s="15">
        <f>ROUNDUP((T1185+U1185+2*'Read Me'!$B$13)*(1+'Read Me'!$B$12),-1)</f>
        <v/>
      </c>
      <c r="W1185" s="15">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5" t="n">
        <v>781</v>
      </c>
      <c r="U1186" s="15" t="n">
        <v>88</v>
      </c>
      <c r="V1186" s="15">
        <f>ROUNDUP((T1186+U1186+2*'Read Me'!$B$13)*(1+'Read Me'!$B$12),-1)</f>
        <v/>
      </c>
      <c r="W1186" s="15">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5" t="n">
        <v>41</v>
      </c>
      <c r="U1187" s="15" t="n">
        <v>10</v>
      </c>
      <c r="V1187" s="15">
        <f>ROUNDUP((T1187+U1187+2*'Read Me'!$B$13)*(1+'Read Me'!$B$12),-1)</f>
        <v/>
      </c>
      <c r="W1187" s="15">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5" t="n">
        <v>781</v>
      </c>
      <c r="U1188" s="15" t="n">
        <v>88</v>
      </c>
      <c r="V1188" s="15">
        <f>ROUNDUP((T1188+U1188+2*'Read Me'!$B$13)*(1+'Read Me'!$B$12),-1)</f>
        <v/>
      </c>
      <c r="W1188" s="15">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5" t="n">
        <v>41</v>
      </c>
      <c r="U1189" s="15" t="n">
        <v>10</v>
      </c>
      <c r="V1189" s="15">
        <f>ROUNDUP((T1189+U1189+2*'Read Me'!$B$13)*(1+'Read Me'!$B$12),-1)</f>
        <v/>
      </c>
      <c r="W1189" s="15">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5" t="n">
        <v>591</v>
      </c>
      <c r="U1190" s="15" t="n">
        <v>100</v>
      </c>
      <c r="V1190" s="15">
        <f>ROUNDUP((T1190+U1190+2*'Read Me'!$B$13)*(1+'Read Me'!$B$12),-1)</f>
        <v/>
      </c>
      <c r="W1190" s="15">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5" t="n">
        <v>41</v>
      </c>
      <c r="U1191" s="15" t="n">
        <v>10</v>
      </c>
      <c r="V1191" s="15">
        <f>ROUNDUP((T1191+U1191+2*'Read Me'!$B$13)*(1+'Read Me'!$B$12),-1)</f>
        <v/>
      </c>
      <c r="W1191" s="15">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5" t="n">
        <v>591</v>
      </c>
      <c r="U1192" s="15" t="n">
        <v>100</v>
      </c>
      <c r="V1192" s="15">
        <f>ROUNDUP((T1192+U1192+2*'Read Me'!$B$13)*(1+'Read Me'!$B$12),-1)</f>
        <v/>
      </c>
      <c r="W1192" s="15">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5" t="n">
        <v>43</v>
      </c>
      <c r="U1193" s="15" t="n">
        <v>10</v>
      </c>
      <c r="V1193" s="15">
        <f>ROUNDUP((T1193+U1193+2*'Read Me'!$B$13)*(1+'Read Me'!$B$12),-1)</f>
        <v/>
      </c>
      <c r="W1193" s="15">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R2B</t>
        </is>
      </c>
      <c r="F1194" s="12" t="inlineStr">
        <is>
          <t>R2B: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5" t="n">
        <v>459</v>
      </c>
      <c r="U1194" s="15" t="n">
        <v>81</v>
      </c>
      <c r="V1194" s="15">
        <f>ROUNDUP((T1194+U1194+2*'Read Me'!$B$13)*(1+'Read Me'!$B$12),-1)</f>
        <v/>
      </c>
      <c r="W1194" s="15">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5" t="n">
        <v>43</v>
      </c>
      <c r="U1195" s="15" t="n">
        <v>10</v>
      </c>
      <c r="V1195" s="15">
        <f>ROUNDUP((T1195+U1195+2*'Read Me'!$B$13)*(1+'Read Me'!$B$12),-1)</f>
        <v/>
      </c>
      <c r="W1195" s="15">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R2B</t>
        </is>
      </c>
      <c r="F1196" s="12" t="inlineStr">
        <is>
          <t>R2B: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5" t="n">
        <v>459</v>
      </c>
      <c r="U1196" s="15" t="n">
        <v>81</v>
      </c>
      <c r="V1196" s="15">
        <f>ROUNDUP((T1196+U1196+2*'Read Me'!$B$13)*(1+'Read Me'!$B$12),-1)</f>
        <v/>
      </c>
      <c r="W1196" s="15">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5" t="n">
        <v>43</v>
      </c>
      <c r="U1197" s="15" t="n">
        <v>10</v>
      </c>
      <c r="V1197" s="15">
        <f>ROUNDUP((T1197+U1197+2*'Read Me'!$B$13)*(1+'Read Me'!$B$12),-1)</f>
        <v/>
      </c>
      <c r="W1197" s="15">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R2C</t>
        </is>
      </c>
      <c r="F1198" s="12" t="inlineStr">
        <is>
          <t>R2C: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5" t="n">
        <v>459</v>
      </c>
      <c r="U1198" s="15" t="n">
        <v>81</v>
      </c>
      <c r="V1198" s="15">
        <f>ROUNDUP((T1198+U1198+2*'Read Me'!$B$13)*(1+'Read Me'!$B$12),-1)</f>
        <v/>
      </c>
      <c r="W1198" s="15">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5" t="n">
        <v>43</v>
      </c>
      <c r="U1199" s="15" t="n">
        <v>10</v>
      </c>
      <c r="V1199" s="15">
        <f>ROUNDUP((T1199+U1199+2*'Read Me'!$B$13)*(1+'Read Me'!$B$12),-1)</f>
        <v/>
      </c>
      <c r="W1199" s="15">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R2C</t>
        </is>
      </c>
      <c r="F1200" s="12" t="inlineStr">
        <is>
          <t>R2C: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5" t="n">
        <v>459</v>
      </c>
      <c r="U1200" s="15" t="n">
        <v>81</v>
      </c>
      <c r="V1200" s="15">
        <f>ROUNDUP((T1200+U1200+2*'Read Me'!$B$13)*(1+'Read Me'!$B$12),-1)</f>
        <v/>
      </c>
      <c r="W1200" s="15">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5" t="n">
        <v>43</v>
      </c>
      <c r="U1201" s="15" t="n">
        <v>10</v>
      </c>
      <c r="V1201" s="15">
        <f>ROUNDUP((T1201+U1201+2*'Read Me'!$B$13)*(1+'Read Me'!$B$12),-1)</f>
        <v/>
      </c>
      <c r="W1201" s="15">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R3</t>
        </is>
      </c>
      <c r="F1202" s="12" t="inlineStr">
        <is>
          <t>R3: ST auxiliary electrical e-house (40 x 65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5" t="n">
        <v>489</v>
      </c>
      <c r="U1202" s="15" t="n">
        <v>89</v>
      </c>
      <c r="V1202" s="15">
        <f>ROUNDUP((T1202+U1202+2*'Read Me'!$B$13)*(1+'Read Me'!$B$12),-1)</f>
        <v/>
      </c>
      <c r="W1202" s="15">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5" t="n">
        <v>43</v>
      </c>
      <c r="U1203" s="15" t="n">
        <v>10</v>
      </c>
      <c r="V1203" s="15">
        <f>ROUNDUP((T1203+U1203+2*'Read Me'!$B$13)*(1+'Read Me'!$B$12),-1)</f>
        <v/>
      </c>
      <c r="W1203" s="15">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R3</t>
        </is>
      </c>
      <c r="F1204" s="12" t="inlineStr">
        <is>
          <t>R3: ST auxiliary electrical e-house (40 x 65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5" t="n">
        <v>489</v>
      </c>
      <c r="U1204" s="15" t="n">
        <v>89</v>
      </c>
      <c r="V1204" s="15">
        <f>ROUNDUP((T1204+U1204+2*'Read Me'!$B$13)*(1+'Read Me'!$B$12),-1)</f>
        <v/>
      </c>
      <c r="W1204" s="15">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5" t="n">
        <v>43</v>
      </c>
      <c r="U1205" s="15" t="n">
        <v>10</v>
      </c>
      <c r="V1205" s="15">
        <f>ROUNDUP((T1205+U1205+2*'Read Me'!$B$13)*(1+'Read Me'!$B$12),-1)</f>
        <v/>
      </c>
      <c r="W1205" s="15">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5" t="n">
        <v>465</v>
      </c>
      <c r="U1206" s="15" t="n">
        <v>73</v>
      </c>
      <c r="V1206" s="15">
        <f>ROUNDUP((T1206+U1206+2*'Read Me'!$B$13)*(1+'Read Me'!$B$12),-1)</f>
        <v/>
      </c>
      <c r="W1206" s="15">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5" t="n">
        <v>43</v>
      </c>
      <c r="U1207" s="15" t="n">
        <v>10</v>
      </c>
      <c r="V1207" s="15">
        <f>ROUNDUP((T1207+U1207+2*'Read Me'!$B$13)*(1+'Read Me'!$B$12),-1)</f>
        <v/>
      </c>
      <c r="W1207" s="15">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5" t="n">
        <v>465</v>
      </c>
      <c r="U1208" s="15" t="n">
        <v>73</v>
      </c>
      <c r="V1208" s="15">
        <f>ROUNDUP((T1208+U1208+2*'Read Me'!$B$13)*(1+'Read Me'!$B$12),-1)</f>
        <v/>
      </c>
      <c r="W1208" s="15">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5" t="n">
        <v>0</v>
      </c>
      <c r="U1209" s="15" t="n">
        <v>73</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5" t="n">
        <v>0</v>
      </c>
      <c r="U1210" s="15" t="n">
        <v>109</v>
      </c>
      <c r="V1210" s="15">
        <f>ROUNDUP((T1210+U1210+2*'Read Me'!$B$13)*(1+'Read Me'!$B$12),-1)</f>
        <v/>
      </c>
      <c r="W1210" s="15">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5" t="n">
        <v>697</v>
      </c>
      <c r="U1211" s="15" t="n">
        <v>140</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5" t="n">
        <v>51</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R2B</t>
        </is>
      </c>
      <c r="F1213" s="12" t="inlineStr">
        <is>
          <t>R2B: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116</v>
      </c>
      <c r="U1213" s="15" t="n">
        <v>78</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5" t="n">
        <v>51</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R2B</t>
        </is>
      </c>
      <c r="F1215" s="12" t="inlineStr">
        <is>
          <t>R2B: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116</v>
      </c>
      <c r="U1215" s="15" t="n">
        <v>78</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5" t="n">
        <v>51</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R2C</t>
        </is>
      </c>
      <c r="F1217" s="12" t="inlineStr">
        <is>
          <t>R2C: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30</v>
      </c>
      <c r="U1217" s="15" t="n">
        <v>128</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5" t="n">
        <v>51</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R2C</t>
        </is>
      </c>
      <c r="F1219" s="12" t="inlineStr">
        <is>
          <t>R2C: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30</v>
      </c>
      <c r="U1219" s="15" t="n">
        <v>128</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5" t="n">
        <v>51</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R3</t>
        </is>
      </c>
      <c r="F1221" s="12" t="inlineStr">
        <is>
          <t>R3: ST auxiliary electrical e-house (40 x 65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510</v>
      </c>
      <c r="U1221" s="15" t="n">
        <v>114</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5" t="n">
        <v>51</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R3</t>
        </is>
      </c>
      <c r="F1223" s="12" t="inlineStr">
        <is>
          <t>R3: ST auxiliary electrical e-house (40 x 65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510</v>
      </c>
      <c r="U1223" s="15" t="n">
        <v>114</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5" t="n">
        <v>54</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R2B</t>
        </is>
      </c>
      <c r="F1225" s="12" t="inlineStr">
        <is>
          <t>R2B: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446</v>
      </c>
      <c r="U1225" s="15" t="n">
        <v>102</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54</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R2B</t>
        </is>
      </c>
      <c r="F1227" s="12" t="inlineStr">
        <is>
          <t>R2B: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446</v>
      </c>
      <c r="U1227" s="15" t="n">
        <v>102</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5" t="n">
        <v>54</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R2C</t>
        </is>
      </c>
      <c r="F1229" s="12" t="inlineStr">
        <is>
          <t>R2C: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446</v>
      </c>
      <c r="U1229" s="15" t="n">
        <v>102</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54</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R2C</t>
        </is>
      </c>
      <c r="F1231" s="12" t="inlineStr">
        <is>
          <t>R2C: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446</v>
      </c>
      <c r="U1231" s="15" t="n">
        <v>102</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5" t="n">
        <v>54</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R3</t>
        </is>
      </c>
      <c r="F1233" s="12" t="inlineStr">
        <is>
          <t>R3: ST auxiliary electrical e-house (40 x 65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Duct bank</t>
        </is>
      </c>
      <c r="T1233" s="15" t="n">
        <v>438</v>
      </c>
      <c r="U1233" s="15" t="n">
        <v>75</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5" t="n">
        <v>54</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R3</t>
        </is>
      </c>
      <c r="F1235" s="12" t="inlineStr">
        <is>
          <t>R3: ST auxiliary electrical e-house (40 x 65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Duct bank</t>
        </is>
      </c>
      <c r="T1235" s="15" t="n">
        <v>438</v>
      </c>
      <c r="U1235" s="15" t="n">
        <v>75</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5" t="n">
        <v>52</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5" t="n">
        <v>258</v>
      </c>
      <c r="U1237" s="15" t="n">
        <v>100</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5" t="n">
        <v>52</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5" t="n">
        <v>258</v>
      </c>
      <c r="U1239" s="15" t="n">
        <v>100</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5" t="n">
        <v>52</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5" t="n">
        <v>266</v>
      </c>
      <c r="U1241" s="15" t="n">
        <v>96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5" t="n">
        <v>52</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5" t="n">
        <v>266</v>
      </c>
      <c r="U1243" s="15" t="n">
        <v>96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5" t="n">
        <v>52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Tray</t>
        </is>
      </c>
      <c r="T1245" s="15" t="n">
        <v>266</v>
      </c>
      <c r="U1245" s="15" t="n">
        <v>96</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5" t="n">
        <v>52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Tray</t>
        </is>
      </c>
      <c r="T1247" s="15" t="n">
        <v>266</v>
      </c>
      <c r="U1247" s="15" t="n">
        <v>96</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5" t="n">
        <v>40</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5" t="n">
        <v>407</v>
      </c>
      <c r="U1249" s="15" t="n">
        <v>82</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5" t="n">
        <v>40</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5" t="n">
        <v>407</v>
      </c>
      <c r="U1251" s="15" t="n">
        <v>82</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5" t="n">
        <v>40</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5" t="n">
        <v>416</v>
      </c>
      <c r="U1253" s="15" t="n">
        <v>78</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5" t="n">
        <v>40</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416</v>
      </c>
      <c r="U1255" s="15" t="n">
        <v>78</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5" t="n">
        <v>40</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R3</t>
        </is>
      </c>
      <c r="F1257" s="12" t="inlineStr">
        <is>
          <t>R3: ST auxiliary electrical e-house (40 x 65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508</v>
      </c>
      <c r="U1257" s="15" t="n">
        <v>86</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5" t="n">
        <v>40</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R3</t>
        </is>
      </c>
      <c r="F1259" s="12" t="inlineStr">
        <is>
          <t>R3: ST auxiliary electrical e-house (40 x 65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508</v>
      </c>
      <c r="U1259" s="15" t="n">
        <v>86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5" t="n">
        <v>62</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91</v>
      </c>
      <c r="U1261" s="15" t="n">
        <v>70</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62</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91</v>
      </c>
      <c r="U1263" s="15" t="n">
        <v>70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62</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91</v>
      </c>
      <c r="U1265" s="15" t="n">
        <v>70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62</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91</v>
      </c>
      <c r="U1267" s="15" t="n">
        <v>70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119</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14</v>
      </c>
      <c r="U1269" s="15" t="n">
        <v>78</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5" t="n">
        <v>119</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5" t="n">
        <v>14</v>
      </c>
      <c r="U1271" s="15" t="n">
        <v>78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119</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5" t="n">
        <v>14</v>
      </c>
      <c r="U1273" s="15" t="n">
        <v>78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5" t="n">
        <v>119</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14</v>
      </c>
      <c r="U1275" s="15" t="n">
        <v>78</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119</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14</v>
      </c>
      <c r="U1277" s="15" t="n">
        <v>78</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5" t="n">
        <v>119</v>
      </c>
      <c r="U1278" s="15" t="n">
        <v>10</v>
      </c>
      <c r="V1278" s="15">
        <f>ROUNDUP((T1278+U1278+2*'Read Me'!$B$13)*(1+'Read Me'!$B$12),-1)</f>
        <v/>
      </c>
      <c r="W1278" s="15">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5" t="n">
        <v>14</v>
      </c>
      <c r="U1279" s="15" t="n">
        <v>78</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5" t="n">
        <v>119</v>
      </c>
      <c r="U1280" s="15" t="n">
        <v>10</v>
      </c>
      <c r="V1280" s="15">
        <f>ROUNDUP((T1280+U1280+2*'Read Me'!$B$13)*(1+'Read Me'!$B$12),-1)</f>
        <v/>
      </c>
      <c r="W1280" s="15">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5" t="n">
        <v>14</v>
      </c>
      <c r="U1281" s="15" t="n">
        <v>78</v>
      </c>
      <c r="V1281" s="15">
        <f>ROUNDUP((T1281+U1281+2*'Read Me'!$B$13)*(1+'Read Me'!$B$12),-1)</f>
        <v/>
      </c>
      <c r="W1281" s="15">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5" t="n">
        <v>119</v>
      </c>
      <c r="U1282" s="15" t="n">
        <v>10</v>
      </c>
      <c r="V1282" s="15">
        <f>ROUNDUP((T1282+U1282+2*'Read Me'!$B$13)*(1+'Read Me'!$B$12),-1)</f>
        <v/>
      </c>
      <c r="W1282" s="15">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5" t="n">
        <v>14</v>
      </c>
      <c r="U1283" s="15" t="n">
        <v>78</v>
      </c>
      <c r="V1283" s="15">
        <f>ROUNDUP((T1283+U1283+2*'Read Me'!$B$13)*(1+'Read Me'!$B$12),-1)</f>
        <v/>
      </c>
      <c r="W1283" s="15">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5" t="n">
        <v>119</v>
      </c>
      <c r="U1284" s="15" t="n">
        <v>10</v>
      </c>
      <c r="V1284" s="15">
        <f>ROUNDUP((T1284+U1284+2*'Read Me'!$B$13)*(1+'Read Me'!$B$12),-1)</f>
        <v/>
      </c>
      <c r="W1284" s="15">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5" t="n">
        <v>14</v>
      </c>
      <c r="U1285" s="15" t="n">
        <v>78</v>
      </c>
      <c r="V1285" s="15">
        <f>ROUNDUP((T1285+U1285+2*'Read Me'!$B$13)*(1+'Read Me'!$B$12),-1)</f>
        <v/>
      </c>
      <c r="W1285" s="15">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5" t="n">
        <v>119</v>
      </c>
      <c r="U1286" s="15" t="n">
        <v>10</v>
      </c>
      <c r="V1286" s="15">
        <f>ROUNDUP((T1286+U1286+2*'Read Me'!$B$13)*(1+'Read Me'!$B$12),-1)</f>
        <v/>
      </c>
      <c r="W1286" s="15">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5" t="n">
        <v>14</v>
      </c>
      <c r="U1287" s="15" t="n">
        <v>78</v>
      </c>
      <c r="V1287" s="15">
        <f>ROUNDUP((T1287+U1287+2*'Read Me'!$B$13)*(1+'Read Me'!$B$12),-1)</f>
        <v/>
      </c>
      <c r="W1287" s="15">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5" t="n">
        <v>119</v>
      </c>
      <c r="U1288" s="15" t="n">
        <v>10</v>
      </c>
      <c r="V1288" s="15">
        <f>ROUNDUP((T1288+U1288+2*'Read Me'!$B$13)*(1+'Read Me'!$B$12),-1)</f>
        <v/>
      </c>
      <c r="W1288" s="15">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5" t="n">
        <v>14</v>
      </c>
      <c r="U1289" s="15" t="n">
        <v>78</v>
      </c>
      <c r="V1289" s="15">
        <f>ROUNDUP((T1289+U1289+2*'Read Me'!$B$13)*(1+'Read Me'!$B$12),-1)</f>
        <v/>
      </c>
      <c r="W1289" s="15">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5" t="n">
        <v>119</v>
      </c>
      <c r="U1290" s="15" t="n">
        <v>10</v>
      </c>
      <c r="V1290" s="15">
        <f>ROUNDUP((T1290+U1290+2*'Read Me'!$B$13)*(1+'Read Me'!$B$12),-1)</f>
        <v/>
      </c>
      <c r="W1290" s="15">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5" t="n">
        <v>14</v>
      </c>
      <c r="U1291" s="15" t="n">
        <v>78</v>
      </c>
      <c r="V1291" s="15">
        <f>ROUNDUP((T1291+U1291+2*'Read Me'!$B$13)*(1+'Read Me'!$B$12),-1)</f>
        <v/>
      </c>
      <c r="W1291" s="15">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5" t="n">
        <v>119</v>
      </c>
      <c r="U1292" s="15" t="n">
        <v>10</v>
      </c>
      <c r="V1292" s="15">
        <f>ROUNDUP((T1292+U1292+2*'Read Me'!$B$13)*(1+'Read Me'!$B$12),-1)</f>
        <v/>
      </c>
      <c r="W1292" s="15">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5" t="n">
        <v>14</v>
      </c>
      <c r="U1293" s="15" t="n">
        <v>78</v>
      </c>
      <c r="V1293" s="15">
        <f>ROUNDUP((T1293+U1293+2*'Read Me'!$B$13)*(1+'Read Me'!$B$12),-1)</f>
        <v/>
      </c>
      <c r="W1293" s="15">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5" t="n">
        <v>119</v>
      </c>
      <c r="U1294" s="15" t="n">
        <v>10</v>
      </c>
      <c r="V1294" s="15">
        <f>ROUNDUP((T1294+U1294+2*'Read Me'!$B$13)*(1+'Read Me'!$B$12),-1)</f>
        <v/>
      </c>
      <c r="W1294" s="15">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Tray</t>
        </is>
      </c>
      <c r="T1295" s="15" t="n">
        <v>14</v>
      </c>
      <c r="U1295" s="15" t="n">
        <v>78</v>
      </c>
      <c r="V1295" s="15">
        <f>ROUNDUP((T1295+U1295+2*'Read Me'!$B$13)*(1+'Read Me'!$B$12),-1)</f>
        <v/>
      </c>
      <c r="W1295" s="15">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5" t="n">
        <v>119</v>
      </c>
      <c r="U1296" s="15" t="n">
        <v>10</v>
      </c>
      <c r="V1296" s="15">
        <f>ROUNDUP((T1296+U1296+2*'Read Me'!$B$13)*(1+'Read Me'!$B$12),-1)</f>
        <v/>
      </c>
      <c r="W1296" s="15">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Tray</t>
        </is>
      </c>
      <c r="T1297" s="15" t="n">
        <v>14</v>
      </c>
      <c r="U1297" s="15" t="n">
        <v>78</v>
      </c>
      <c r="V1297" s="15">
        <f>ROUNDUP((T1297+U1297+2*'Read Me'!$B$13)*(1+'Read Me'!$B$12),-1)</f>
        <v/>
      </c>
      <c r="W1297" s="15">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Tray</t>
        </is>
      </c>
      <c r="T1298" s="15" t="n">
        <v>14</v>
      </c>
      <c r="U1298" s="15" t="n">
        <v>78</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74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465</v>
      </c>
      <c r="U1300" s="15" t="n">
        <v>82</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5" t="n">
        <v>74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465</v>
      </c>
      <c r="U1302" s="15" t="n">
        <v>82</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5" t="n">
        <v>74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Tray</t>
        </is>
      </c>
      <c r="T1304" s="15" t="n">
        <v>465</v>
      </c>
      <c r="U1304" s="15" t="n">
        <v>82</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5" t="n">
        <v>74</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Tray</t>
        </is>
      </c>
      <c r="T1306" s="15" t="n">
        <v>465</v>
      </c>
      <c r="U1306" s="15" t="n">
        <v>82</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5" t="n">
        <v>74</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Tray</t>
        </is>
      </c>
      <c r="T1308" s="15" t="n">
        <v>465</v>
      </c>
      <c r="U1308" s="15" t="n">
        <v>82</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Tray</t>
        </is>
      </c>
      <c r="T1309" s="15" t="n">
        <v>465</v>
      </c>
      <c r="U1309" s="15" t="n">
        <v>82</v>
      </c>
      <c r="V1309" s="15">
        <f>ROUNDUP((T1309+U1309+2*'Read Me'!$B$13)*(1+'Read Me'!$B$12),-1)</f>
        <v/>
      </c>
      <c r="W1309" s="15">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5" t="n">
        <v>75</v>
      </c>
      <c r="U1310" s="15" t="n">
        <v>10</v>
      </c>
      <c r="V1310" s="15">
        <f>ROUNDUP((T1310+U1310+2*'Read Me'!$B$13)*(1+'Read Me'!$B$12),-1)</f>
        <v/>
      </c>
      <c r="W1310" s="15">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5" t="n">
        <v>230</v>
      </c>
      <c r="U1311" s="15" t="n">
        <v>50</v>
      </c>
      <c r="V1311" s="15">
        <f>ROUNDUP((T1311+U1311+2*'Read Me'!$B$13)*(1+'Read Me'!$B$12),-1)</f>
        <v/>
      </c>
      <c r="W1311" s="15">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5" t="n">
        <v>75</v>
      </c>
      <c r="U1312" s="15" t="n">
        <v>10</v>
      </c>
      <c r="V1312" s="15">
        <f>ROUNDUP((T1312+U1312+2*'Read Me'!$B$13)*(1+'Read Me'!$B$12),-1)</f>
        <v/>
      </c>
      <c r="W1312" s="15">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5" t="n">
        <v>230</v>
      </c>
      <c r="U1313" s="15" t="n">
        <v>50</v>
      </c>
      <c r="V1313" s="15">
        <f>ROUNDUP((T1313+U1313+2*'Read Me'!$B$13)*(1+'Read Me'!$B$12),-1)</f>
        <v/>
      </c>
      <c r="W1313" s="15">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5" t="n">
        <v>75</v>
      </c>
      <c r="U1314" s="15" t="n">
        <v>10</v>
      </c>
      <c r="V1314" s="15">
        <f>ROUNDUP((T1314+U1314+2*'Read Me'!$B$13)*(1+'Read Me'!$B$12),-1)</f>
        <v/>
      </c>
      <c r="W1314" s="15">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5" t="n">
        <v>230</v>
      </c>
      <c r="U1315" s="15" t="n">
        <v>50</v>
      </c>
      <c r="V1315" s="15">
        <f>ROUNDUP((T1315+U1315+2*'Read Me'!$B$13)*(1+'Read Me'!$B$12),-1)</f>
        <v/>
      </c>
      <c r="W1315" s="15">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5" t="n">
        <v>41</v>
      </c>
      <c r="U1316" s="15" t="n">
        <v>10</v>
      </c>
      <c r="V1316" s="15">
        <f>ROUNDUP((T1316+U1316+2*'Read Me'!$B$13)*(1+'Read Me'!$B$12),-1)</f>
        <v/>
      </c>
      <c r="W1316" s="15">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5" t="n">
        <v>0</v>
      </c>
      <c r="U1317" s="15" t="n">
        <v>86</v>
      </c>
      <c r="V1317" s="15">
        <f>ROUNDUP((T1317+U1317+2*'Read Me'!$B$13)*(1+'Read Me'!$B$12),-1)</f>
        <v/>
      </c>
      <c r="W1317" s="15">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5" t="n">
        <v>41</v>
      </c>
      <c r="U1318" s="15" t="n">
        <v>10</v>
      </c>
      <c r="V1318" s="15">
        <f>ROUNDUP((T1318+U1318+2*'Read Me'!$B$13)*(1+'Read Me'!$B$12),-1)</f>
        <v/>
      </c>
      <c r="W1318" s="15">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5" t="n">
        <v>0</v>
      </c>
      <c r="U1319" s="15" t="n">
        <v>86</v>
      </c>
      <c r="V1319" s="15">
        <f>ROUNDUP((T1319+U1319+2*'Read Me'!$B$13)*(1+'Read Me'!$B$12),-1)</f>
        <v/>
      </c>
      <c r="W1319" s="15">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5" t="n">
        <v>41</v>
      </c>
      <c r="U1320" s="15" t="n">
        <v>10</v>
      </c>
      <c r="V1320" s="15">
        <f>ROUNDUP((T1320+U1320+2*'Read Me'!$B$13)*(1+'Read Me'!$B$12),-1)</f>
        <v/>
      </c>
      <c r="W1320" s="15">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5" t="n">
        <v>0</v>
      </c>
      <c r="U1321" s="15" t="n">
        <v>97</v>
      </c>
      <c r="V1321" s="15">
        <f>ROUNDUP((T1321+U1321+2*'Read Me'!$B$13)*(1+'Read Me'!$B$12),-1)</f>
        <v/>
      </c>
      <c r="W1321" s="15">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5" t="n">
        <v>41</v>
      </c>
      <c r="U1322" s="15" t="n">
        <v>10</v>
      </c>
      <c r="V1322" s="15">
        <f>ROUNDUP((T1322+U1322+2*'Read Me'!$B$13)*(1+'Read Me'!$B$12),-1)</f>
        <v/>
      </c>
      <c r="W1322" s="15">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5" t="n">
        <v>0</v>
      </c>
      <c r="U1323" s="15" t="n">
        <v>97</v>
      </c>
      <c r="V1323" s="15">
        <f>ROUNDUP((T1323+U1323+2*'Read Me'!$B$13)*(1+'Read Me'!$B$12),-1)</f>
        <v/>
      </c>
      <c r="W1323" s="15">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5" t="n">
        <v>41</v>
      </c>
      <c r="U1324" s="15" t="n">
        <v>10</v>
      </c>
      <c r="V1324" s="15">
        <f>ROUNDUP((T1324+U1324+2*'Read Me'!$B$13)*(1+'Read Me'!$B$12),-1)</f>
        <v/>
      </c>
      <c r="W1324" s="15">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5" t="n">
        <v>0</v>
      </c>
      <c r="U1325" s="15" t="n">
        <v>97</v>
      </c>
      <c r="V1325" s="15">
        <f>ROUNDUP((T1325+U1325+2*'Read Me'!$B$13)*(1+'Read Me'!$B$12),-1)</f>
        <v/>
      </c>
      <c r="W1325" s="15">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5" t="n">
        <v>41</v>
      </c>
      <c r="U1326" s="15" t="n">
        <v>10</v>
      </c>
      <c r="V1326" s="15">
        <f>ROUNDUP((T1326+U1326+2*'Read Me'!$B$13)*(1+'Read Me'!$B$12),-1)</f>
        <v/>
      </c>
      <c r="W1326" s="15">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5" t="n">
        <v>0</v>
      </c>
      <c r="U1327" s="15" t="n">
        <v>97</v>
      </c>
      <c r="V1327" s="15">
        <f>ROUNDUP((T1327+U1327+2*'Read Me'!$B$13)*(1+'Read Me'!$B$12),-1)</f>
        <v/>
      </c>
      <c r="W1327" s="15">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5" t="n">
        <v>41</v>
      </c>
      <c r="U1328" s="15" t="n">
        <v>10</v>
      </c>
      <c r="V1328" s="15">
        <f>ROUNDUP((T1328+U1328+2*'Read Me'!$B$13)*(1+'Read Me'!$B$12),-1)</f>
        <v/>
      </c>
      <c r="W1328" s="15">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Tray</t>
        </is>
      </c>
      <c r="T1329" s="15" t="n">
        <v>2</v>
      </c>
      <c r="U1329" s="15" t="n">
        <v>109</v>
      </c>
      <c r="V1329" s="15">
        <f>ROUNDUP((T1329+U1329+2*'Read Me'!$B$13)*(1+'Read Me'!$B$12),-1)</f>
        <v/>
      </c>
      <c r="W1329" s="15">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5" t="n">
        <v>41</v>
      </c>
      <c r="U1330" s="15" t="n">
        <v>10</v>
      </c>
      <c r="V1330" s="15">
        <f>ROUNDUP((T1330+U1330+2*'Read Me'!$B$13)*(1+'Read Me'!$B$12),-1)</f>
        <v/>
      </c>
      <c r="W1330" s="15">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Tray</t>
        </is>
      </c>
      <c r="T1331" s="15" t="n">
        <v>2</v>
      </c>
      <c r="U1331" s="15" t="n">
        <v>109</v>
      </c>
      <c r="V1331" s="15">
        <f>ROUNDUP((T1331+U1331+2*'Read Me'!$B$13)*(1+'Read Me'!$B$12),-1)</f>
        <v/>
      </c>
      <c r="W1331" s="15">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5" t="n">
        <v>49</v>
      </c>
      <c r="U1332" s="15" t="n">
        <v>10</v>
      </c>
      <c r="V1332" s="15">
        <f>ROUNDUP((T1332+U1332+2*'Read Me'!$B$13)*(1+'Read Me'!$B$12),-1)</f>
        <v/>
      </c>
      <c r="W1332" s="15">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5" t="n">
        <v>793</v>
      </c>
      <c r="U1333" s="15" t="n">
        <v>88</v>
      </c>
      <c r="V1333" s="15">
        <f>ROUNDUP((T1333+U1333+2*'Read Me'!$B$13)*(1+'Read Me'!$B$12),-1)</f>
        <v/>
      </c>
      <c r="W1333" s="15">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5" t="n">
        <v>49</v>
      </c>
      <c r="U1334" s="15" t="n">
        <v>10</v>
      </c>
      <c r="V1334" s="15">
        <f>ROUNDUP((T1334+U1334+2*'Read Me'!$B$13)*(1+'Read Me'!$B$12),-1)</f>
        <v/>
      </c>
      <c r="W1334" s="15">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5" t="n">
        <v>793</v>
      </c>
      <c r="U1335" s="15" t="n">
        <v>88</v>
      </c>
      <c r="V1335" s="15">
        <f>ROUNDUP((T1335+U1335+2*'Read Me'!$B$13)*(1+'Read Me'!$B$12),-1)</f>
        <v/>
      </c>
      <c r="W1335" s="15">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5" t="n">
        <v>49</v>
      </c>
      <c r="U1336" s="15" t="n">
        <v>10</v>
      </c>
      <c r="V1336" s="15">
        <f>ROUNDUP((T1336+U1336+2*'Read Me'!$B$13)*(1+'Read Me'!$B$12),-1)</f>
        <v/>
      </c>
      <c r="W1336" s="15">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5" t="n">
        <v>591</v>
      </c>
      <c r="U1337" s="15" t="n">
        <v>114</v>
      </c>
      <c r="V1337" s="15">
        <f>ROUNDUP((T1337+U1337+2*'Read Me'!$B$13)*(1+'Read Me'!$B$12),-1)</f>
        <v/>
      </c>
      <c r="W1337" s="15">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5" t="n">
        <v>49</v>
      </c>
      <c r="U1338" s="15" t="n">
        <v>10</v>
      </c>
      <c r="V1338" s="15">
        <f>ROUNDUP((T1338+U1338+2*'Read Me'!$B$13)*(1+'Read Me'!$B$12),-1)</f>
        <v/>
      </c>
      <c r="W1338" s="15">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5" t="n">
        <v>591</v>
      </c>
      <c r="U1339" s="15" t="n">
        <v>114</v>
      </c>
      <c r="V1339" s="15">
        <f>ROUNDUP((T1339+U1339+2*'Read Me'!$B$13)*(1+'Read Me'!$B$12),-1)</f>
        <v/>
      </c>
      <c r="W1339" s="15">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5" t="n">
        <v>178</v>
      </c>
      <c r="U1340" s="15" t="n">
        <v>94</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Conduit link</t>
        </is>
      </c>
      <c r="T1341" s="15" t="n">
        <v>186</v>
      </c>
      <c r="U1341" s="15" t="n">
        <v>90</v>
      </c>
      <c r="V1341" s="15">
        <f>ROUNDUP((T1341+U1341+2*'Read Me'!$B$13)*(1+'Read Me'!$B$12),-1)</f>
        <v/>
      </c>
      <c r="W1341" s="15">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Conduit link</t>
        </is>
      </c>
      <c r="T1342" s="15" t="n">
        <v>186</v>
      </c>
      <c r="U1342" s="15" t="n">
        <v>90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5" t="n">
        <v>465</v>
      </c>
      <c r="U1343" s="15" t="n">
        <v>103</v>
      </c>
      <c r="V1343" s="15">
        <f>ROUNDUP((T1343+U1343+2*'Read Me'!$B$13)*(1+'Read Me'!$B$12),-1)</f>
        <v/>
      </c>
      <c r="W1343" s="15">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5" t="n">
        <v>51</v>
      </c>
      <c r="U1344" s="15" t="n">
        <v>10</v>
      </c>
      <c r="V1344" s="15">
        <f>ROUNDUP((T1344+U1344+2*'Read Me'!$B$13)*(1+'Read Me'!$B$12),-1)</f>
        <v/>
      </c>
      <c r="W1344" s="15">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R2B</t>
        </is>
      </c>
      <c r="F1345" s="12" t="inlineStr">
        <is>
          <t>R2B: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5" t="n">
        <v>581</v>
      </c>
      <c r="U1345" s="15" t="n">
        <v>79</v>
      </c>
      <c r="V1345" s="15">
        <f>ROUNDUP((T1345+U1345+2*'Read Me'!$B$13)*(1+'Read Me'!$B$12),-1)</f>
        <v/>
      </c>
      <c r="W1345" s="15">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5" t="n">
        <v>51</v>
      </c>
      <c r="U1346" s="15" t="n">
        <v>10</v>
      </c>
      <c r="V1346" s="15">
        <f>ROUNDUP((T1346+U1346+2*'Read Me'!$B$13)*(1+'Read Me'!$B$12),-1)</f>
        <v/>
      </c>
      <c r="W1346" s="15">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R2B</t>
        </is>
      </c>
      <c r="F1347" s="12" t="inlineStr">
        <is>
          <t>R2B: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5" t="n">
        <v>581</v>
      </c>
      <c r="U1347" s="15" t="n">
        <v>79</v>
      </c>
      <c r="V1347" s="15">
        <f>ROUNDUP((T1347+U1347+2*'Read Me'!$B$13)*(1+'Read Me'!$B$12),-1)</f>
        <v/>
      </c>
      <c r="W1347" s="15">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5" t="n">
        <v>51</v>
      </c>
      <c r="U1348" s="15" t="n">
        <v>10</v>
      </c>
      <c r="V1348" s="15">
        <f>ROUNDUP((T1348+U1348+2*'Read Me'!$B$13)*(1+'Read Me'!$B$12),-1)</f>
        <v/>
      </c>
      <c r="W1348" s="15">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R2C</t>
        </is>
      </c>
      <c r="F1349" s="12" t="inlineStr">
        <is>
          <t>R2C: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Tray</t>
        </is>
      </c>
      <c r="T1349" s="15" t="n">
        <v>581</v>
      </c>
      <c r="U1349" s="15" t="n">
        <v>79</v>
      </c>
      <c r="V1349" s="15">
        <f>ROUNDUP((T1349+U1349+2*'Read Me'!$B$13)*(1+'Read Me'!$B$12),-1)</f>
        <v/>
      </c>
      <c r="W1349" s="15">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5" t="n">
        <v>51</v>
      </c>
      <c r="U1350" s="15" t="n">
        <v>10</v>
      </c>
      <c r="V1350" s="15">
        <f>ROUNDUP((T1350+U1350+2*'Read Me'!$B$13)*(1+'Read Me'!$B$12),-1)</f>
        <v/>
      </c>
      <c r="W1350" s="15">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R2C</t>
        </is>
      </c>
      <c r="F1351" s="12" t="inlineStr">
        <is>
          <t>R2C: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Tray</t>
        </is>
      </c>
      <c r="T1351" s="15" t="n">
        <v>581</v>
      </c>
      <c r="U1351" s="15" t="n">
        <v>79</v>
      </c>
      <c r="V1351" s="15">
        <f>ROUNDUP((T1351+U1351+2*'Read Me'!$B$13)*(1+'Read Me'!$B$12),-1)</f>
        <v/>
      </c>
      <c r="W1351" s="15">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5" t="n">
        <v>51</v>
      </c>
      <c r="U1352" s="15" t="n">
        <v>10</v>
      </c>
      <c r="V1352" s="15">
        <f>ROUNDUP((T1352+U1352+2*'Read Me'!$B$13)*(1+'Read Me'!$B$12),-1)</f>
        <v/>
      </c>
      <c r="W1352" s="15">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R3</t>
        </is>
      </c>
      <c r="F1353" s="12" t="inlineStr">
        <is>
          <t>R3: ST auxiliary electrical e-house (40 x 65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5" t="n">
        <v>452</v>
      </c>
      <c r="U1353" s="15" t="n">
        <v>50</v>
      </c>
      <c r="V1353" s="15">
        <f>ROUNDUP((T1353+U1353+2*'Read Me'!$B$13)*(1+'Read Me'!$B$12),-1)</f>
        <v/>
      </c>
      <c r="W1353" s="15">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5" t="n">
        <v>51</v>
      </c>
      <c r="U1354" s="15" t="n">
        <v>10</v>
      </c>
      <c r="V1354" s="15">
        <f>ROUNDUP((T1354+U1354+2*'Read Me'!$B$13)*(1+'Read Me'!$B$12),-1)</f>
        <v/>
      </c>
      <c r="W1354" s="15">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R3</t>
        </is>
      </c>
      <c r="F1355" s="12" t="inlineStr">
        <is>
          <t>R3: ST auxiliary electrical e-house (40 x 65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5" t="n">
        <v>452</v>
      </c>
      <c r="U1355" s="15" t="n">
        <v>50</v>
      </c>
      <c r="V1355" s="15">
        <f>ROUNDUP((T1355+U1355+2*'Read Me'!$B$13)*(1+'Read Me'!$B$12),-1)</f>
        <v/>
      </c>
      <c r="W1355" s="15">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5" t="n">
        <v>52</v>
      </c>
      <c r="U1356" s="15" t="n">
        <v>10</v>
      </c>
      <c r="V1356" s="15">
        <f>ROUNDUP((T1356+U1356+2*'Read Me'!$B$13)*(1+'Read Me'!$B$12),-1)</f>
        <v/>
      </c>
      <c r="W1356" s="15">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5" t="n">
        <v>183</v>
      </c>
      <c r="U1357" s="15" t="n">
        <v>94</v>
      </c>
      <c r="V1357" s="15">
        <f>ROUNDUP((T1357+U1357+2*'Read Me'!$B$13)*(1+'Read Me'!$B$12),-1)</f>
        <v/>
      </c>
      <c r="W1357" s="15">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5" t="n">
        <v>52</v>
      </c>
      <c r="U1358" s="15" t="n">
        <v>10</v>
      </c>
      <c r="V1358" s="15">
        <f>ROUNDUP((T1358+U1358+2*'Read Me'!$B$13)*(1+'Read Me'!$B$12),-1)</f>
        <v/>
      </c>
      <c r="W1358" s="15">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5" t="n">
        <v>183</v>
      </c>
      <c r="U1359" s="15" t="n">
        <v>94</v>
      </c>
      <c r="V1359" s="15">
        <f>ROUNDUP((T1359+U1359+2*'Read Me'!$B$13)*(1+'Read Me'!$B$12),-1)</f>
        <v/>
      </c>
      <c r="W1359" s="15">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5" t="n">
        <v>52</v>
      </c>
      <c r="U1360" s="15" t="n">
        <v>10</v>
      </c>
      <c r="V1360" s="15">
        <f>ROUNDUP((T1360+U1360+2*'Read Me'!$B$13)*(1+'Read Me'!$B$12),-1)</f>
        <v/>
      </c>
      <c r="W1360" s="15">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Conduit link</t>
        </is>
      </c>
      <c r="T1361" s="15" t="n">
        <v>191</v>
      </c>
      <c r="U1361" s="15" t="n">
        <v>90</v>
      </c>
      <c r="V1361" s="15">
        <f>ROUNDUP((T1361+U1361+2*'Read Me'!$B$13)*(1+'Read Me'!$B$12),-1)</f>
        <v/>
      </c>
      <c r="W1361" s="15">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5" t="n">
        <v>52</v>
      </c>
      <c r="U1362" s="15" t="n">
        <v>10</v>
      </c>
      <c r="V1362" s="15">
        <f>ROUNDUP((T1362+U1362+2*'Read Me'!$B$13)*(1+'Read Me'!$B$12),-1)</f>
        <v/>
      </c>
      <c r="W1362" s="15">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Conduit link</t>
        </is>
      </c>
      <c r="T1363" s="15" t="n">
        <v>191</v>
      </c>
      <c r="U1363" s="15" t="n">
        <v>90</v>
      </c>
      <c r="V1363" s="15">
        <f>ROUNDUP((T1363+U1363+2*'Read Me'!$B$13)*(1+'Read Me'!$B$12),-1)</f>
        <v/>
      </c>
      <c r="W1363" s="15">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5" t="n">
        <v>52</v>
      </c>
      <c r="U1364" s="15" t="n">
        <v>10</v>
      </c>
      <c r="V1364" s="15">
        <f>ROUNDUP((T1364+U1364+2*'Read Me'!$B$13)*(1+'Read Me'!$B$12),-1)</f>
        <v/>
      </c>
      <c r="W1364" s="15">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Conduit link</t>
        </is>
      </c>
      <c r="T1365" s="15" t="n">
        <v>191</v>
      </c>
      <c r="U1365" s="15" t="n">
        <v>90</v>
      </c>
      <c r="V1365" s="15">
        <f>ROUNDUP((T1365+U1365+2*'Read Me'!$B$13)*(1+'Read Me'!$B$12),-1)</f>
        <v/>
      </c>
      <c r="W1365" s="15">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5" t="n">
        <v>52</v>
      </c>
      <c r="U1366" s="15" t="n">
        <v>10</v>
      </c>
      <c r="V1366" s="15">
        <f>ROUNDUP((T1366+U1366+2*'Read Me'!$B$13)*(1+'Read Me'!$B$12),-1)</f>
        <v/>
      </c>
      <c r="W1366" s="15">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Conduit link</t>
        </is>
      </c>
      <c r="T1367" s="15" t="n">
        <v>191</v>
      </c>
      <c r="U1367" s="15" t="n">
        <v>90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5" t="n">
        <v>90</v>
      </c>
      <c r="U1368" s="15" t="n">
        <v>70</v>
      </c>
      <c r="V1368" s="15">
        <f>ROUNDUP((T1368+U1368+2*'Read Me'!$B$13)*(1+'Read Me'!$B$12),-1)</f>
        <v/>
      </c>
      <c r="W1368" s="15">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5" t="n">
        <v>90</v>
      </c>
      <c r="U1369" s="15" t="n">
        <v>70</v>
      </c>
      <c r="V1369" s="15">
        <f>ROUNDUP((T1369+U1369+2*'Read Me'!$B$13)*(1+'Read Me'!$B$12),-1)</f>
        <v/>
      </c>
      <c r="W1369" s="15">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5" t="n">
        <v>90</v>
      </c>
      <c r="U1370" s="15" t="n">
        <v>70</v>
      </c>
      <c r="V1370" s="15">
        <f>ROUNDUP((T1370+U1370+2*'Read Me'!$B$13)*(1+'Read Me'!$B$12),-1)</f>
        <v/>
      </c>
      <c r="W1370" s="15">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R2B</t>
        </is>
      </c>
      <c r="F1371" s="12" t="inlineStr">
        <is>
          <t>R2B: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LV|3/C+G|10</t>
        </is>
      </c>
      <c r="L1371" s="12" t="inlineStr">
        <is>
          <t>3/C+G</t>
        </is>
      </c>
      <c r="M1371" s="12" t="inlineStr">
        <is>
          <t>10</t>
        </is>
      </c>
      <c r="N1371" s="12" t="n">
        <v>1</v>
      </c>
      <c r="O1371" s="12" t="n">
        <v>1</v>
      </c>
      <c r="P1371" s="12" t="n">
        <v>480</v>
      </c>
      <c r="Q1371" s="12" t="n">
        <v>15</v>
      </c>
      <c r="R1371" s="12" t="n">
        <v>21.2</v>
      </c>
      <c r="S1371" s="12" t="inlineStr">
        <is>
          <t>Tray</t>
        </is>
      </c>
      <c r="T1371" s="15" t="n">
        <v>41</v>
      </c>
      <c r="U1371" s="15" t="n">
        <v>78</v>
      </c>
      <c r="V1371" s="15">
        <f>ROUNDUP((T1371+U1371+2*'Read Me'!$B$13)*(1+'Read Me'!$B$12),-1)</f>
        <v/>
      </c>
      <c r="W1371" s="15">
        <f>V1371*N1371*O1371</f>
        <v/>
      </c>
      <c r="X1371" s="12">
        <f>IF(LEFT(I1371,2)="MV",2*N1371*IF(L1371="1/C",O1371,1),0)</f>
        <v/>
      </c>
      <c r="Y1371" s="12">
        <f>IF(OR(LEFT(K1371,4)="LVAX",LEFT(K1371,6)="MV15AX",LEFT(K1371,4)="CTAX",LEFT(K1371,2)="W|"),2*N1371*O1371,0)</f>
        <v/>
      </c>
      <c r="Z1371" s="12" t="inlineStr">
        <is>
          <t>VD 1.2 %</t>
        </is>
      </c>
      <c r="AA1371" s="12">
        <f>N1371*O1371</f>
        <v/>
      </c>
    </row>
    <row r="1372">
      <c r="A1372" s="12" t="inlineStr">
        <is>
          <t>A-P-0005</t>
        </is>
      </c>
      <c r="B1372" s="12" t="inlineStr">
        <is>
          <t>A</t>
        </is>
      </c>
      <c r="C1372" s="12" t="inlineStr">
        <is>
          <t>Power block</t>
        </is>
      </c>
      <c r="D1372" s="12" t="inlineStr">
        <is>
          <t>Motor 2 of 4, 15 kW</t>
        </is>
      </c>
      <c r="E1372" s="12" t="inlineStr">
        <is>
          <t>R2B</t>
        </is>
      </c>
      <c r="F1372" s="12" t="inlineStr">
        <is>
          <t>R2B: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LV|3/C+G|10</t>
        </is>
      </c>
      <c r="L1372" s="12" t="inlineStr">
        <is>
          <t>3/C+G</t>
        </is>
      </c>
      <c r="M1372" s="12" t="inlineStr">
        <is>
          <t>10</t>
        </is>
      </c>
      <c r="N1372" s="12" t="n">
        <v>1</v>
      </c>
      <c r="O1372" s="12" t="n">
        <v>1</v>
      </c>
      <c r="P1372" s="12" t="n">
        <v>480</v>
      </c>
      <c r="Q1372" s="12" t="n">
        <v>15</v>
      </c>
      <c r="R1372" s="12" t="n">
        <v>21.2</v>
      </c>
      <c r="S1372" s="12" t="inlineStr">
        <is>
          <t>Tray</t>
        </is>
      </c>
      <c r="T1372" s="15" t="n">
        <v>41</v>
      </c>
      <c r="U1372" s="15" t="n">
        <v>78</v>
      </c>
      <c r="V1372" s="15">
        <f>ROUNDUP((T1372+U1372+2*'Read Me'!$B$13)*(1+'Read Me'!$B$12),-1)</f>
        <v/>
      </c>
      <c r="W1372" s="15">
        <f>V1372*N1372*O1372</f>
        <v/>
      </c>
      <c r="X1372" s="12">
        <f>IF(LEFT(I1372,2)="MV",2*N1372*IF(L1372="1/C",O1372,1),0)</f>
        <v/>
      </c>
      <c r="Y1372" s="12">
        <f>IF(OR(LEFT(K1372,4)="LVAX",LEFT(K1372,6)="MV15AX",LEFT(K1372,4)="CTAX",LEFT(K1372,2)="W|"),2*N1372*O1372,0)</f>
        <v/>
      </c>
      <c r="Z1372" s="12" t="inlineStr">
        <is>
          <t>VD 1.2 %</t>
        </is>
      </c>
      <c r="AA1372" s="12">
        <f>N1372*O1372</f>
        <v/>
      </c>
    </row>
    <row r="1373">
      <c r="A1373" s="12" t="inlineStr">
        <is>
          <t>A-P-0006</t>
        </is>
      </c>
      <c r="B1373" s="12" t="inlineStr">
        <is>
          <t>A</t>
        </is>
      </c>
      <c r="C1373" s="12" t="inlineStr">
        <is>
          <t>Power block</t>
        </is>
      </c>
      <c r="D1373" s="12" t="inlineStr">
        <is>
          <t>Motor 3 of 4, 15 kW</t>
        </is>
      </c>
      <c r="E1373" s="12" t="inlineStr">
        <is>
          <t>R2B</t>
        </is>
      </c>
      <c r="F1373" s="12" t="inlineStr">
        <is>
          <t>R2B: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LV|3/C+G|10</t>
        </is>
      </c>
      <c r="L1373" s="12" t="inlineStr">
        <is>
          <t>3/C+G</t>
        </is>
      </c>
      <c r="M1373" s="12" t="inlineStr">
        <is>
          <t>10</t>
        </is>
      </c>
      <c r="N1373" s="12" t="n">
        <v>1</v>
      </c>
      <c r="O1373" s="12" t="n">
        <v>1</v>
      </c>
      <c r="P1373" s="12" t="n">
        <v>480</v>
      </c>
      <c r="Q1373" s="12" t="n">
        <v>15</v>
      </c>
      <c r="R1373" s="12" t="n">
        <v>21.2</v>
      </c>
      <c r="S1373" s="12" t="inlineStr">
        <is>
          <t>Tray</t>
        </is>
      </c>
      <c r="T1373" s="15" t="n">
        <v>41</v>
      </c>
      <c r="U1373" s="15" t="n">
        <v>78</v>
      </c>
      <c r="V1373" s="15">
        <f>ROUNDUP((T1373+U1373+2*'Read Me'!$B$13)*(1+'Read Me'!$B$12),-1)</f>
        <v/>
      </c>
      <c r="W1373" s="15">
        <f>V1373*N1373*O1373</f>
        <v/>
      </c>
      <c r="X1373" s="12">
        <f>IF(LEFT(I1373,2)="MV",2*N1373*IF(L1373="1/C",O1373,1),0)</f>
        <v/>
      </c>
      <c r="Y1373" s="12">
        <f>IF(OR(LEFT(K1373,4)="LVAX",LEFT(K1373,6)="MV15AX",LEFT(K1373,4)="CTAX",LEFT(K1373,2)="W|"),2*N1373*O1373,0)</f>
        <v/>
      </c>
      <c r="Z1373" s="12" t="inlineStr">
        <is>
          <t>VD 1.2 %</t>
        </is>
      </c>
      <c r="AA1373" s="12">
        <f>N1373*O1373</f>
        <v/>
      </c>
    </row>
    <row r="1374">
      <c r="A1374" s="12" t="inlineStr">
        <is>
          <t>A-P-0007</t>
        </is>
      </c>
      <c r="B1374" s="12" t="inlineStr">
        <is>
          <t>A</t>
        </is>
      </c>
      <c r="C1374" s="12" t="inlineStr">
        <is>
          <t>Power block</t>
        </is>
      </c>
      <c r="D1374" s="12" t="inlineStr">
        <is>
          <t>Motor 4 of 4, 15 kW</t>
        </is>
      </c>
      <c r="E1374" s="12" t="inlineStr">
        <is>
          <t>R2B</t>
        </is>
      </c>
      <c r="F1374" s="12" t="inlineStr">
        <is>
          <t>R2B: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LV|3/C+G|10</t>
        </is>
      </c>
      <c r="L1374" s="12" t="inlineStr">
        <is>
          <t>3/C+G</t>
        </is>
      </c>
      <c r="M1374" s="12" t="inlineStr">
        <is>
          <t>10</t>
        </is>
      </c>
      <c r="N1374" s="12" t="n">
        <v>1</v>
      </c>
      <c r="O1374" s="12" t="n">
        <v>1</v>
      </c>
      <c r="P1374" s="12" t="n">
        <v>480</v>
      </c>
      <c r="Q1374" s="12" t="n">
        <v>15</v>
      </c>
      <c r="R1374" s="12" t="n">
        <v>21.2</v>
      </c>
      <c r="S1374" s="12" t="inlineStr">
        <is>
          <t>Tray</t>
        </is>
      </c>
      <c r="T1374" s="15" t="n">
        <v>41</v>
      </c>
      <c r="U1374" s="15" t="n">
        <v>78</v>
      </c>
      <c r="V1374" s="15">
        <f>ROUNDUP((T1374+U1374+2*'Read Me'!$B$13)*(1+'Read Me'!$B$12),-1)</f>
        <v/>
      </c>
      <c r="W1374" s="15">
        <f>V1374*N1374*O1374</f>
        <v/>
      </c>
      <c r="X1374" s="12">
        <f>IF(LEFT(I1374,2)="MV",2*N1374*IF(L1374="1/C",O1374,1),0)</f>
        <v/>
      </c>
      <c r="Y1374" s="12">
        <f>IF(OR(LEFT(K1374,4)="LVAX",LEFT(K1374,6)="MV15AX",LEFT(K1374,4)="CTAX",LEFT(K1374,2)="W|"),2*N1374*O1374,0)</f>
        <v/>
      </c>
      <c r="Z1374" s="12" t="inlineStr">
        <is>
          <t>VD 1.2 %</t>
        </is>
      </c>
      <c r="AA1374" s="12">
        <f>N1374*O1374</f>
        <v/>
      </c>
    </row>
    <row r="1375">
      <c r="A1375" s="12" t="inlineStr">
        <is>
          <t>A-P-0008</t>
        </is>
      </c>
      <c r="B1375" s="12" t="inlineStr">
        <is>
          <t>A</t>
        </is>
      </c>
      <c r="C1375" s="12" t="inlineStr">
        <is>
          <t>Power block</t>
        </is>
      </c>
      <c r="D1375" s="12" t="inlineStr">
        <is>
          <t>Motor 1 of 4, 15 kW</t>
        </is>
      </c>
      <c r="E1375" s="12" t="inlineStr">
        <is>
          <t>R2C</t>
        </is>
      </c>
      <c r="F1375" s="12" t="inlineStr">
        <is>
          <t>R2C: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LV|3/C+G|10</t>
        </is>
      </c>
      <c r="L1375" s="12" t="inlineStr">
        <is>
          <t>3/C+G</t>
        </is>
      </c>
      <c r="M1375" s="12" t="inlineStr">
        <is>
          <t>10</t>
        </is>
      </c>
      <c r="N1375" s="12" t="n">
        <v>1</v>
      </c>
      <c r="O1375" s="12" t="n">
        <v>1</v>
      </c>
      <c r="P1375" s="12" t="n">
        <v>480</v>
      </c>
      <c r="Q1375" s="12" t="n">
        <v>15</v>
      </c>
      <c r="R1375" s="12" t="n">
        <v>21.2</v>
      </c>
      <c r="S1375" s="12" t="inlineStr">
        <is>
          <t>Tray</t>
        </is>
      </c>
      <c r="T1375" s="15" t="n">
        <v>43</v>
      </c>
      <c r="U1375" s="15" t="n">
        <v>78</v>
      </c>
      <c r="V1375" s="15">
        <f>ROUNDUP((T1375+U1375+2*'Read Me'!$B$13)*(1+'Read Me'!$B$12),-1)</f>
        <v/>
      </c>
      <c r="W1375" s="15">
        <f>V1375*N1375*O1375</f>
        <v/>
      </c>
      <c r="X1375" s="12">
        <f>IF(LEFT(I1375,2)="MV",2*N1375*IF(L1375="1/C",O1375,1),0)</f>
        <v/>
      </c>
      <c r="Y1375" s="12">
        <f>IF(OR(LEFT(K1375,4)="LVAX",LEFT(K1375,6)="MV15AX",LEFT(K1375,4)="CTAX",LEFT(K1375,2)="W|"),2*N1375*O1375,0)</f>
        <v/>
      </c>
      <c r="Z1375" s="12" t="inlineStr">
        <is>
          <t>VD 1.2 %</t>
        </is>
      </c>
      <c r="AA1375" s="12">
        <f>N1375*O1375</f>
        <v/>
      </c>
    </row>
    <row r="1376">
      <c r="A1376" s="12" t="inlineStr">
        <is>
          <t>A-P-0009</t>
        </is>
      </c>
      <c r="B1376" s="12" t="inlineStr">
        <is>
          <t>A</t>
        </is>
      </c>
      <c r="C1376" s="12" t="inlineStr">
        <is>
          <t>Power block</t>
        </is>
      </c>
      <c r="D1376" s="12" t="inlineStr">
        <is>
          <t>Motor 2 of 4, 15 kW</t>
        </is>
      </c>
      <c r="E1376" s="12" t="inlineStr">
        <is>
          <t>R2C</t>
        </is>
      </c>
      <c r="F1376" s="12" t="inlineStr">
        <is>
          <t>R2C: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LV|3/C+G|10</t>
        </is>
      </c>
      <c r="L1376" s="12" t="inlineStr">
        <is>
          <t>3/C+G</t>
        </is>
      </c>
      <c r="M1376" s="12" t="inlineStr">
        <is>
          <t>10</t>
        </is>
      </c>
      <c r="N1376" s="12" t="n">
        <v>1</v>
      </c>
      <c r="O1376" s="12" t="n">
        <v>1</v>
      </c>
      <c r="P1376" s="12" t="n">
        <v>480</v>
      </c>
      <c r="Q1376" s="12" t="n">
        <v>15</v>
      </c>
      <c r="R1376" s="12" t="n">
        <v>21.2</v>
      </c>
      <c r="S1376" s="12" t="inlineStr">
        <is>
          <t>Tray</t>
        </is>
      </c>
      <c r="T1376" s="15" t="n">
        <v>43</v>
      </c>
      <c r="U1376" s="15" t="n">
        <v>78</v>
      </c>
      <c r="V1376" s="15">
        <f>ROUNDUP((T1376+U1376+2*'Read Me'!$B$13)*(1+'Read Me'!$B$12),-1)</f>
        <v/>
      </c>
      <c r="W1376" s="15">
        <f>V1376*N1376*O1376</f>
        <v/>
      </c>
      <c r="X1376" s="12">
        <f>IF(LEFT(I1376,2)="MV",2*N1376*IF(L1376="1/C",O1376,1),0)</f>
        <v/>
      </c>
      <c r="Y1376" s="12">
        <f>IF(OR(LEFT(K1376,4)="LVAX",LEFT(K1376,6)="MV15AX",LEFT(K1376,4)="CTAX",LEFT(K1376,2)="W|"),2*N1376*O1376,0)</f>
        <v/>
      </c>
      <c r="Z1376" s="12" t="inlineStr">
        <is>
          <t>VD 1.2 %</t>
        </is>
      </c>
      <c r="AA1376" s="12">
        <f>N1376*O1376</f>
        <v/>
      </c>
    </row>
    <row r="1377">
      <c r="A1377" s="12" t="inlineStr">
        <is>
          <t>A-P-0010</t>
        </is>
      </c>
      <c r="B1377" s="12" t="inlineStr">
        <is>
          <t>A</t>
        </is>
      </c>
      <c r="C1377" s="12" t="inlineStr">
        <is>
          <t>Power block</t>
        </is>
      </c>
      <c r="D1377" s="12" t="inlineStr">
        <is>
          <t>Motor 3 of 4, 15 kW</t>
        </is>
      </c>
      <c r="E1377" s="12" t="inlineStr">
        <is>
          <t>R2C</t>
        </is>
      </c>
      <c r="F1377" s="12" t="inlineStr">
        <is>
          <t>R2C: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LV|3/C+G|10</t>
        </is>
      </c>
      <c r="L1377" s="12" t="inlineStr">
        <is>
          <t>3/C+G</t>
        </is>
      </c>
      <c r="M1377" s="12" t="inlineStr">
        <is>
          <t>10</t>
        </is>
      </c>
      <c r="N1377" s="12" t="n">
        <v>1</v>
      </c>
      <c r="O1377" s="12" t="n">
        <v>1</v>
      </c>
      <c r="P1377" s="12" t="n">
        <v>480</v>
      </c>
      <c r="Q1377" s="12" t="n">
        <v>15</v>
      </c>
      <c r="R1377" s="12" t="n">
        <v>21.2</v>
      </c>
      <c r="S1377" s="12" t="inlineStr">
        <is>
          <t>Tray</t>
        </is>
      </c>
      <c r="T1377" s="15" t="n">
        <v>43</v>
      </c>
      <c r="U1377" s="15" t="n">
        <v>78</v>
      </c>
      <c r="V1377" s="15">
        <f>ROUNDUP((T1377+U1377+2*'Read Me'!$B$13)*(1+'Read Me'!$B$12),-1)</f>
        <v/>
      </c>
      <c r="W1377" s="15">
        <f>V1377*N1377*O1377</f>
        <v/>
      </c>
      <c r="X1377" s="12">
        <f>IF(LEFT(I1377,2)="MV",2*N1377*IF(L1377="1/C",O1377,1),0)</f>
        <v/>
      </c>
      <c r="Y1377" s="12">
        <f>IF(OR(LEFT(K1377,4)="LVAX",LEFT(K1377,6)="MV15AX",LEFT(K1377,4)="CTAX",LEFT(K1377,2)="W|"),2*N1377*O1377,0)</f>
        <v/>
      </c>
      <c r="Z1377" s="12" t="inlineStr">
        <is>
          <t>VD 1.2 %</t>
        </is>
      </c>
      <c r="AA1377" s="12">
        <f>N1377*O1377</f>
        <v/>
      </c>
    </row>
    <row r="1378">
      <c r="A1378" s="12" t="inlineStr">
        <is>
          <t>A-P-0011</t>
        </is>
      </c>
      <c r="B1378" s="12" t="inlineStr">
        <is>
          <t>A</t>
        </is>
      </c>
      <c r="C1378" s="12" t="inlineStr">
        <is>
          <t>Power block</t>
        </is>
      </c>
      <c r="D1378" s="12" t="inlineStr">
        <is>
          <t>Motor 4 of 4, 15 kW</t>
        </is>
      </c>
      <c r="E1378" s="12" t="inlineStr">
        <is>
          <t>R2C</t>
        </is>
      </c>
      <c r="F1378" s="12" t="inlineStr">
        <is>
          <t>R2C: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LV|3/C+G|10</t>
        </is>
      </c>
      <c r="L1378" s="12" t="inlineStr">
        <is>
          <t>3/C+G</t>
        </is>
      </c>
      <c r="M1378" s="12" t="inlineStr">
        <is>
          <t>10</t>
        </is>
      </c>
      <c r="N1378" s="12" t="n">
        <v>1</v>
      </c>
      <c r="O1378" s="12" t="n">
        <v>1</v>
      </c>
      <c r="P1378" s="12" t="n">
        <v>480</v>
      </c>
      <c r="Q1378" s="12" t="n">
        <v>15</v>
      </c>
      <c r="R1378" s="12" t="n">
        <v>21.2</v>
      </c>
      <c r="S1378" s="12" t="inlineStr">
        <is>
          <t>Tray</t>
        </is>
      </c>
      <c r="T1378" s="15" t="n">
        <v>43</v>
      </c>
      <c r="U1378" s="15" t="n">
        <v>78</v>
      </c>
      <c r="V1378" s="15">
        <f>ROUNDUP((T1378+U1378+2*'Read Me'!$B$13)*(1+'Read Me'!$B$12),-1)</f>
        <v/>
      </c>
      <c r="W1378" s="15">
        <f>V1378*N1378*O1378</f>
        <v/>
      </c>
      <c r="X1378" s="12">
        <f>IF(LEFT(I1378,2)="MV",2*N1378*IF(L1378="1/C",O1378,1),0)</f>
        <v/>
      </c>
      <c r="Y1378" s="12">
        <f>IF(OR(LEFT(K1378,4)="LVAX",LEFT(K1378,6)="MV15AX",LEFT(K1378,4)="CTAX",LEFT(K1378,2)="W|"),2*N1378*O1378,0)</f>
        <v/>
      </c>
      <c r="Z1378" s="12" t="inlineStr">
        <is>
          <t>VD 1.2 %</t>
        </is>
      </c>
      <c r="AA1378" s="12">
        <f>N1378*O1378</f>
        <v/>
      </c>
    </row>
    <row r="1379">
      <c r="A1379" s="12" t="inlineStr">
        <is>
          <t>A-P-0012</t>
        </is>
      </c>
      <c r="B1379" s="12" t="inlineStr">
        <is>
          <t>A</t>
        </is>
      </c>
      <c r="C1379" s="12" t="inlineStr">
        <is>
          <t>Power block</t>
        </is>
      </c>
      <c r="D1379" s="12" t="inlineStr">
        <is>
          <t>Motor 1 of 4, 15 kW</t>
        </is>
      </c>
      <c r="E1379" s="12" t="inlineStr">
        <is>
          <t>R3</t>
        </is>
      </c>
      <c r="F1379" s="12" t="inlineStr">
        <is>
          <t>R3: ST auxiliary electrical e-house (40 x 65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5" t="n">
        <v>585</v>
      </c>
      <c r="U1379" s="15" t="n">
        <v>114</v>
      </c>
      <c r="V1379" s="15">
        <f>ROUNDUP((T1379+U1379+2*'Read Me'!$B$13)*(1+'Read Me'!$B$12),-1)</f>
        <v/>
      </c>
      <c r="W1379" s="15">
        <f>V1379*N1379*O1379</f>
        <v/>
      </c>
      <c r="X1379" s="12">
        <f>IF(LEFT(I1379,2)="MV",2*N1379*IF(L1379="1/C",O1379,1),0)</f>
        <v/>
      </c>
      <c r="Y1379" s="12">
        <f>IF(OR(LEFT(K1379,4)="LVAX",LEFT(K1379,6)="MV15AX",LEFT(K1379,4)="CTAX",LEFT(K1379,2)="W|"),2*N1379*O1379,0)</f>
        <v/>
      </c>
      <c r="Z1379" s="12" t="inlineStr">
        <is>
          <t>VD 2.9 %</t>
        </is>
      </c>
      <c r="AA1379" s="12">
        <f>N1379*O1379</f>
        <v/>
      </c>
    </row>
    <row r="1380">
      <c r="A1380" s="12" t="inlineStr">
        <is>
          <t>A-P-0013</t>
        </is>
      </c>
      <c r="B1380" s="12" t="inlineStr">
        <is>
          <t>A</t>
        </is>
      </c>
      <c r="C1380" s="12" t="inlineStr">
        <is>
          <t>Power block</t>
        </is>
      </c>
      <c r="D1380" s="12" t="inlineStr">
        <is>
          <t>Motor 2 of 4, 15 kW</t>
        </is>
      </c>
      <c r="E1380" s="12" t="inlineStr">
        <is>
          <t>R3</t>
        </is>
      </c>
      <c r="F1380" s="12" t="inlineStr">
        <is>
          <t>R3: ST auxiliary electrical e-house (40 x 65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5" t="n">
        <v>585</v>
      </c>
      <c r="U1380" s="15" t="n">
        <v>114</v>
      </c>
      <c r="V1380" s="15">
        <f>ROUNDUP((T1380+U1380+2*'Read Me'!$B$13)*(1+'Read Me'!$B$12),-1)</f>
        <v/>
      </c>
      <c r="W1380" s="15">
        <f>V1380*N1380*O1380</f>
        <v/>
      </c>
      <c r="X1380" s="12">
        <f>IF(LEFT(I1380,2)="MV",2*N1380*IF(L1380="1/C",O1380,1),0)</f>
        <v/>
      </c>
      <c r="Y1380" s="12">
        <f>IF(OR(LEFT(K1380,4)="LVAX",LEFT(K1380,6)="MV15AX",LEFT(K1380,4)="CTAX",LEFT(K1380,2)="W|"),2*N1380*O1380,0)</f>
        <v/>
      </c>
      <c r="Z1380" s="12" t="inlineStr">
        <is>
          <t>VD 2.9 %</t>
        </is>
      </c>
      <c r="AA1380" s="12">
        <f>N1380*O1380</f>
        <v/>
      </c>
    </row>
    <row r="1381">
      <c r="A1381" s="12" t="inlineStr">
        <is>
          <t>A-P-0014</t>
        </is>
      </c>
      <c r="B1381" s="12" t="inlineStr">
        <is>
          <t>A</t>
        </is>
      </c>
      <c r="C1381" s="12" t="inlineStr">
        <is>
          <t>Power block</t>
        </is>
      </c>
      <c r="D1381" s="12" t="inlineStr">
        <is>
          <t>Motor 3 of 4, 15 kW</t>
        </is>
      </c>
      <c r="E1381" s="12" t="inlineStr">
        <is>
          <t>R3</t>
        </is>
      </c>
      <c r="F1381" s="12" t="inlineStr">
        <is>
          <t>R3: ST auxiliary electrical e-house (40 x 65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5" t="n">
        <v>585</v>
      </c>
      <c r="U1381" s="15" t="n">
        <v>114</v>
      </c>
      <c r="V1381" s="15">
        <f>ROUNDUP((T1381+U1381+2*'Read Me'!$B$13)*(1+'Read Me'!$B$12),-1)</f>
        <v/>
      </c>
      <c r="W1381" s="15">
        <f>V1381*N1381*O1381</f>
        <v/>
      </c>
      <c r="X1381" s="12">
        <f>IF(LEFT(I1381,2)="MV",2*N1381*IF(L1381="1/C",O1381,1),0)</f>
        <v/>
      </c>
      <c r="Y1381" s="12">
        <f>IF(OR(LEFT(K1381,4)="LVAX",LEFT(K1381,6)="MV15AX",LEFT(K1381,4)="CTAX",LEFT(K1381,2)="W|"),2*N1381*O1381,0)</f>
        <v/>
      </c>
      <c r="Z1381" s="12" t="inlineStr">
        <is>
          <t>VD 2.9 %</t>
        </is>
      </c>
      <c r="AA1381" s="12">
        <f>N1381*O1381</f>
        <v/>
      </c>
    </row>
    <row r="1382">
      <c r="A1382" s="12" t="inlineStr">
        <is>
          <t>A-P-0015</t>
        </is>
      </c>
      <c r="B1382" s="12" t="inlineStr">
        <is>
          <t>A</t>
        </is>
      </c>
      <c r="C1382" s="12" t="inlineStr">
        <is>
          <t>Power block</t>
        </is>
      </c>
      <c r="D1382" s="12" t="inlineStr">
        <is>
          <t>Motor 4 of 4, 15 kW</t>
        </is>
      </c>
      <c r="E1382" s="12" t="inlineStr">
        <is>
          <t>R3</t>
        </is>
      </c>
      <c r="F1382" s="12" t="inlineStr">
        <is>
          <t>R3: ST auxiliary electrical e-house (40 x 65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5" t="n">
        <v>585</v>
      </c>
      <c r="U1382" s="15" t="n">
        <v>114</v>
      </c>
      <c r="V1382" s="15">
        <f>ROUNDUP((T1382+U1382+2*'Read Me'!$B$13)*(1+'Read Me'!$B$12),-1)</f>
        <v/>
      </c>
      <c r="W1382" s="15">
        <f>V1382*N1382*O1382</f>
        <v/>
      </c>
      <c r="X1382" s="12">
        <f>IF(LEFT(I1382,2)="MV",2*N1382*IF(L1382="1/C",O1382,1),0)</f>
        <v/>
      </c>
      <c r="Y1382" s="12">
        <f>IF(OR(LEFT(K1382,4)="LVAX",LEFT(K1382,6)="MV15AX",LEFT(K1382,4)="CTAX",LEFT(K1382,2)="W|"),2*N1382*O1382,0)</f>
        <v/>
      </c>
      <c r="Z1382" s="12" t="inlineStr">
        <is>
          <t>VD 2.9 %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5" t="n">
        <v>393</v>
      </c>
      <c r="U1383" s="15" t="n">
        <v>116</v>
      </c>
      <c r="V1383" s="15">
        <f>ROUNDUP((T1383+U1383+2*'Read Me'!$B$13)*(1+'Read Me'!$B$12),-1)</f>
        <v/>
      </c>
      <c r="W1383" s="15">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R2B</t>
        </is>
      </c>
      <c r="F1384" s="12" t="inlineStr">
        <is>
          <t>R2B: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5" t="n">
        <v>242</v>
      </c>
      <c r="U1384" s="15" t="n">
        <v>103</v>
      </c>
      <c r="V1384" s="15">
        <f>ROUNDUP((T1384+U1384+2*'Read Me'!$B$13)*(1+'Read Me'!$B$12),-1)</f>
        <v/>
      </c>
      <c r="W1384" s="15">
        <f>V1384*N1384*O1384</f>
        <v/>
      </c>
      <c r="X1384" s="12">
        <f>IF(LEFT(I1384,2)="MV",2*N1384*IF(L1384="1/C",O1384,1),0)</f>
        <v/>
      </c>
      <c r="Y1384" s="12">
        <f>IF(OR(LEFT(K1384,4)="LVAX",LEFT(K1384,6)="MV15AX",LEFT(K1384,4)="CTAX",LEFT(K1384,2)="W|"),2*N1384*O1384,0)</f>
        <v/>
      </c>
      <c r="Z1384" s="12" t="inlineStr">
        <is>
          <t>VD 1.2 %</t>
        </is>
      </c>
      <c r="AA1384" s="12">
        <f>N1384*O1384</f>
        <v/>
      </c>
    </row>
    <row r="1385">
      <c r="A1385" s="12" t="inlineStr">
        <is>
          <t>A-P-0018</t>
        </is>
      </c>
      <c r="B1385" s="12" t="inlineStr">
        <is>
          <t>A</t>
        </is>
      </c>
      <c r="C1385" s="12" t="inlineStr">
        <is>
          <t>Power block</t>
        </is>
      </c>
      <c r="D1385" s="12" t="inlineStr">
        <is>
          <t>Motor 2 of 2, 5 kW</t>
        </is>
      </c>
      <c r="E1385" s="12" t="inlineStr">
        <is>
          <t>R2B</t>
        </is>
      </c>
      <c r="F1385" s="12" t="inlineStr">
        <is>
          <t>R2B: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5" t="n">
        <v>242</v>
      </c>
      <c r="U1385" s="15" t="n">
        <v>103</v>
      </c>
      <c r="V1385" s="15">
        <f>ROUNDUP((T1385+U1385+2*'Read Me'!$B$13)*(1+'Read Me'!$B$12),-1)</f>
        <v/>
      </c>
      <c r="W1385" s="15">
        <f>V1385*N1385*O1385</f>
        <v/>
      </c>
      <c r="X1385" s="12">
        <f>IF(LEFT(I1385,2)="MV",2*N1385*IF(L1385="1/C",O1385,1),0)</f>
        <v/>
      </c>
      <c r="Y1385" s="12">
        <f>IF(OR(LEFT(K1385,4)="LVAX",LEFT(K1385,6)="MV15AX",LEFT(K1385,4)="CTAX",LEFT(K1385,2)="W|"),2*N1385*O1385,0)</f>
        <v/>
      </c>
      <c r="Z1385" s="12" t="inlineStr">
        <is>
          <t>VD 1.2 %</t>
        </is>
      </c>
      <c r="AA1385" s="12">
        <f>N1385*O1385</f>
        <v/>
      </c>
    </row>
    <row r="1386">
      <c r="A1386" s="12" t="inlineStr">
        <is>
          <t>A-P-0019</t>
        </is>
      </c>
      <c r="B1386" s="12" t="inlineStr">
        <is>
          <t>A</t>
        </is>
      </c>
      <c r="C1386" s="12" t="inlineStr">
        <is>
          <t>Power block</t>
        </is>
      </c>
      <c r="D1386" s="12" t="inlineStr">
        <is>
          <t>Motor 1 of 2, 5 kW</t>
        </is>
      </c>
      <c r="E1386" s="12" t="inlineStr">
        <is>
          <t>R2C</t>
        </is>
      </c>
      <c r="F1386" s="12" t="inlineStr">
        <is>
          <t>R2C: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5" t="n">
        <v>246</v>
      </c>
      <c r="U1386" s="15" t="n">
        <v>99</v>
      </c>
      <c r="V1386" s="15">
        <f>ROUNDUP((T1386+U1386+2*'Read Me'!$B$13)*(1+'Read Me'!$B$12),-1)</f>
        <v/>
      </c>
      <c r="W1386" s="15">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R2C</t>
        </is>
      </c>
      <c r="F1387" s="12" t="inlineStr">
        <is>
          <t>R2C: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5" t="n">
        <v>246</v>
      </c>
      <c r="U1387" s="15" t="n">
        <v>99</v>
      </c>
      <c r="V1387" s="15">
        <f>ROUNDUP((T1387+U1387+2*'Read Me'!$B$13)*(1+'Read Me'!$B$12),-1)</f>
        <v/>
      </c>
      <c r="W1387" s="15">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5" t="n">
        <v>277</v>
      </c>
      <c r="U1388" s="15" t="n">
        <v>97</v>
      </c>
      <c r="V1388" s="15">
        <f>ROUNDUP((T1388+U1388+2*'Read Me'!$B$13)*(1+'Read Me'!$B$12),-1)</f>
        <v/>
      </c>
      <c r="W1388" s="15">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5" t="n">
        <v>277</v>
      </c>
      <c r="U1389" s="15" t="n">
        <v>97</v>
      </c>
      <c r="V1389" s="15">
        <f>ROUNDUP((T1389+U1389+2*'Read Me'!$B$13)*(1+'Read Me'!$B$12),-1)</f>
        <v/>
      </c>
      <c r="W1389" s="15">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5" t="n">
        <v>230</v>
      </c>
      <c r="U1390" s="15" t="n">
        <v>53</v>
      </c>
      <c r="V1390" s="15">
        <f>ROUNDUP((T1390+U1390+2*'Read Me'!$B$13)*(1+'Read Me'!$B$12),-1)</f>
        <v/>
      </c>
      <c r="W1390" s="15">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5" t="n">
        <v>230</v>
      </c>
      <c r="U1391" s="15" t="n">
        <v>53</v>
      </c>
      <c r="V1391" s="15">
        <f>ROUNDUP((T1391+U1391+2*'Read Me'!$B$13)*(1+'Read Me'!$B$12),-1)</f>
        <v/>
      </c>
      <c r="W1391" s="15">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5" t="n">
        <v>230</v>
      </c>
      <c r="U1392" s="15" t="n">
        <v>53</v>
      </c>
      <c r="V1392" s="15">
        <f>ROUNDUP((T1392+U1392+2*'Read Me'!$B$13)*(1+'Read Me'!$B$12),-1)</f>
        <v/>
      </c>
      <c r="W1392" s="15">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5" t="n">
        <v>230</v>
      </c>
      <c r="U1393" s="15" t="n">
        <v>53</v>
      </c>
      <c r="V1393" s="15">
        <f>ROUNDUP((T1393+U1393+2*'Read Me'!$B$13)*(1+'Read Me'!$B$12),-1)</f>
        <v/>
      </c>
      <c r="W1393" s="15">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5" t="n">
        <v>230</v>
      </c>
      <c r="U1394" s="15" t="n">
        <v>53</v>
      </c>
      <c r="V1394" s="15">
        <f>ROUNDUP((T1394+U1394+2*'Read Me'!$B$13)*(1+'Read Me'!$B$12),-1)</f>
        <v/>
      </c>
      <c r="W1394" s="15">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5" t="n">
        <v>230</v>
      </c>
      <c r="U1395" s="15" t="n">
        <v>53</v>
      </c>
      <c r="V1395" s="15">
        <f>ROUNDUP((T1395+U1395+2*'Read Me'!$B$13)*(1+'Read Me'!$B$12),-1)</f>
        <v/>
      </c>
      <c r="W1395" s="15">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15</v>
      </c>
      <c r="R1396" s="12" t="n">
        <v>21.2</v>
      </c>
      <c r="S1396" s="12" t="inlineStr">
        <is>
          <t>Conduit link</t>
        </is>
      </c>
      <c r="T1396" s="15" t="n">
        <v>187</v>
      </c>
      <c r="U1396" s="15" t="n">
        <v>90</v>
      </c>
      <c r="V1396" s="15">
        <f>ROUNDUP((T1396+U1396+2*'Read Me'!$B$13)*(1+'Read Me'!$B$12),-1)</f>
        <v/>
      </c>
      <c r="W1396" s="15">
        <f>V1396*N1396*O1396</f>
        <v/>
      </c>
      <c r="X1396" s="12">
        <f>IF(LEFT(I1396,2)="MV",2*N1396*IF(L1396="1/C",O1396,1),0)</f>
        <v/>
      </c>
      <c r="Y1396" s="12">
        <f>IF(OR(LEFT(K1396,4)="LVAX",LEFT(K1396,6)="MV15AX",LEFT(K1396,4)="CTAX",LEFT(K1396,2)="W|"),2*N1396*O1396,0)</f>
        <v/>
      </c>
      <c r="Z1396" s="12" t="inlineStr">
        <is>
          <t>VD 2.8 %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5" t="n">
        <v>36</v>
      </c>
      <c r="U1397" s="15" t="n">
        <v>102</v>
      </c>
      <c r="V1397" s="15">
        <f>ROUNDUP((T1397+U1397+2*'Read Me'!$B$13)*(1+'Read Me'!$B$12),-1)</f>
        <v/>
      </c>
      <c r="W1397" s="15">
        <f>V1397*N1397*O1397</f>
        <v/>
      </c>
      <c r="X1397" s="12">
        <f>IF(LEFT(I1397,2)="MV",2*N1397*IF(L1397="1/C",O1397,1),0)</f>
        <v/>
      </c>
      <c r="Y1397" s="12">
        <f>IF(OR(LEFT(K1397,4)="LVAX",LEFT(K1397,6)="MV15AX",LEFT(K1397,4)="CTAX",LEFT(K1397,2)="W|"),2*N1397*O1397,0)</f>
        <v/>
      </c>
      <c r="Z1397" s="12" t="inlineStr">
        <is>
          <t>VD 0.9 %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5" t="n">
        <v>36</v>
      </c>
      <c r="U1398" s="15" t="n">
        <v>102</v>
      </c>
      <c r="V1398" s="15">
        <f>ROUNDUP((T1398+U1398+2*'Read Me'!$B$13)*(1+'Read Me'!$B$12),-1)</f>
        <v/>
      </c>
      <c r="W1398" s="15">
        <f>V1398*N1398*O1398</f>
        <v/>
      </c>
      <c r="X1398" s="12">
        <f>IF(LEFT(I1398,2)="MV",2*N1398*IF(L1398="1/C",O1398,1),0)</f>
        <v/>
      </c>
      <c r="Y1398" s="12">
        <f>IF(OR(LEFT(K1398,4)="LVAX",LEFT(K1398,6)="MV15AX",LEFT(K1398,4)="CTAX",LEFT(K1398,2)="W|"),2*N1398*O1398,0)</f>
        <v/>
      </c>
      <c r="Z1398" s="12" t="inlineStr">
        <is>
          <t>VD 0.9 %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5" t="n">
        <v>896</v>
      </c>
      <c r="U1399" s="15" t="n">
        <v>112</v>
      </c>
      <c r="V1399" s="15">
        <f>ROUNDUP((T1399+U1399+2*'Read Me'!$B$13)*(1+'Read Me'!$B$12),-1)</f>
        <v/>
      </c>
      <c r="W1399" s="15">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5" t="n">
        <v>638</v>
      </c>
      <c r="U1400" s="15" t="n">
        <v>86</v>
      </c>
      <c r="V1400" s="15">
        <f>ROUNDUP((T1400+U1400+2*'Read Me'!$B$13)*(1+'Read Me'!$B$12),-1)</f>
        <v/>
      </c>
      <c r="W1400" s="15">
        <f>V1400*N1400*O1400</f>
        <v/>
      </c>
      <c r="X1400" s="12">
        <f>IF(LEFT(I1400,2)="MV",2*N1400*IF(L1400="1/C",O1400,1),0)</f>
        <v/>
      </c>
      <c r="Y1400" s="12">
        <f>IF(OR(LEFT(K1400,4)="LVAX",LEFT(K1400,6)="MV15AX",LEFT(K1400,4)="CTAX",LEFT(K1400,2)="W|"),2*N1400*O1400,0)</f>
        <v/>
      </c>
      <c r="Z1400" s="12" t="inlineStr">
        <is>
          <t>VD 3.0 %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5" t="n">
        <v>638</v>
      </c>
      <c r="U1401" s="15" t="n">
        <v>86</v>
      </c>
      <c r="V1401" s="15">
        <f>ROUNDUP((T1401+U1401+2*'Read Me'!$B$13)*(1+'Read Me'!$B$12),-1)</f>
        <v/>
      </c>
      <c r="W1401" s="15">
        <f>V1401*N1401*O1401</f>
        <v/>
      </c>
      <c r="X1401" s="12">
        <f>IF(LEFT(I1401,2)="MV",2*N1401*IF(L1401="1/C",O1401,1),0)</f>
        <v/>
      </c>
      <c r="Y1401" s="12">
        <f>IF(OR(LEFT(K1401,4)="LVAX",LEFT(K1401,6)="MV15AX",LEFT(K1401,4)="CTAX",LEFT(K1401,2)="W|"),2*N1401*O1401,0)</f>
        <v/>
      </c>
      <c r="Z1401" s="12" t="inlineStr">
        <is>
          <t>VD 3.0 %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5" t="n">
        <v>938</v>
      </c>
      <c r="U1402" s="15" t="n">
        <v>86</v>
      </c>
      <c r="V1402" s="15">
        <f>ROUNDUP((T1402+U1402+2*'Read Me'!$B$13)*(1+'Read Me'!$B$12),-1)</f>
        <v/>
      </c>
      <c r="W1402" s="15">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5" t="n">
        <v>1059</v>
      </c>
      <c r="U1403" s="15" t="n">
        <v>105</v>
      </c>
      <c r="V1403" s="15">
        <f>ROUNDUP((T1403+U1403+2*'Read Me'!$B$13)*(1+'Read Me'!$B$12),-1)</f>
        <v/>
      </c>
      <c r="W1403" s="15">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5" t="n">
        <v>655</v>
      </c>
      <c r="U1404" s="15" t="n">
        <v>104</v>
      </c>
      <c r="V1404" s="15">
        <f>ROUNDUP((T1404+U1404+2*'Read Me'!$B$13)*(1+'Read Me'!$B$12),-1)</f>
        <v/>
      </c>
      <c r="W1404" s="15">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5" t="n">
        <v>655</v>
      </c>
      <c r="U1405" s="15" t="n">
        <v>104</v>
      </c>
      <c r="V1405" s="15">
        <f>ROUNDUP((T1405+U1405+2*'Read Me'!$B$13)*(1+'Read Me'!$B$12),-1)</f>
        <v/>
      </c>
      <c r="W1405" s="15">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5" t="n">
        <v>955</v>
      </c>
      <c r="U1406" s="15" t="n">
        <v>104</v>
      </c>
      <c r="V1406" s="15">
        <f>ROUNDUP((T1406+U1406+2*'Read Me'!$B$13)*(1+'Read Me'!$B$12),-1)</f>
        <v/>
      </c>
      <c r="W1406" s="15">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5" t="n">
        <v>1237</v>
      </c>
      <c r="U1407" s="15" t="n">
        <v>103</v>
      </c>
      <c r="V1407" s="15">
        <f>ROUNDUP((T1407+U1407+2*'Read Me'!$B$13)*(1+'Read Me'!$B$12),-1)</f>
        <v/>
      </c>
      <c r="W1407" s="15">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5" t="n">
        <v>833</v>
      </c>
      <c r="U1408" s="15" t="n">
        <v>102</v>
      </c>
      <c r="V1408" s="15">
        <f>ROUNDUP((T1408+U1408+2*'Read Me'!$B$13)*(1+'Read Me'!$B$12),-1)</f>
        <v/>
      </c>
      <c r="W1408" s="15">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5" t="n">
        <v>833</v>
      </c>
      <c r="U1409" s="15" t="n">
        <v>102</v>
      </c>
      <c r="V1409" s="15">
        <f>ROUNDUP((T1409+U1409+2*'Read Me'!$B$13)*(1+'Read Me'!$B$12),-1)</f>
        <v/>
      </c>
      <c r="W1409" s="15">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5" t="n">
        <v>1133</v>
      </c>
      <c r="U1410" s="15" t="n">
        <v>102</v>
      </c>
      <c r="V1410" s="15">
        <f>ROUNDUP((T1410+U1410+2*'Read Me'!$B$13)*(1+'Read Me'!$B$12),-1)</f>
        <v/>
      </c>
      <c r="W1410" s="15">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5" t="n">
        <v>441</v>
      </c>
      <c r="U1411" s="15" t="n">
        <v>127</v>
      </c>
      <c r="V1411" s="15">
        <f>ROUNDUP((T1411+U1411+2*'Read Me'!$B$13)*(1+'Read Me'!$B$12),-1)</f>
        <v/>
      </c>
      <c r="W1411" s="15">
        <f>V1411*N1411*O1411</f>
        <v/>
      </c>
      <c r="X1411" s="12">
        <f>IF(LEFT(I1411,2)="MV",2*N1411*IF(L1411="1/C",O1411,1),0)</f>
        <v/>
      </c>
      <c r="Y1411" s="12">
        <f>IF(OR(LEFT(K1411,4)="LVAX",LEFT(K1411,6)="MV15AX",LEFT(K1411,4)="CTAX",LEFT(K1411,2)="W|"),2*N1411*O1411,0)</f>
        <v/>
      </c>
      <c r="Z1411" s="12" t="inlineStr">
        <is>
          <t>VD 1.8 %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5" t="n">
        <v>458</v>
      </c>
      <c r="U1412" s="15" t="n">
        <v>145</v>
      </c>
      <c r="V1412" s="15">
        <f>ROUNDUP((T1412+U1412+2*'Read Me'!$B$13)*(1+'Read Me'!$B$12),-1)</f>
        <v/>
      </c>
      <c r="W1412" s="15">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5" t="n">
        <v>636</v>
      </c>
      <c r="U1413" s="15" t="n">
        <v>143</v>
      </c>
      <c r="V1413" s="15">
        <f>ROUNDUP((T1413+U1413+2*'Read Me'!$B$13)*(1+'Read Me'!$B$12),-1)</f>
        <v/>
      </c>
      <c r="W1413" s="15">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LVAX|3/C+G|6</t>
        </is>
      </c>
      <c r="L1414" s="12" t="inlineStr">
        <is>
          <t>3/C+G</t>
        </is>
      </c>
      <c r="M1414" s="12" t="inlineStr">
        <is>
          <t>6</t>
        </is>
      </c>
      <c r="N1414" s="12" t="n">
        <v>1</v>
      </c>
      <c r="O1414" s="12" t="n">
        <v>1</v>
      </c>
      <c r="P1414" s="12" t="n">
        <v>480</v>
      </c>
      <c r="Q1414" s="12" t="n">
        <v>15</v>
      </c>
      <c r="R1414" s="12" t="n">
        <v>21.2</v>
      </c>
      <c r="S1414" s="12" t="inlineStr">
        <is>
          <t>Tray</t>
        </is>
      </c>
      <c r="T1414" s="15" t="n">
        <v>451</v>
      </c>
      <c r="U1414" s="15" t="n">
        <v>117</v>
      </c>
      <c r="V1414" s="15">
        <f>ROUNDUP((T1414+U1414+2*'Read Me'!$B$13)*(1+'Read Me'!$B$12),-1)</f>
        <v/>
      </c>
      <c r="W1414" s="15">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5" t="n">
        <v>468</v>
      </c>
      <c r="U1415" s="15" t="n">
        <v>135</v>
      </c>
      <c r="V1415" s="15">
        <f>ROUNDUP((T1415+U1415+2*'Read Me'!$B$13)*(1+'Read Me'!$B$12),-1)</f>
        <v/>
      </c>
      <c r="W1415" s="15">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5" t="n">
        <v>646</v>
      </c>
      <c r="U1416" s="15" t="n">
        <v>133</v>
      </c>
      <c r="V1416" s="15">
        <f>ROUNDUP((T1416+U1416+2*'Read Me'!$B$13)*(1+'Read Me'!$B$12),-1)</f>
        <v/>
      </c>
      <c r="W1416" s="15">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5" t="n">
        <v>91</v>
      </c>
      <c r="U1417" s="15" t="n">
        <v>113</v>
      </c>
      <c r="V1417" s="15">
        <f>ROUNDUP((T1417+U1417+2*'Read Me'!$B$13)*(1+'Read Me'!$B$12),-1)</f>
        <v/>
      </c>
      <c r="W1417" s="15">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5" t="n">
        <v>91</v>
      </c>
      <c r="U1418" s="15" t="n">
        <v>113</v>
      </c>
      <c r="V1418" s="15">
        <f>ROUNDUP((T1418+U1418+2*'Read Me'!$B$13)*(1+'Read Me'!$B$12),-1)</f>
        <v/>
      </c>
      <c r="W1418" s="15">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5" t="n">
        <v>437</v>
      </c>
      <c r="U1419" s="15" t="n">
        <v>100</v>
      </c>
      <c r="V1419" s="15">
        <f>ROUNDUP((T1419+U1419+2*'Read Me'!$B$13)*(1+'Read Me'!$B$12),-1)</f>
        <v/>
      </c>
      <c r="W1419" s="15">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5" t="n">
        <v>437</v>
      </c>
      <c r="U1420" s="15" t="n">
        <v>100</v>
      </c>
      <c r="V1420" s="15">
        <f>ROUNDUP((T1420+U1420+2*'Read Me'!$B$13)*(1+'Read Me'!$B$12),-1)</f>
        <v/>
      </c>
      <c r="W1420" s="15">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5" t="n">
        <v>437</v>
      </c>
      <c r="U1421" s="15" t="n">
        <v>100</v>
      </c>
      <c r="V1421" s="15">
        <f>ROUNDUP((T1421+U1421+2*'Read Me'!$B$13)*(1+'Read Me'!$B$12),-1)</f>
        <v/>
      </c>
      <c r="W1421" s="15">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5" t="n">
        <v>437</v>
      </c>
      <c r="U1422" s="15" t="n">
        <v>100</v>
      </c>
      <c r="V1422" s="15">
        <f>ROUNDUP((T1422+U1422+2*'Read Me'!$B$13)*(1+'Read Me'!$B$12),-1)</f>
        <v/>
      </c>
      <c r="W1422" s="15">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5" t="n">
        <v>437</v>
      </c>
      <c r="U1423" s="15" t="n">
        <v>100</v>
      </c>
      <c r="V1423" s="15">
        <f>ROUNDUP((T1423+U1423+2*'Read Me'!$B$13)*(1+'Read Me'!$B$12),-1)</f>
        <v/>
      </c>
      <c r="W1423" s="15">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5" t="n">
        <v>437</v>
      </c>
      <c r="U1424" s="15" t="n">
        <v>100</v>
      </c>
      <c r="V1424" s="15">
        <f>ROUNDUP((T1424+U1424+2*'Read Me'!$B$13)*(1+'Read Me'!$B$12),-1)</f>
        <v/>
      </c>
      <c r="W1424" s="15">
        <f>V1424*N1424*O1424</f>
        <v/>
      </c>
      <c r="X1424" s="12">
        <f>IF(LEFT(I1424,2)="MV",2*N1424*IF(L1424="1/C",O1424,1),0)</f>
        <v/>
      </c>
      <c r="Y1424" s="12">
        <f>IF(OR(LEFT(K1424,4)="LVAX",LEFT(K1424,6)="MV15AX",LEFT(K1424,4)="CTAX",LEFT(K1424,2)="W|"),2*N1424*O1424,0)</f>
        <v/>
      </c>
      <c r="Z1424" s="12" t="inlineStr">
        <is>
          <t>VD 0.7 %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5" t="n">
        <v>395</v>
      </c>
      <c r="U1425" s="15" t="n">
        <v>130</v>
      </c>
      <c r="V1425" s="15">
        <f>ROUNDUP((T1425+U1425+2*'Read Me'!$B$13)*(1+'Read Me'!$B$12),-1)</f>
        <v/>
      </c>
      <c r="W1425" s="15">
        <f>V1425*N1425*O1425</f>
        <v/>
      </c>
      <c r="X1425" s="12">
        <f>IF(LEFT(I1425,2)="MV",2*N1425*IF(L1425="1/C",O1425,1),0)</f>
        <v/>
      </c>
      <c r="Y1425" s="12">
        <f>IF(OR(LEFT(K1425,4)="LVAX",LEFT(K1425,6)="MV15AX",LEFT(K1425,4)="CTAX",LEFT(K1425,2)="W|"),2*N1425*O1425,0)</f>
        <v/>
      </c>
      <c r="Z1425" s="12" t="inlineStr">
        <is>
          <t>VD 0.7 %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5" t="n">
        <v>395</v>
      </c>
      <c r="U1426" s="15" t="n">
        <v>130</v>
      </c>
      <c r="V1426" s="15">
        <f>ROUNDUP((T1426+U1426+2*'Read Me'!$B$13)*(1+'Read Me'!$B$12),-1)</f>
        <v/>
      </c>
      <c r="W1426" s="15">
        <f>V1426*N1426*O1426</f>
        <v/>
      </c>
      <c r="X1426" s="12">
        <f>IF(LEFT(I1426,2)="MV",2*N1426*IF(L1426="1/C",O1426,1),0)</f>
        <v/>
      </c>
      <c r="Y1426" s="12">
        <f>IF(OR(LEFT(K1426,4)="LVAX",LEFT(K1426,6)="MV15AX",LEFT(K1426,4)="CTAX",LEFT(K1426,2)="W|"),2*N1426*O1426,0)</f>
        <v/>
      </c>
      <c r="Z1426" s="12" t="inlineStr">
        <is>
          <t>VD 0.7 %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5" t="n">
        <v>395</v>
      </c>
      <c r="U1427" s="15" t="n">
        <v>130</v>
      </c>
      <c r="V1427" s="15">
        <f>ROUNDUP((T1427+U1427+2*'Read Me'!$B$13)*(1+'Read Me'!$B$12),-1)</f>
        <v/>
      </c>
      <c r="W1427" s="15">
        <f>V1427*N1427*O1427</f>
        <v/>
      </c>
      <c r="X1427" s="12">
        <f>IF(LEFT(I1427,2)="MV",2*N1427*IF(L1427="1/C",O1427,1),0)</f>
        <v/>
      </c>
      <c r="Y1427" s="12">
        <f>IF(OR(LEFT(K1427,4)="LVAX",LEFT(K1427,6)="MV15AX",LEFT(K1427,4)="CTAX",LEFT(K1427,2)="W|"),2*N1427*O1427,0)</f>
        <v/>
      </c>
      <c r="Z1427" s="12" t="inlineStr">
        <is>
          <t>VD 0.7 %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5" t="n">
        <v>395</v>
      </c>
      <c r="U1428" s="15" t="n">
        <v>130</v>
      </c>
      <c r="V1428" s="15">
        <f>ROUNDUP((T1428+U1428+2*'Read Me'!$B$13)*(1+'Read Me'!$B$12),-1)</f>
        <v/>
      </c>
      <c r="W1428" s="15">
        <f>V1428*N1428*O1428</f>
        <v/>
      </c>
      <c r="X1428" s="12">
        <f>IF(LEFT(I1428,2)="MV",2*N1428*IF(L1428="1/C",O1428,1),0)</f>
        <v/>
      </c>
      <c r="Y1428" s="12">
        <f>IF(OR(LEFT(K1428,4)="LVAX",LEFT(K1428,6)="MV15AX",LEFT(K1428,4)="CTAX",LEFT(K1428,2)="W|"),2*N1428*O1428,0)</f>
        <v/>
      </c>
      <c r="Z1428" s="12" t="inlineStr">
        <is>
          <t>VD 0.7 %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5" t="n">
        <v>395</v>
      </c>
      <c r="U1429" s="15" t="n">
        <v>130</v>
      </c>
      <c r="V1429" s="15">
        <f>ROUNDUP((T1429+U1429+2*'Read Me'!$B$13)*(1+'Read Me'!$B$12),-1)</f>
        <v/>
      </c>
      <c r="W1429" s="15">
        <f>V1429*N1429*O1429</f>
        <v/>
      </c>
      <c r="X1429" s="12">
        <f>IF(LEFT(I1429,2)="MV",2*N1429*IF(L1429="1/C",O1429,1),0)</f>
        <v/>
      </c>
      <c r="Y1429" s="12">
        <f>IF(OR(LEFT(K1429,4)="LVAX",LEFT(K1429,6)="MV15AX",LEFT(K1429,4)="CTAX",LEFT(K1429,2)="W|"),2*N1429*O1429,0)</f>
        <v/>
      </c>
      <c r="Z1429" s="12" t="inlineStr">
        <is>
          <t>VD 0.7 %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5" t="n">
        <v>395</v>
      </c>
      <c r="U1430" s="15" t="n">
        <v>130</v>
      </c>
      <c r="V1430" s="15">
        <f>ROUNDUP((T1430+U1430+2*'Read Me'!$B$13)*(1+'Read Me'!$B$12),-1)</f>
        <v/>
      </c>
      <c r="W1430" s="15">
        <f>V1430*N1430*O1430</f>
        <v/>
      </c>
      <c r="X1430" s="12">
        <f>IF(LEFT(I1430,2)="MV",2*N1430*IF(L1430="1/C",O1430,1),0)</f>
        <v/>
      </c>
      <c r="Y1430" s="12">
        <f>IF(OR(LEFT(K1430,4)="LVAX",LEFT(K1430,6)="MV15AX",LEFT(K1430,4)="CTAX",LEFT(K1430,2)="W|"),2*N1430*O1430,0)</f>
        <v/>
      </c>
      <c r="Z1430" s="12" t="inlineStr">
        <is>
          <t>VD 0.7 %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5" t="n">
        <v>446</v>
      </c>
      <c r="U1431" s="15" t="n">
        <v>96</v>
      </c>
      <c r="V1431" s="15">
        <f>ROUNDUP((T1431+U1431+2*'Read Me'!$B$13)*(1+'Read Me'!$B$12),-1)</f>
        <v/>
      </c>
      <c r="W1431" s="15">
        <f>V1431*N1431*O1431</f>
        <v/>
      </c>
      <c r="X1431" s="12">
        <f>IF(LEFT(I1431,2)="MV",2*N1431*IF(L1431="1/C",O1431,1),0)</f>
        <v/>
      </c>
      <c r="Y1431" s="12">
        <f>IF(OR(LEFT(K1431,4)="LVAX",LEFT(K1431,6)="MV15AX",LEFT(K1431,4)="CTAX",LEFT(K1431,2)="W|"),2*N1431*O1431,0)</f>
        <v/>
      </c>
      <c r="Z1431" s="12" t="inlineStr">
        <is>
          <t>VD 0.7 %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5" t="n">
        <v>446</v>
      </c>
      <c r="U1432" s="15" t="n">
        <v>96</v>
      </c>
      <c r="V1432" s="15">
        <f>ROUNDUP((T1432+U1432+2*'Read Me'!$B$13)*(1+'Read Me'!$B$12),-1)</f>
        <v/>
      </c>
      <c r="W1432" s="15">
        <f>V1432*N1432*O1432</f>
        <v/>
      </c>
      <c r="X1432" s="12">
        <f>IF(LEFT(I1432,2)="MV",2*N1432*IF(L1432="1/C",O1432,1),0)</f>
        <v/>
      </c>
      <c r="Y1432" s="12">
        <f>IF(OR(LEFT(K1432,4)="LVAX",LEFT(K1432,6)="MV15AX",LEFT(K1432,4)="CTAX",LEFT(K1432,2)="W|"),2*N1432*O1432,0)</f>
        <v/>
      </c>
      <c r="Z1432" s="12" t="inlineStr">
        <is>
          <t>VD 0.7 %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5" t="n">
        <v>446</v>
      </c>
      <c r="U1433" s="15" t="n">
        <v>96</v>
      </c>
      <c r="V1433" s="15">
        <f>ROUNDUP((T1433+U1433+2*'Read Me'!$B$13)*(1+'Read Me'!$B$12),-1)</f>
        <v/>
      </c>
      <c r="W1433" s="15">
        <f>V1433*N1433*O1433</f>
        <v/>
      </c>
      <c r="X1433" s="12">
        <f>IF(LEFT(I1433,2)="MV",2*N1433*IF(L1433="1/C",O1433,1),0)</f>
        <v/>
      </c>
      <c r="Y1433" s="12">
        <f>IF(OR(LEFT(K1433,4)="LVAX",LEFT(K1433,6)="MV15AX",LEFT(K1433,4)="CTAX",LEFT(K1433,2)="W|"),2*N1433*O1433,0)</f>
        <v/>
      </c>
      <c r="Z1433" s="12" t="inlineStr">
        <is>
          <t>VD 0.7 %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5" t="n">
        <v>446</v>
      </c>
      <c r="U1434" s="15" t="n">
        <v>96</v>
      </c>
      <c r="V1434" s="15">
        <f>ROUNDUP((T1434+U1434+2*'Read Me'!$B$13)*(1+'Read Me'!$B$12),-1)</f>
        <v/>
      </c>
      <c r="W1434" s="15">
        <f>V1434*N1434*O1434</f>
        <v/>
      </c>
      <c r="X1434" s="12">
        <f>IF(LEFT(I1434,2)="MV",2*N1434*IF(L1434="1/C",O1434,1),0)</f>
        <v/>
      </c>
      <c r="Y1434" s="12">
        <f>IF(OR(LEFT(K1434,4)="LVAX",LEFT(K1434,6)="MV15AX",LEFT(K1434,4)="CTAX",LEFT(K1434,2)="W|"),2*N1434*O1434,0)</f>
        <v/>
      </c>
      <c r="Z1434" s="12" t="inlineStr">
        <is>
          <t>VD 0.7 %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5" t="n">
        <v>446</v>
      </c>
      <c r="U1435" s="15" t="n">
        <v>96</v>
      </c>
      <c r="V1435" s="15">
        <f>ROUNDUP((T1435+U1435+2*'Read Me'!$B$13)*(1+'Read Me'!$B$12),-1)</f>
        <v/>
      </c>
      <c r="W1435" s="15">
        <f>V1435*N1435*O1435</f>
        <v/>
      </c>
      <c r="X1435" s="12">
        <f>IF(LEFT(I1435,2)="MV",2*N1435*IF(L1435="1/C",O1435,1),0)</f>
        <v/>
      </c>
      <c r="Y1435" s="12">
        <f>IF(OR(LEFT(K1435,4)="LVAX",LEFT(K1435,6)="MV15AX",LEFT(K1435,4)="CTAX",LEFT(K1435,2)="W|"),2*N1435*O1435,0)</f>
        <v/>
      </c>
      <c r="Z1435" s="12" t="inlineStr">
        <is>
          <t>VD 0.7 %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5" t="n">
        <v>446</v>
      </c>
      <c r="U1436" s="15" t="n">
        <v>96</v>
      </c>
      <c r="V1436" s="15">
        <f>ROUNDUP((T1436+U1436+2*'Read Me'!$B$13)*(1+'Read Me'!$B$12),-1)</f>
        <v/>
      </c>
      <c r="W1436" s="15">
        <f>V1436*N1436*O1436</f>
        <v/>
      </c>
      <c r="X1436" s="12">
        <f>IF(LEFT(I1436,2)="MV",2*N1436*IF(L1436="1/C",O1436,1),0)</f>
        <v/>
      </c>
      <c r="Y1436" s="12">
        <f>IF(OR(LEFT(K1436,4)="LVAX",LEFT(K1436,6)="MV15AX",LEFT(K1436,4)="CTAX",LEFT(K1436,2)="W|"),2*N1436*O1436,0)</f>
        <v/>
      </c>
      <c r="Z1436" s="12" t="inlineStr">
        <is>
          <t>VD 0.7 %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5" t="n">
        <v>403</v>
      </c>
      <c r="U1437" s="15" t="n">
        <v>126</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5" t="n">
        <v>403</v>
      </c>
      <c r="U1438" s="15" t="n">
        <v>126</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5" t="n">
        <v>403</v>
      </c>
      <c r="U1439" s="15" t="n">
        <v>126</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5" t="n">
        <v>403</v>
      </c>
      <c r="U1440" s="15" t="n">
        <v>126</v>
      </c>
      <c r="V1440" s="15">
        <f>ROUNDUP((T1440+U1440+2*'Read Me'!$B$13)*(1+'Read Me'!$B$12),-1)</f>
        <v/>
      </c>
      <c r="W1440" s="15">
        <f>V1440*N1440*O1440</f>
        <v/>
      </c>
      <c r="X1440" s="12">
        <f>IF(LEFT(I1440,2)="MV",2*N1440*IF(L1440="1/C",O1440,1),0)</f>
        <v/>
      </c>
      <c r="Y1440" s="12">
        <f>IF(OR(LEFT(K1440,4)="LVAX",LEFT(K1440,6)="MV15AX",LEFT(K1440,4)="CTAX",LEFT(K1440,2)="W|"),2*N1440*O1440,0)</f>
        <v/>
      </c>
      <c r="Z1440" s="12" t="inlineStr">
        <is>
          <t>VD 0.7 %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5" t="n">
        <v>403</v>
      </c>
      <c r="U1441" s="15" t="n">
        <v>126</v>
      </c>
      <c r="V1441" s="15">
        <f>ROUNDUP((T1441+U1441+2*'Read Me'!$B$13)*(1+'Read Me'!$B$12),-1)</f>
        <v/>
      </c>
      <c r="W1441" s="15">
        <f>V1441*N1441*O1441</f>
        <v/>
      </c>
      <c r="X1441" s="12">
        <f>IF(LEFT(I1441,2)="MV",2*N1441*IF(L1441="1/C",O1441,1),0)</f>
        <v/>
      </c>
      <c r="Y1441" s="12">
        <f>IF(OR(LEFT(K1441,4)="LVAX",LEFT(K1441,6)="MV15AX",LEFT(K1441,4)="CTAX",LEFT(K1441,2)="W|"),2*N1441*O1441,0)</f>
        <v/>
      </c>
      <c r="Z1441" s="12" t="inlineStr">
        <is>
          <t>VD 0.7 %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Tray</t>
        </is>
      </c>
      <c r="T1442" s="15" t="n">
        <v>403</v>
      </c>
      <c r="U1442" s="15" t="n">
        <v>126</v>
      </c>
      <c r="V1442" s="15">
        <f>ROUNDUP((T1442+U1442+2*'Read Me'!$B$13)*(1+'Read Me'!$B$12),-1)</f>
        <v/>
      </c>
      <c r="W1442" s="15">
        <f>V1442*N1442*O1442</f>
        <v/>
      </c>
      <c r="X1442" s="12">
        <f>IF(LEFT(I1442,2)="MV",2*N1442*IF(L1442="1/C",O1442,1),0)</f>
        <v/>
      </c>
      <c r="Y1442" s="12">
        <f>IF(OR(LEFT(K1442,4)="LVAX",LEFT(K1442,6)="MV15AX",LEFT(K1442,4)="CTAX",LEFT(K1442,2)="W|"),2*N1442*O1442,0)</f>
        <v/>
      </c>
      <c r="Z1442" s="12" t="inlineStr">
        <is>
          <t>VD 0.7 %</t>
        </is>
      </c>
      <c r="AA1442" s="12">
        <f>N1442*O1442</f>
        <v/>
      </c>
    </row>
    <row r="1443">
      <c r="A1443" s="12" t="inlineStr">
        <is>
          <t>A-P-0076</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5" t="n">
        <v>489</v>
      </c>
      <c r="U1443" s="15" t="n">
        <v>64</v>
      </c>
      <c r="V1443" s="15">
        <f>ROUNDUP((T1443+U1443+2*'Read Me'!$B$13)*(1+'Read Me'!$B$12),-1)</f>
        <v/>
      </c>
      <c r="W1443" s="15">
        <f>V1443*N1443*O1443</f>
        <v/>
      </c>
      <c r="X1443" s="12">
        <f>IF(LEFT(I1443,2)="MV",2*N1443*IF(L1443="1/C",O1443,1),0)</f>
        <v/>
      </c>
      <c r="Y1443" s="12">
        <f>IF(OR(LEFT(K1443,4)="LVAX",LEFT(K1443,6)="MV15AX",LEFT(K1443,4)="CTAX",LEFT(K1443,2)="W|"),2*N1443*O1443,0)</f>
        <v/>
      </c>
      <c r="Z1443" s="12" t="inlineStr">
        <is>
          <t>VD 0.8 %</t>
        </is>
      </c>
      <c r="AA1443" s="12">
        <f>N1443*O1443</f>
        <v/>
      </c>
    </row>
    <row r="1444">
      <c r="A1444" s="12" t="inlineStr">
        <is>
          <t>A-P-0077</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5" t="n">
        <v>489</v>
      </c>
      <c r="U1444" s="15" t="n">
        <v>64</v>
      </c>
      <c r="V1444" s="15">
        <f>ROUNDUP((T1444+U1444+2*'Read Me'!$B$13)*(1+'Read Me'!$B$12),-1)</f>
        <v/>
      </c>
      <c r="W1444" s="15">
        <f>V1444*N1444*O1444</f>
        <v/>
      </c>
      <c r="X1444" s="12">
        <f>IF(LEFT(I1444,2)="MV",2*N1444*IF(L1444="1/C",O1444,1),0)</f>
        <v/>
      </c>
      <c r="Y1444" s="12">
        <f>IF(OR(LEFT(K1444,4)="LVAX",LEFT(K1444,6)="MV15AX",LEFT(K1444,4)="CTAX",LEFT(K1444,2)="W|"),2*N1444*O1444,0)</f>
        <v/>
      </c>
      <c r="Z1444" s="12" t="inlineStr">
        <is>
          <t>VD 0.8 %</t>
        </is>
      </c>
      <c r="AA1444" s="12">
        <f>N1444*O1444</f>
        <v/>
      </c>
    </row>
    <row r="1445">
      <c r="A1445" s="12" t="inlineStr">
        <is>
          <t>A-P-0078</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5" t="n">
        <v>489</v>
      </c>
      <c r="U1445" s="15" t="n">
        <v>64</v>
      </c>
      <c r="V1445" s="15">
        <f>ROUNDUP((T1445+U1445+2*'Read Me'!$B$13)*(1+'Read Me'!$B$12),-1)</f>
        <v/>
      </c>
      <c r="W1445" s="15">
        <f>V1445*N1445*O1445</f>
        <v/>
      </c>
      <c r="X1445" s="12">
        <f>IF(LEFT(I1445,2)="MV",2*N1445*IF(L1445="1/C",O1445,1),0)</f>
        <v/>
      </c>
      <c r="Y1445" s="12">
        <f>IF(OR(LEFT(K1445,4)="LVAX",LEFT(K1445,6)="MV15AX",LEFT(K1445,4)="CTAX",LEFT(K1445,2)="W|"),2*N1445*O1445,0)</f>
        <v/>
      </c>
      <c r="Z1445" s="12" t="inlineStr">
        <is>
          <t>VD 0.8 %</t>
        </is>
      </c>
      <c r="AA1445" s="12">
        <f>N1445*O1445</f>
        <v/>
      </c>
    </row>
    <row r="1446">
      <c r="A1446" s="12" t="inlineStr">
        <is>
          <t>A-P-0079</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5" t="n">
        <v>489</v>
      </c>
      <c r="U1446" s="15" t="n">
        <v>64</v>
      </c>
      <c r="V1446" s="15">
        <f>ROUNDUP((T1446+U1446+2*'Read Me'!$B$13)*(1+'Read Me'!$B$12),-1)</f>
        <v/>
      </c>
      <c r="W1446" s="15">
        <f>V1446*N1446*O1446</f>
        <v/>
      </c>
      <c r="X1446" s="12">
        <f>IF(LEFT(I1446,2)="MV",2*N1446*IF(L1446="1/C",O1446,1),0)</f>
        <v/>
      </c>
      <c r="Y1446" s="12">
        <f>IF(OR(LEFT(K1446,4)="LVAX",LEFT(K1446,6)="MV15AX",LEFT(K1446,4)="CTAX",LEFT(K1446,2)="W|"),2*N1446*O1446,0)</f>
        <v/>
      </c>
      <c r="Z1446" s="12" t="inlineStr">
        <is>
          <t>VD 0.8 %</t>
        </is>
      </c>
      <c r="AA1446" s="12">
        <f>N1446*O1446</f>
        <v/>
      </c>
    </row>
    <row r="1447">
      <c r="A1447" s="12" t="inlineStr">
        <is>
          <t>A-P-0080</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5" t="n">
        <v>489</v>
      </c>
      <c r="U1447" s="15" t="n">
        <v>64</v>
      </c>
      <c r="V1447" s="15">
        <f>ROUNDUP((T1447+U1447+2*'Read Me'!$B$13)*(1+'Read Me'!$B$12),-1)</f>
        <v/>
      </c>
      <c r="W1447" s="15">
        <f>V1447*N1447*O1447</f>
        <v/>
      </c>
      <c r="X1447" s="12">
        <f>IF(LEFT(I1447,2)="MV",2*N1447*IF(L1447="1/C",O1447,1),0)</f>
        <v/>
      </c>
      <c r="Y1447" s="12">
        <f>IF(OR(LEFT(K1447,4)="LVAX",LEFT(K1447,6)="MV15AX",LEFT(K1447,4)="CTAX",LEFT(K1447,2)="W|"),2*N1447*O1447,0)</f>
        <v/>
      </c>
      <c r="Z1447" s="12" t="inlineStr">
        <is>
          <t>VD 0.8 %</t>
        </is>
      </c>
      <c r="AA1447" s="12">
        <f>N1447*O1447</f>
        <v/>
      </c>
    </row>
    <row r="1448">
      <c r="A1448" s="12" t="inlineStr">
        <is>
          <t>A-P-0081</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5" t="n">
        <v>489</v>
      </c>
      <c r="U1448" s="15" t="n">
        <v>64</v>
      </c>
      <c r="V1448" s="15">
        <f>ROUNDUP((T1448+U1448+2*'Read Me'!$B$13)*(1+'Read Me'!$B$12),-1)</f>
        <v/>
      </c>
      <c r="W1448" s="15">
        <f>V1448*N1448*O1448</f>
        <v/>
      </c>
      <c r="X1448" s="12">
        <f>IF(LEFT(I1448,2)="MV",2*N1448*IF(L1448="1/C",O1448,1),0)</f>
        <v/>
      </c>
      <c r="Y1448" s="12">
        <f>IF(OR(LEFT(K1448,4)="LVAX",LEFT(K1448,6)="MV15AX",LEFT(K1448,4)="CTAX",LEFT(K1448,2)="W|"),2*N1448*O1448,0)</f>
        <v/>
      </c>
      <c r="Z1448" s="12" t="inlineStr">
        <is>
          <t>VD 0.8 %</t>
        </is>
      </c>
      <c r="AA1448" s="12">
        <f>N1448*O1448</f>
        <v/>
      </c>
    </row>
    <row r="1449">
      <c r="A1449" s="12" t="inlineStr">
        <is>
          <t>A-P-0082</t>
        </is>
      </c>
      <c r="B1449" s="12" t="inlineStr">
        <is>
          <t>A</t>
        </is>
      </c>
      <c r="C1449" s="12" t="inlineStr">
        <is>
          <t>Power block</t>
        </is>
      </c>
      <c r="D1449" s="12" t="inlineStr">
        <is>
          <t>Motor 1 of 6, 2 kW</t>
        </is>
      </c>
      <c r="E1449" s="12" t="inlineStr">
        <is>
          <t>R3</t>
        </is>
      </c>
      <c r="F1449" s="12" t="inlineStr">
        <is>
          <t>R3: ST auxiliary electrical e-house (40 x 65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5" t="n">
        <v>452</v>
      </c>
      <c r="U1449" s="15" t="n">
        <v>67</v>
      </c>
      <c r="V1449" s="15">
        <f>ROUNDUP((T1449+U1449+2*'Read Me'!$B$13)*(1+'Read Me'!$B$12),-1)</f>
        <v/>
      </c>
      <c r="W1449" s="15">
        <f>V1449*N1449*O1449</f>
        <v/>
      </c>
      <c r="X1449" s="12">
        <f>IF(LEFT(I1449,2)="MV",2*N1449*IF(L1449="1/C",O1449,1),0)</f>
        <v/>
      </c>
      <c r="Y1449" s="12">
        <f>IF(OR(LEFT(K1449,4)="LVAX",LEFT(K1449,6)="MV15AX",LEFT(K1449,4)="CTAX",LEFT(K1449,2)="W|"),2*N1449*O1449,0)</f>
        <v/>
      </c>
      <c r="Z1449" s="12" t="inlineStr">
        <is>
          <t>VD 0.7 %</t>
        </is>
      </c>
      <c r="AA1449" s="12">
        <f>N1449*O1449</f>
        <v/>
      </c>
    </row>
    <row r="1450">
      <c r="A1450" s="12" t="inlineStr">
        <is>
          <t>A-P-0083</t>
        </is>
      </c>
      <c r="B1450" s="12" t="inlineStr">
        <is>
          <t>A</t>
        </is>
      </c>
      <c r="C1450" s="12" t="inlineStr">
        <is>
          <t>Power block</t>
        </is>
      </c>
      <c r="D1450" s="12" t="inlineStr">
        <is>
          <t>Motor 2 of 6, 2 kW</t>
        </is>
      </c>
      <c r="E1450" s="12" t="inlineStr">
        <is>
          <t>R3</t>
        </is>
      </c>
      <c r="F1450" s="12" t="inlineStr">
        <is>
          <t>R3: ST auxiliary electrical e-house (40 x 65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5" t="n">
        <v>452</v>
      </c>
      <c r="U1450" s="15" t="n">
        <v>67</v>
      </c>
      <c r="V1450" s="15">
        <f>ROUNDUP((T1450+U1450+2*'Read Me'!$B$13)*(1+'Read Me'!$B$12),-1)</f>
        <v/>
      </c>
      <c r="W1450" s="15">
        <f>V1450*N1450*O1450</f>
        <v/>
      </c>
      <c r="X1450" s="12">
        <f>IF(LEFT(I1450,2)="MV",2*N1450*IF(L1450="1/C",O1450,1),0)</f>
        <v/>
      </c>
      <c r="Y1450" s="12">
        <f>IF(OR(LEFT(K1450,4)="LVAX",LEFT(K1450,6)="MV15AX",LEFT(K1450,4)="CTAX",LEFT(K1450,2)="W|"),2*N1450*O1450,0)</f>
        <v/>
      </c>
      <c r="Z1450" s="12" t="inlineStr">
        <is>
          <t>VD 0.7 %</t>
        </is>
      </c>
      <c r="AA1450" s="12">
        <f>N1450*O1450</f>
        <v/>
      </c>
    </row>
    <row r="1451">
      <c r="A1451" s="12" t="inlineStr">
        <is>
          <t>A-P-0084</t>
        </is>
      </c>
      <c r="B1451" s="12" t="inlineStr">
        <is>
          <t>A</t>
        </is>
      </c>
      <c r="C1451" s="12" t="inlineStr">
        <is>
          <t>Power block</t>
        </is>
      </c>
      <c r="D1451" s="12" t="inlineStr">
        <is>
          <t>Motor 3 of 6, 2 kW</t>
        </is>
      </c>
      <c r="E1451" s="12" t="inlineStr">
        <is>
          <t>R3</t>
        </is>
      </c>
      <c r="F1451" s="12" t="inlineStr">
        <is>
          <t>R3: ST auxiliary electrical e-house (40 x 65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5" t="n">
        <v>452</v>
      </c>
      <c r="U1451" s="15" t="n">
        <v>67</v>
      </c>
      <c r="V1451" s="15">
        <f>ROUNDUP((T1451+U1451+2*'Read Me'!$B$13)*(1+'Read Me'!$B$12),-1)</f>
        <v/>
      </c>
      <c r="W1451" s="15">
        <f>V1451*N1451*O1451</f>
        <v/>
      </c>
      <c r="X1451" s="12">
        <f>IF(LEFT(I1451,2)="MV",2*N1451*IF(L1451="1/C",O1451,1),0)</f>
        <v/>
      </c>
      <c r="Y1451" s="12">
        <f>IF(OR(LEFT(K1451,4)="LVAX",LEFT(K1451,6)="MV15AX",LEFT(K1451,4)="CTAX",LEFT(K1451,2)="W|"),2*N1451*O1451,0)</f>
        <v/>
      </c>
      <c r="Z1451" s="12" t="inlineStr">
        <is>
          <t>VD 0.7 %</t>
        </is>
      </c>
      <c r="AA1451" s="12">
        <f>N1451*O1451</f>
        <v/>
      </c>
    </row>
    <row r="1452">
      <c r="A1452" s="12" t="inlineStr">
        <is>
          <t>A-P-0085</t>
        </is>
      </c>
      <c r="B1452" s="12" t="inlineStr">
        <is>
          <t>A</t>
        </is>
      </c>
      <c r="C1452" s="12" t="inlineStr">
        <is>
          <t>Power block</t>
        </is>
      </c>
      <c r="D1452" s="12" t="inlineStr">
        <is>
          <t>Motor 4 of 6, 2 kW</t>
        </is>
      </c>
      <c r="E1452" s="12" t="inlineStr">
        <is>
          <t>R3</t>
        </is>
      </c>
      <c r="F1452" s="12" t="inlineStr">
        <is>
          <t>R3: ST auxiliary electrical e-house (40 x 65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5" t="n">
        <v>452</v>
      </c>
      <c r="U1452" s="15" t="n">
        <v>67</v>
      </c>
      <c r="V1452" s="15">
        <f>ROUNDUP((T1452+U1452+2*'Read Me'!$B$13)*(1+'Read Me'!$B$12),-1)</f>
        <v/>
      </c>
      <c r="W1452" s="15">
        <f>V1452*N1452*O1452</f>
        <v/>
      </c>
      <c r="X1452" s="12">
        <f>IF(LEFT(I1452,2)="MV",2*N1452*IF(L1452="1/C",O1452,1),0)</f>
        <v/>
      </c>
      <c r="Y1452" s="12">
        <f>IF(OR(LEFT(K1452,4)="LVAX",LEFT(K1452,6)="MV15AX",LEFT(K1452,4)="CTAX",LEFT(K1452,2)="W|"),2*N1452*O1452,0)</f>
        <v/>
      </c>
      <c r="Z1452" s="12" t="inlineStr">
        <is>
          <t>VD 0.7 %</t>
        </is>
      </c>
      <c r="AA1452" s="12">
        <f>N1452*O1452</f>
        <v/>
      </c>
    </row>
    <row r="1453">
      <c r="A1453" s="12" t="inlineStr">
        <is>
          <t>A-P-0086</t>
        </is>
      </c>
      <c r="B1453" s="12" t="inlineStr">
        <is>
          <t>A</t>
        </is>
      </c>
      <c r="C1453" s="12" t="inlineStr">
        <is>
          <t>Power block</t>
        </is>
      </c>
      <c r="D1453" s="12" t="inlineStr">
        <is>
          <t>Motor 5 of 6, 2 kW</t>
        </is>
      </c>
      <c r="E1453" s="12" t="inlineStr">
        <is>
          <t>R3</t>
        </is>
      </c>
      <c r="F1453" s="12" t="inlineStr">
        <is>
          <t>R3: ST auxiliary electrical e-house (40 x 65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5" t="n">
        <v>452</v>
      </c>
      <c r="U1453" s="15" t="n">
        <v>67</v>
      </c>
      <c r="V1453" s="15">
        <f>ROUNDUP((T1453+U1453+2*'Read Me'!$B$13)*(1+'Read Me'!$B$12),-1)</f>
        <v/>
      </c>
      <c r="W1453" s="15">
        <f>V1453*N1453*O1453</f>
        <v/>
      </c>
      <c r="X1453" s="12">
        <f>IF(LEFT(I1453,2)="MV",2*N1453*IF(L1453="1/C",O1453,1),0)</f>
        <v/>
      </c>
      <c r="Y1453" s="12">
        <f>IF(OR(LEFT(K1453,4)="LVAX",LEFT(K1453,6)="MV15AX",LEFT(K1453,4)="CTAX",LEFT(K1453,2)="W|"),2*N1453*O1453,0)</f>
        <v/>
      </c>
      <c r="Z1453" s="12" t="inlineStr">
        <is>
          <t>VD 0.7 %</t>
        </is>
      </c>
      <c r="AA1453" s="12">
        <f>N1453*O1453</f>
        <v/>
      </c>
    </row>
    <row r="1454">
      <c r="A1454" s="12" t="inlineStr">
        <is>
          <t>A-P-0087</t>
        </is>
      </c>
      <c r="B1454" s="12" t="inlineStr">
        <is>
          <t>A</t>
        </is>
      </c>
      <c r="C1454" s="12" t="inlineStr">
        <is>
          <t>Power block</t>
        </is>
      </c>
      <c r="D1454" s="12" t="inlineStr">
        <is>
          <t>Motor 6 of 6, 2 kW</t>
        </is>
      </c>
      <c r="E1454" s="12" t="inlineStr">
        <is>
          <t>R3</t>
        </is>
      </c>
      <c r="F1454" s="12" t="inlineStr">
        <is>
          <t>R3: ST auxiliary electrical e-house (40 x 65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5" t="n">
        <v>452</v>
      </c>
      <c r="U1454" s="15" t="n">
        <v>67</v>
      </c>
      <c r="V1454" s="15">
        <f>ROUNDUP((T1454+U1454+2*'Read Me'!$B$13)*(1+'Read Me'!$B$12),-1)</f>
        <v/>
      </c>
      <c r="W1454" s="15">
        <f>V1454*N1454*O1454</f>
        <v/>
      </c>
      <c r="X1454" s="12">
        <f>IF(LEFT(I1454,2)="MV",2*N1454*IF(L1454="1/C",O1454,1),0)</f>
        <v/>
      </c>
      <c r="Y1454" s="12">
        <f>IF(OR(LEFT(K1454,4)="LVAX",LEFT(K1454,6)="MV15AX",LEFT(K1454,4)="CTAX",LEFT(K1454,2)="W|"),2*N1454*O1454,0)</f>
        <v/>
      </c>
      <c r="Z1454" s="12" t="inlineStr">
        <is>
          <t>VD 0.7 %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5" t="n">
        <v>399</v>
      </c>
      <c r="U1455" s="15" t="n">
        <v>73</v>
      </c>
      <c r="V1455" s="15">
        <f>ROUNDUP((T1455+U1455+2*'Read Me'!$B$13)*(1+'Read Me'!$B$12),-1)</f>
        <v/>
      </c>
      <c r="W1455" s="15">
        <f>V1455*N1455*O1455</f>
        <v/>
      </c>
      <c r="X1455" s="12">
        <f>IF(LEFT(I1455,2)="MV",2*N1455*IF(L1455="1/C",O1455,1),0)</f>
        <v/>
      </c>
      <c r="Y1455" s="12">
        <f>IF(OR(LEFT(K1455,4)="LVAX",LEFT(K1455,6)="MV15AX",LEFT(K1455,4)="CTAX",LEFT(K1455,2)="W|"),2*N1455*O1455,0)</f>
        <v/>
      </c>
      <c r="Z1455" s="12" t="inlineStr">
        <is>
          <t>VD 0.6 %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5" t="n">
        <v>399</v>
      </c>
      <c r="U1456" s="15" t="n">
        <v>73</v>
      </c>
      <c r="V1456" s="15">
        <f>ROUNDUP((T1456+U1456+2*'Read Me'!$B$13)*(1+'Read Me'!$B$12),-1)</f>
        <v/>
      </c>
      <c r="W1456" s="15">
        <f>V1456*N1456*O1456</f>
        <v/>
      </c>
      <c r="X1456" s="12">
        <f>IF(LEFT(I1456,2)="MV",2*N1456*IF(L1456="1/C",O1456,1),0)</f>
        <v/>
      </c>
      <c r="Y1456" s="12">
        <f>IF(OR(LEFT(K1456,4)="LVAX",LEFT(K1456,6)="MV15AX",LEFT(K1456,4)="CTAX",LEFT(K1456,2)="W|"),2*N1456*O1456,0)</f>
        <v/>
      </c>
      <c r="Z1456" s="12" t="inlineStr">
        <is>
          <t>VD 0.6 %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5" t="n">
        <v>399</v>
      </c>
      <c r="U1457" s="15" t="n">
        <v>73</v>
      </c>
      <c r="V1457" s="15">
        <f>ROUNDUP((T1457+U1457+2*'Read Me'!$B$13)*(1+'Read Me'!$B$12),-1)</f>
        <v/>
      </c>
      <c r="W1457" s="15">
        <f>V1457*N1457*O1457</f>
        <v/>
      </c>
      <c r="X1457" s="12">
        <f>IF(LEFT(I1457,2)="MV",2*N1457*IF(L1457="1/C",O1457,1),0)</f>
        <v/>
      </c>
      <c r="Y1457" s="12">
        <f>IF(OR(LEFT(K1457,4)="LVAX",LEFT(K1457,6)="MV15AX",LEFT(K1457,4)="CTAX",LEFT(K1457,2)="W|"),2*N1457*O1457,0)</f>
        <v/>
      </c>
      <c r="Z1457" s="12" t="inlineStr">
        <is>
          <t>VD 0.6 %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5" t="n">
        <v>399</v>
      </c>
      <c r="U1458" s="15" t="n">
        <v>73</v>
      </c>
      <c r="V1458" s="15">
        <f>ROUNDUP((T1458+U1458+2*'Read Me'!$B$13)*(1+'Read Me'!$B$12),-1)</f>
        <v/>
      </c>
      <c r="W1458" s="15">
        <f>V1458*N1458*O1458</f>
        <v/>
      </c>
      <c r="X1458" s="12">
        <f>IF(LEFT(I1458,2)="MV",2*N1458*IF(L1458="1/C",O1458,1),0)</f>
        <v/>
      </c>
      <c r="Y1458" s="12">
        <f>IF(OR(LEFT(K1458,4)="LVAX",LEFT(K1458,6)="MV15AX",LEFT(K1458,4)="CTAX",LEFT(K1458,2)="W|"),2*N1458*O1458,0)</f>
        <v/>
      </c>
      <c r="Z1458" s="12" t="inlineStr">
        <is>
          <t>VD 0.6 %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5" t="n">
        <v>399</v>
      </c>
      <c r="U1459" s="15" t="n">
        <v>73</v>
      </c>
      <c r="V1459" s="15">
        <f>ROUNDUP((T1459+U1459+2*'Read Me'!$B$13)*(1+'Read Me'!$B$12),-1)</f>
        <v/>
      </c>
      <c r="W1459" s="15">
        <f>V1459*N1459*O1459</f>
        <v/>
      </c>
      <c r="X1459" s="12">
        <f>IF(LEFT(I1459,2)="MV",2*N1459*IF(L1459="1/C",O1459,1),0)</f>
        <v/>
      </c>
      <c r="Y1459" s="12">
        <f>IF(OR(LEFT(K1459,4)="LVAX",LEFT(K1459,6)="MV15AX",LEFT(K1459,4)="CTAX",LEFT(K1459,2)="W|"),2*N1459*O1459,0)</f>
        <v/>
      </c>
      <c r="Z1459" s="12" t="inlineStr">
        <is>
          <t>VD 0.6 %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5" t="n">
        <v>399</v>
      </c>
      <c r="U1460" s="15" t="n">
        <v>73</v>
      </c>
      <c r="V1460" s="15">
        <f>ROUNDUP((T1460+U1460+2*'Read Me'!$B$13)*(1+'Read Me'!$B$12),-1)</f>
        <v/>
      </c>
      <c r="W1460" s="15">
        <f>V1460*N1460*O1460</f>
        <v/>
      </c>
      <c r="X1460" s="12">
        <f>IF(LEFT(I1460,2)="MV",2*N1460*IF(L1460="1/C",O1460,1),0)</f>
        <v/>
      </c>
      <c r="Y1460" s="12">
        <f>IF(OR(LEFT(K1460,4)="LVAX",LEFT(K1460,6)="MV15AX",LEFT(K1460,4)="CTAX",LEFT(K1460,2)="W|"),2*N1460*O1460,0)</f>
        <v/>
      </c>
      <c r="Z1460" s="12" t="inlineStr">
        <is>
          <t>VD 0.6 %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5" t="n">
        <v>387</v>
      </c>
      <c r="U1461" s="15" t="n">
        <v>58</v>
      </c>
      <c r="V1461" s="15">
        <f>ROUNDUP((T1461+U1461+2*'Read Me'!$B$13)*(1+'Read Me'!$B$12),-1)</f>
        <v/>
      </c>
      <c r="W1461" s="15">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5" t="n">
        <v>387</v>
      </c>
      <c r="U1462" s="15" t="n">
        <v>58</v>
      </c>
      <c r="V1462" s="15">
        <f>ROUNDUP((T1462+U1462+2*'Read Me'!$B$13)*(1+'Read Me'!$B$12),-1)</f>
        <v/>
      </c>
      <c r="W1462" s="15">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387</v>
      </c>
      <c r="U1463" s="15" t="n">
        <v>58</v>
      </c>
      <c r="V1463" s="15">
        <f>ROUNDUP((T1463+U1463+2*'Read Me'!$B$13)*(1+'Read Me'!$B$12),-1)</f>
        <v/>
      </c>
      <c r="W1463" s="15">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387</v>
      </c>
      <c r="U1464" s="15" t="n">
        <v>58</v>
      </c>
      <c r="V1464" s="15">
        <f>ROUNDUP((T1464+U1464+2*'Read Me'!$B$13)*(1+'Read Me'!$B$12),-1)</f>
        <v/>
      </c>
      <c r="W1464" s="15">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387</v>
      </c>
      <c r="U1465" s="15" t="n">
        <v>58</v>
      </c>
      <c r="V1465" s="15">
        <f>ROUNDUP((T1465+U1465+2*'Read Me'!$B$13)*(1+'Read Me'!$B$12),-1)</f>
        <v/>
      </c>
      <c r="W1465" s="15">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387</v>
      </c>
      <c r="U1466" s="15" t="n">
        <v>58</v>
      </c>
      <c r="V1466" s="15">
        <f>ROUNDUP((T1466+U1466+2*'Read Me'!$B$13)*(1+'Read Me'!$B$12),-1)</f>
        <v/>
      </c>
      <c r="W1466" s="15">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5" t="n">
        <v>455</v>
      </c>
      <c r="U1467" s="15" t="n">
        <v>142</v>
      </c>
      <c r="V1467" s="15">
        <f>ROUNDUP((T1467+U1467+2*'Read Me'!$B$13)*(1+'Read Me'!$B$12),-1)</f>
        <v/>
      </c>
      <c r="W1467" s="15">
        <f>V1467*N1467*O1467</f>
        <v/>
      </c>
      <c r="X1467" s="12">
        <f>IF(LEFT(I1467,2)="MV",2*N1467*IF(L1467="1/C",O1467,1),0)</f>
        <v/>
      </c>
      <c r="Y1467" s="12">
        <f>IF(OR(LEFT(K1467,4)="LVAX",LEFT(K1467,6)="MV15AX",LEFT(K1467,4)="CTAX",LEFT(K1467,2)="W|"),2*N1467*O1467,0)</f>
        <v/>
      </c>
      <c r="Z1467" s="12" t="inlineStr">
        <is>
          <t>VD 2.9 %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5" t="n">
        <v>455</v>
      </c>
      <c r="U1468" s="15" t="n">
        <v>142</v>
      </c>
      <c r="V1468" s="15">
        <f>ROUNDUP((T1468+U1468+2*'Read Me'!$B$13)*(1+'Read Me'!$B$12),-1)</f>
        <v/>
      </c>
      <c r="W1468" s="15">
        <f>V1468*N1468*O1468</f>
        <v/>
      </c>
      <c r="X1468" s="12">
        <f>IF(LEFT(I1468,2)="MV",2*N1468*IF(L1468="1/C",O1468,1),0)</f>
        <v/>
      </c>
      <c r="Y1468" s="12">
        <f>IF(OR(LEFT(K1468,4)="LVAX",LEFT(K1468,6)="MV15AX",LEFT(K1468,4)="CTAX",LEFT(K1468,2)="W|"),2*N1468*O1468,0)</f>
        <v/>
      </c>
      <c r="Z1468" s="12" t="inlineStr">
        <is>
          <t>VD 2.9 %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5" t="n">
        <v>455</v>
      </c>
      <c r="U1469" s="15" t="n">
        <v>142</v>
      </c>
      <c r="V1469" s="15">
        <f>ROUNDUP((T1469+U1469+2*'Read Me'!$B$13)*(1+'Read Me'!$B$12),-1)</f>
        <v/>
      </c>
      <c r="W1469" s="15">
        <f>V1469*N1469*O1469</f>
        <v/>
      </c>
      <c r="X1469" s="12">
        <f>IF(LEFT(I1469,2)="MV",2*N1469*IF(L1469="1/C",O1469,1),0)</f>
        <v/>
      </c>
      <c r="Y1469" s="12">
        <f>IF(OR(LEFT(K1469,4)="LVAX",LEFT(K1469,6)="MV15AX",LEFT(K1469,4)="CTAX",LEFT(K1469,2)="W|"),2*N1469*O1469,0)</f>
        <v/>
      </c>
      <c r="Z1469" s="12" t="inlineStr">
        <is>
          <t>VD 2.9 %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5" t="n">
        <v>455</v>
      </c>
      <c r="U1470" s="15" t="n">
        <v>142</v>
      </c>
      <c r="V1470" s="15">
        <f>ROUNDUP((T1470+U1470+2*'Read Me'!$B$13)*(1+'Read Me'!$B$12),-1)</f>
        <v/>
      </c>
      <c r="W1470" s="15">
        <f>V1470*N1470*O1470</f>
        <v/>
      </c>
      <c r="X1470" s="12">
        <f>IF(LEFT(I1470,2)="MV",2*N1470*IF(L1470="1/C",O1470,1),0)</f>
        <v/>
      </c>
      <c r="Y1470" s="12">
        <f>IF(OR(LEFT(K1470,4)="LVAX",LEFT(K1470,6)="MV15AX",LEFT(K1470,4)="CTAX",LEFT(K1470,2)="W|"),2*N1470*O1470,0)</f>
        <v/>
      </c>
      <c r="Z1470" s="12" t="inlineStr">
        <is>
          <t>VD 2.9 %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5" t="n">
        <v>455</v>
      </c>
      <c r="U1471" s="15" t="n">
        <v>142</v>
      </c>
      <c r="V1471" s="15">
        <f>ROUNDUP((T1471+U1471+2*'Read Me'!$B$13)*(1+'Read Me'!$B$12),-1)</f>
        <v/>
      </c>
      <c r="W1471" s="15">
        <f>V1471*N1471*O1471</f>
        <v/>
      </c>
      <c r="X1471" s="12">
        <f>IF(LEFT(I1471,2)="MV",2*N1471*IF(L1471="1/C",O1471,1),0)</f>
        <v/>
      </c>
      <c r="Y1471" s="12">
        <f>IF(OR(LEFT(K1471,4)="LVAX",LEFT(K1471,6)="MV15AX",LEFT(K1471,4)="CTAX",LEFT(K1471,2)="W|"),2*N1471*O1471,0)</f>
        <v/>
      </c>
      <c r="Z1471" s="12" t="inlineStr">
        <is>
          <t>VD 2.9 %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5" t="n">
        <v>455</v>
      </c>
      <c r="U1472" s="15" t="n">
        <v>142</v>
      </c>
      <c r="V1472" s="15">
        <f>ROUNDUP((T1472+U1472+2*'Read Me'!$B$13)*(1+'Read Me'!$B$12),-1)</f>
        <v/>
      </c>
      <c r="W1472" s="15">
        <f>V1472*N1472*O1472</f>
        <v/>
      </c>
      <c r="X1472" s="12">
        <f>IF(LEFT(I1472,2)="MV",2*N1472*IF(L1472="1/C",O1472,1),0)</f>
        <v/>
      </c>
      <c r="Y1472" s="12">
        <f>IF(OR(LEFT(K1472,4)="LVAX",LEFT(K1472,6)="MV15AX",LEFT(K1472,4)="CTAX",LEFT(K1472,2)="W|"),2*N1472*O1472,0)</f>
        <v/>
      </c>
      <c r="Z1472" s="12" t="inlineStr">
        <is>
          <t>VD 2.9 %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5" t="n">
        <v>455</v>
      </c>
      <c r="U1473" s="15" t="n">
        <v>142</v>
      </c>
      <c r="V1473" s="15">
        <f>ROUNDUP((T1473+U1473+2*'Read Me'!$B$13)*(1+'Read Me'!$B$12),-1)</f>
        <v/>
      </c>
      <c r="W1473" s="15">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5" t="n">
        <v>455</v>
      </c>
      <c r="U1474" s="15" t="n">
        <v>142</v>
      </c>
      <c r="V1474" s="15">
        <f>ROUNDUP((T1474+U1474+2*'Read Me'!$B$13)*(1+'Read Me'!$B$12),-1)</f>
        <v/>
      </c>
      <c r="W1474" s="15">
        <f>V1474*N1474*O1474</f>
        <v/>
      </c>
      <c r="X1474" s="12">
        <f>IF(LEFT(I1474,2)="MV",2*N1474*IF(L1474="1/C",O1474,1),0)</f>
        <v/>
      </c>
      <c r="Y1474" s="12">
        <f>IF(OR(LEFT(K1474,4)="LVAX",LEFT(K1474,6)="MV15AX",LEFT(K1474,4)="CTAX",LEFT(K1474,2)="W|"),2*N1474*O1474,0)</f>
        <v/>
      </c>
      <c r="Z1474" s="12" t="inlineStr">
        <is>
          <t>VD 2.9 %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5" t="n">
        <v>455</v>
      </c>
      <c r="U1475" s="15" t="n">
        <v>142</v>
      </c>
      <c r="V1475" s="15">
        <f>ROUNDUP((T1475+U1475+2*'Read Me'!$B$13)*(1+'Read Me'!$B$12),-1)</f>
        <v/>
      </c>
      <c r="W1475" s="15">
        <f>V1475*N1475*O1475</f>
        <v/>
      </c>
      <c r="X1475" s="12">
        <f>IF(LEFT(I1475,2)="MV",2*N1475*IF(L1475="1/C",O1475,1),0)</f>
        <v/>
      </c>
      <c r="Y1475" s="12">
        <f>IF(OR(LEFT(K1475,4)="LVAX",LEFT(K1475,6)="MV15AX",LEFT(K1475,4)="CTAX",LEFT(K1475,2)="W|"),2*N1475*O1475,0)</f>
        <v/>
      </c>
      <c r="Z1475" s="12" t="inlineStr">
        <is>
          <t>VD 2.9 %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5" t="n">
        <v>455</v>
      </c>
      <c r="U1476" s="15" t="n">
        <v>142</v>
      </c>
      <c r="V1476" s="15">
        <f>ROUNDUP((T1476+U1476+2*'Read Me'!$B$13)*(1+'Read Me'!$B$12),-1)</f>
        <v/>
      </c>
      <c r="W1476" s="15">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5" t="n">
        <v>455</v>
      </c>
      <c r="U1477" s="15" t="n">
        <v>142</v>
      </c>
      <c r="V1477" s="15">
        <f>ROUNDUP((T1477+U1477+2*'Read Me'!$B$13)*(1+'Read Me'!$B$12),-1)</f>
        <v/>
      </c>
      <c r="W1477" s="15">
        <f>V1477*N1477*O1477</f>
        <v/>
      </c>
      <c r="X1477" s="12">
        <f>IF(LEFT(I1477,2)="MV",2*N1477*IF(L1477="1/C",O1477,1),0)</f>
        <v/>
      </c>
      <c r="Y1477" s="12">
        <f>IF(OR(LEFT(K1477,4)="LVAX",LEFT(K1477,6)="MV15AX",LEFT(K1477,4)="CTAX",LEFT(K1477,2)="W|"),2*N1477*O1477,0)</f>
        <v/>
      </c>
      <c r="Z1477" s="12" t="inlineStr">
        <is>
          <t>VD 2.9 %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5" t="n">
        <v>455</v>
      </c>
      <c r="U1478" s="15" t="n">
        <v>142</v>
      </c>
      <c r="V1478" s="15">
        <f>ROUNDUP((T1478+U1478+2*'Read Me'!$B$13)*(1+'Read Me'!$B$12),-1)</f>
        <v/>
      </c>
      <c r="W1478" s="15">
        <f>V1478*N1478*O1478</f>
        <v/>
      </c>
      <c r="X1478" s="12">
        <f>IF(LEFT(I1478,2)="MV",2*N1478*IF(L1478="1/C",O1478,1),0)</f>
        <v/>
      </c>
      <c r="Y1478" s="12">
        <f>IF(OR(LEFT(K1478,4)="LVAX",LEFT(K1478,6)="MV15AX",LEFT(K1478,4)="CTAX",LEFT(K1478,2)="W|"),2*N1478*O1478,0)</f>
        <v/>
      </c>
      <c r="Z1478" s="12" t="inlineStr">
        <is>
          <t>VD 2.9 %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5" t="n">
        <v>385</v>
      </c>
      <c r="U1479" s="15" t="n">
        <v>126</v>
      </c>
      <c r="V1479" s="15">
        <f>ROUNDUP((T1479+U1479+2*'Read Me'!$B$13)*(1+'Read Me'!$B$12),-1)</f>
        <v/>
      </c>
      <c r="W1479" s="15">
        <f>V1479*N1479*O1479</f>
        <v/>
      </c>
      <c r="X1479" s="12">
        <f>IF(LEFT(I1479,2)="MV",2*N1479*IF(L1479="1/C",O1479,1),0)</f>
        <v/>
      </c>
      <c r="Y1479" s="12">
        <f>IF(OR(LEFT(K1479,4)="LVAX",LEFT(K1479,6)="MV15AX",LEFT(K1479,4)="CTAX",LEFT(K1479,2)="W|"),2*N1479*O1479,0)</f>
        <v/>
      </c>
      <c r="Z1479" s="12" t="inlineStr">
        <is>
          <t>VD 1.6 %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5" t="n">
        <v>385</v>
      </c>
      <c r="U1480" s="15" t="n">
        <v>126</v>
      </c>
      <c r="V1480" s="15">
        <f>ROUNDUP((T1480+U1480+2*'Read Me'!$B$13)*(1+'Read Me'!$B$12),-1)</f>
        <v/>
      </c>
      <c r="W1480" s="15">
        <f>V1480*N1480*O1480</f>
        <v/>
      </c>
      <c r="X1480" s="12">
        <f>IF(LEFT(I1480,2)="MV",2*N1480*IF(L1480="1/C",O1480,1),0)</f>
        <v/>
      </c>
      <c r="Y1480" s="12">
        <f>IF(OR(LEFT(K1480,4)="LVAX",LEFT(K1480,6)="MV15AX",LEFT(K1480,4)="CTAX",LEFT(K1480,2)="W|"),2*N1480*O1480,0)</f>
        <v/>
      </c>
      <c r="Z1480" s="12" t="inlineStr">
        <is>
          <t>VD 3.0 %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5" t="n">
        <v>385</v>
      </c>
      <c r="U1481" s="15" t="n">
        <v>126</v>
      </c>
      <c r="V1481" s="15">
        <f>ROUNDUP((T1481+U1481+2*'Read Me'!$B$13)*(1+'Read Me'!$B$12),-1)</f>
        <v/>
      </c>
      <c r="W1481" s="15">
        <f>V1481*N1481*O1481</f>
        <v/>
      </c>
      <c r="X1481" s="12">
        <f>IF(LEFT(I1481,2)="MV",2*N1481*IF(L1481="1/C",O1481,1),0)</f>
        <v/>
      </c>
      <c r="Y1481" s="12">
        <f>IF(OR(LEFT(K1481,4)="LVAX",LEFT(K1481,6)="MV15AX",LEFT(K1481,4)="CTAX",LEFT(K1481,2)="W|"),2*N1481*O1481,0)</f>
        <v/>
      </c>
      <c r="Z1481" s="12" t="inlineStr">
        <is>
          <t>VD 3.0 %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5" t="n">
        <v>385</v>
      </c>
      <c r="U1482" s="15" t="n">
        <v>126</v>
      </c>
      <c r="V1482" s="15">
        <f>ROUNDUP((T1482+U1482+2*'Read Me'!$B$13)*(1+'Read Me'!$B$12),-1)</f>
        <v/>
      </c>
      <c r="W1482" s="15">
        <f>V1482*N1482*O1482</f>
        <v/>
      </c>
      <c r="X1482" s="12">
        <f>IF(LEFT(I1482,2)="MV",2*N1482*IF(L1482="1/C",O1482,1),0)</f>
        <v/>
      </c>
      <c r="Y1482" s="12">
        <f>IF(OR(LEFT(K1482,4)="LVAX",LEFT(K1482,6)="MV15AX",LEFT(K1482,4)="CTAX",LEFT(K1482,2)="W|"),2*N1482*O1482,0)</f>
        <v/>
      </c>
      <c r="Z1482" s="12" t="inlineStr">
        <is>
          <t>VD 3.0 %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5" t="n">
        <v>385</v>
      </c>
      <c r="U1483" s="15" t="n">
        <v>126</v>
      </c>
      <c r="V1483" s="15">
        <f>ROUNDUP((T1483+U1483+2*'Read Me'!$B$13)*(1+'Read Me'!$B$12),-1)</f>
        <v/>
      </c>
      <c r="W1483" s="15">
        <f>V1483*N1483*O1483</f>
        <v/>
      </c>
      <c r="X1483" s="12">
        <f>IF(LEFT(I1483,2)="MV",2*N1483*IF(L1483="1/C",O1483,1),0)</f>
        <v/>
      </c>
      <c r="Y1483" s="12">
        <f>IF(OR(LEFT(K1483,4)="LVAX",LEFT(K1483,6)="MV15AX",LEFT(K1483,4)="CTAX",LEFT(K1483,2)="W|"),2*N1483*O1483,0)</f>
        <v/>
      </c>
      <c r="Z1483" s="12" t="inlineStr">
        <is>
          <t>VD 3.0 %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5" t="n">
        <v>472</v>
      </c>
      <c r="U1484" s="15" t="n">
        <v>160</v>
      </c>
      <c r="V1484" s="15">
        <f>ROUNDUP((T1484+U1484+2*'Read Me'!$B$13)*(1+'Read Me'!$B$12),-1)</f>
        <v/>
      </c>
      <c r="W1484" s="15">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5" t="n">
        <v>472</v>
      </c>
      <c r="U1485" s="15" t="n">
        <v>160</v>
      </c>
      <c r="V1485" s="15">
        <f>ROUNDUP((T1485+U1485+2*'Read Me'!$B$13)*(1+'Read Me'!$B$12),-1)</f>
        <v/>
      </c>
      <c r="W1485" s="15">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5" t="n">
        <v>472</v>
      </c>
      <c r="U1486" s="15" t="n">
        <v>160</v>
      </c>
      <c r="V1486" s="15">
        <f>ROUNDUP((T1486+U1486+2*'Read Me'!$B$13)*(1+'Read Me'!$B$12),-1)</f>
        <v/>
      </c>
      <c r="W1486" s="15">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5" t="n">
        <v>472</v>
      </c>
      <c r="U1487" s="15" t="n">
        <v>160</v>
      </c>
      <c r="V1487" s="15">
        <f>ROUNDUP((T1487+U1487+2*'Read Me'!$B$13)*(1+'Read Me'!$B$12),-1)</f>
        <v/>
      </c>
      <c r="W1487" s="15">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5" t="n">
        <v>472</v>
      </c>
      <c r="U1488" s="15" t="n">
        <v>160</v>
      </c>
      <c r="V1488" s="15">
        <f>ROUNDUP((T1488+U1488+2*'Read Me'!$B$13)*(1+'Read Me'!$B$12),-1)</f>
        <v/>
      </c>
      <c r="W1488" s="15">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5" t="n">
        <v>472</v>
      </c>
      <c r="U1489" s="15" t="n">
        <v>160</v>
      </c>
      <c r="V1489" s="15">
        <f>ROUNDUP((T1489+U1489+2*'Read Me'!$B$13)*(1+'Read Me'!$B$12),-1)</f>
        <v/>
      </c>
      <c r="W1489" s="15">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5" t="n">
        <v>472</v>
      </c>
      <c r="U1490" s="15" t="n">
        <v>160</v>
      </c>
      <c r="V1490" s="15">
        <f>ROUNDUP((T1490+U1490+2*'Read Me'!$B$13)*(1+'Read Me'!$B$12),-1)</f>
        <v/>
      </c>
      <c r="W1490" s="15">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5" t="n">
        <v>472</v>
      </c>
      <c r="U1491" s="15" t="n">
        <v>160</v>
      </c>
      <c r="V1491" s="15">
        <f>ROUNDUP((T1491+U1491+2*'Read Me'!$B$13)*(1+'Read Me'!$B$12),-1)</f>
        <v/>
      </c>
      <c r="W1491" s="15">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5" t="n">
        <v>472</v>
      </c>
      <c r="U1492" s="15" t="n">
        <v>160</v>
      </c>
      <c r="V1492" s="15">
        <f>ROUNDUP((T1492+U1492+2*'Read Me'!$B$13)*(1+'Read Me'!$B$12),-1)</f>
        <v/>
      </c>
      <c r="W1492" s="15">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5" t="n">
        <v>472</v>
      </c>
      <c r="U1493" s="15" t="n">
        <v>160</v>
      </c>
      <c r="V1493" s="15">
        <f>ROUNDUP((T1493+U1493+2*'Read Me'!$B$13)*(1+'Read Me'!$B$12),-1)</f>
        <v/>
      </c>
      <c r="W1493" s="15">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5" t="n">
        <v>472</v>
      </c>
      <c r="U1494" s="15" t="n">
        <v>160</v>
      </c>
      <c r="V1494" s="15">
        <f>ROUNDUP((T1494+U1494+2*'Read Me'!$B$13)*(1+'Read Me'!$B$12),-1)</f>
        <v/>
      </c>
      <c r="W1494" s="15">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5" t="n">
        <v>472</v>
      </c>
      <c r="U1495" s="15" t="n">
        <v>160</v>
      </c>
      <c r="V1495" s="15">
        <f>ROUNDUP((T1495+U1495+2*'Read Me'!$B$13)*(1+'Read Me'!$B$12),-1)</f>
        <v/>
      </c>
      <c r="W1495" s="15">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5" t="n">
        <v>402</v>
      </c>
      <c r="U1496" s="15" t="n">
        <v>144</v>
      </c>
      <c r="V1496" s="15">
        <f>ROUNDUP((T1496+U1496+2*'Read Me'!$B$13)*(1+'Read Me'!$B$12),-1)</f>
        <v/>
      </c>
      <c r="W1496" s="15">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5" t="n">
        <v>402</v>
      </c>
      <c r="U1497" s="15" t="n">
        <v>144</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5" t="n">
        <v>402</v>
      </c>
      <c r="U1498" s="15" t="n">
        <v>144</v>
      </c>
      <c r="V1498" s="15">
        <f>ROUNDUP((T1498+U1498+2*'Read Me'!$B$13)*(1+'Read Me'!$B$12),-1)</f>
        <v/>
      </c>
      <c r="W1498" s="15">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5" t="n">
        <v>402</v>
      </c>
      <c r="U1499" s="15" t="n">
        <v>144</v>
      </c>
      <c r="V1499" s="15">
        <f>ROUNDUP((T1499+U1499+2*'Read Me'!$B$13)*(1+'Read Me'!$B$12),-1)</f>
        <v/>
      </c>
      <c r="W1499" s="15">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5" t="n">
        <v>402</v>
      </c>
      <c r="U1500" s="15" t="n">
        <v>144</v>
      </c>
      <c r="V1500" s="15">
        <f>ROUNDUP((T1500+U1500+2*'Read Me'!$B$13)*(1+'Read Me'!$B$12),-1)</f>
        <v/>
      </c>
      <c r="W1500" s="15">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5" t="n">
        <v>693</v>
      </c>
      <c r="U1501" s="15" t="n">
        <v>149</v>
      </c>
      <c r="V1501" s="15">
        <f>ROUNDUP((T1501+U1501+2*'Read Me'!$B$13)*(1+'Read Me'!$B$12),-1)</f>
        <v/>
      </c>
      <c r="W1501" s="15">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5" t="n">
        <v>693</v>
      </c>
      <c r="U1502" s="15" t="n">
        <v>149</v>
      </c>
      <c r="V1502" s="15">
        <f>ROUNDUP((T1502+U1502+2*'Read Me'!$B$13)*(1+'Read Me'!$B$12),-1)</f>
        <v/>
      </c>
      <c r="W1502" s="15">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5" t="n">
        <v>693</v>
      </c>
      <c r="U1503" s="15" t="n">
        <v>149</v>
      </c>
      <c r="V1503" s="15">
        <f>ROUNDUP((T1503+U1503+2*'Read Me'!$B$13)*(1+'Read Me'!$B$12),-1)</f>
        <v/>
      </c>
      <c r="W1503" s="15">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5" t="n">
        <v>693</v>
      </c>
      <c r="U1504" s="15" t="n">
        <v>149</v>
      </c>
      <c r="V1504" s="15">
        <f>ROUNDUP((T1504+U1504+2*'Read Me'!$B$13)*(1+'Read Me'!$B$12),-1)</f>
        <v/>
      </c>
      <c r="W1504" s="15">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5" t="n">
        <v>693</v>
      </c>
      <c r="U1505" s="15" t="n">
        <v>149</v>
      </c>
      <c r="V1505" s="15">
        <f>ROUNDUP((T1505+U1505+2*'Read Me'!$B$13)*(1+'Read Me'!$B$12),-1)</f>
        <v/>
      </c>
      <c r="W1505" s="15">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5" t="n">
        <v>693</v>
      </c>
      <c r="U1506" s="15" t="n">
        <v>149</v>
      </c>
      <c r="V1506" s="15">
        <f>ROUNDUP((T1506+U1506+2*'Read Me'!$B$13)*(1+'Read Me'!$B$12),-1)</f>
        <v/>
      </c>
      <c r="W1506" s="15">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5" t="n">
        <v>693</v>
      </c>
      <c r="U1507" s="15" t="n">
        <v>149</v>
      </c>
      <c r="V1507" s="15">
        <f>ROUNDUP((T1507+U1507+2*'Read Me'!$B$13)*(1+'Read Me'!$B$12),-1)</f>
        <v/>
      </c>
      <c r="W1507" s="15">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5" t="n">
        <v>693</v>
      </c>
      <c r="U1508" s="15" t="n">
        <v>149</v>
      </c>
      <c r="V1508" s="15">
        <f>ROUNDUP((T1508+U1508+2*'Read Me'!$B$13)*(1+'Read Me'!$B$12),-1)</f>
        <v/>
      </c>
      <c r="W1508" s="15">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5" t="n">
        <v>693</v>
      </c>
      <c r="U1509" s="15" t="n">
        <v>149</v>
      </c>
      <c r="V1509" s="15">
        <f>ROUNDUP((T1509+U1509+2*'Read Me'!$B$13)*(1+'Read Me'!$B$12),-1)</f>
        <v/>
      </c>
      <c r="W1509" s="15">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5" t="n">
        <v>693</v>
      </c>
      <c r="U1510" s="15" t="n">
        <v>149</v>
      </c>
      <c r="V1510" s="15">
        <f>ROUNDUP((T1510+U1510+2*'Read Me'!$B$13)*(1+'Read Me'!$B$12),-1)</f>
        <v/>
      </c>
      <c r="W1510" s="15">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5" t="n">
        <v>693</v>
      </c>
      <c r="U1511" s="15" t="n">
        <v>149</v>
      </c>
      <c r="V1511" s="15">
        <f>ROUNDUP((T1511+U1511+2*'Read Me'!$B$13)*(1+'Read Me'!$B$12),-1)</f>
        <v/>
      </c>
      <c r="W1511" s="15">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5" t="n">
        <v>693</v>
      </c>
      <c r="U1512" s="15" t="n">
        <v>149</v>
      </c>
      <c r="V1512" s="15">
        <f>ROUNDUP((T1512+U1512+2*'Read Me'!$B$13)*(1+'Read Me'!$B$12),-1)</f>
        <v/>
      </c>
      <c r="W1512" s="15">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5" t="n">
        <v>580</v>
      </c>
      <c r="U1513" s="15" t="n">
        <v>142</v>
      </c>
      <c r="V1513" s="15">
        <f>ROUNDUP((T1513+U1513+2*'Read Me'!$B$13)*(1+'Read Me'!$B$12),-1)</f>
        <v/>
      </c>
      <c r="W1513" s="15">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5" t="n">
        <v>580</v>
      </c>
      <c r="U1514" s="15" t="n">
        <v>142</v>
      </c>
      <c r="V1514" s="15">
        <f>ROUNDUP((T1514+U1514+2*'Read Me'!$B$13)*(1+'Read Me'!$B$12),-1)</f>
        <v/>
      </c>
      <c r="W1514" s="15">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5" t="n">
        <v>580</v>
      </c>
      <c r="U1515" s="15" t="n">
        <v>142</v>
      </c>
      <c r="V1515" s="15">
        <f>ROUNDUP((T1515+U1515+2*'Read Me'!$B$13)*(1+'Read Me'!$B$12),-1)</f>
        <v/>
      </c>
      <c r="W1515" s="15">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5" t="n">
        <v>580</v>
      </c>
      <c r="U1516" s="15" t="n">
        <v>142</v>
      </c>
      <c r="V1516" s="15">
        <f>ROUNDUP((T1516+U1516+2*'Read Me'!$B$13)*(1+'Read Me'!$B$12),-1)</f>
        <v/>
      </c>
      <c r="W1516" s="15">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5" t="n">
        <v>580</v>
      </c>
      <c r="U1517" s="15" t="n">
        <v>142</v>
      </c>
      <c r="V1517" s="15">
        <f>ROUNDUP((T1517+U1517+2*'Read Me'!$B$13)*(1+'Read Me'!$B$12),-1)</f>
        <v/>
      </c>
      <c r="W1517" s="15">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632</v>
      </c>
      <c r="U1518" s="15" t="n">
        <v>108</v>
      </c>
      <c r="V1518" s="15">
        <f>ROUNDUP((T1518+U1518+2*'Read Me'!$B$13)*(1+'Read Me'!$B$12),-1)</f>
        <v/>
      </c>
      <c r="W1518" s="15">
        <f>V1518*N1518*O1518</f>
        <v/>
      </c>
      <c r="X1518" s="12">
        <f>IF(LEFT(I1518,2)="MV",2*N1518*IF(L1518="1/C",O1518,1),0)</f>
        <v/>
      </c>
      <c r="Y1518" s="12">
        <f>IF(OR(LEFT(K1518,4)="LVAX",LEFT(K1518,6)="MV15AX",LEFT(K1518,4)="CTAX",LEFT(K1518,2)="W|"),2*N1518*O1518,0)</f>
        <v/>
      </c>
      <c r="Z1518" s="12" t="inlineStr">
        <is>
          <t>VD 1.0 %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5" t="n">
        <v>632</v>
      </c>
      <c r="U1519" s="15" t="n">
        <v>108</v>
      </c>
      <c r="V1519" s="15">
        <f>ROUNDUP((T1519+U1519+2*'Read Me'!$B$13)*(1+'Read Me'!$B$12),-1)</f>
        <v/>
      </c>
      <c r="W1519" s="15">
        <f>V1519*N1519*O1519</f>
        <v/>
      </c>
      <c r="X1519" s="12">
        <f>IF(LEFT(I1519,2)="MV",2*N1519*IF(L1519="1/C",O1519,1),0)</f>
        <v/>
      </c>
      <c r="Y1519" s="12">
        <f>IF(OR(LEFT(K1519,4)="LVAX",LEFT(K1519,6)="MV15AX",LEFT(K1519,4)="CTAX",LEFT(K1519,2)="W|"),2*N1519*O1519,0)</f>
        <v/>
      </c>
      <c r="Z1519" s="12" t="inlineStr">
        <is>
          <t>VD 1.0 %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5" t="n">
        <v>632</v>
      </c>
      <c r="U1520" s="15" t="n">
        <v>108</v>
      </c>
      <c r="V1520" s="15">
        <f>ROUNDUP((T1520+U1520+2*'Read Me'!$B$13)*(1+'Read Me'!$B$12),-1)</f>
        <v/>
      </c>
      <c r="W1520" s="15">
        <f>V1520*N1520*O1520</f>
        <v/>
      </c>
      <c r="X1520" s="12">
        <f>IF(LEFT(I1520,2)="MV",2*N1520*IF(L1520="1/C",O1520,1),0)</f>
        <v/>
      </c>
      <c r="Y1520" s="12">
        <f>IF(OR(LEFT(K1520,4)="LVAX",LEFT(K1520,6)="MV15AX",LEFT(K1520,4)="CTAX",LEFT(K1520,2)="W|"),2*N1520*O1520,0)</f>
        <v/>
      </c>
      <c r="Z1520" s="12" t="inlineStr">
        <is>
          <t>VD 1.0 %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5" t="n">
        <v>632</v>
      </c>
      <c r="U1521" s="15" t="n">
        <v>108</v>
      </c>
      <c r="V1521" s="15">
        <f>ROUNDUP((T1521+U1521+2*'Read Me'!$B$13)*(1+'Read Me'!$B$12),-1)</f>
        <v/>
      </c>
      <c r="W1521" s="15">
        <f>V1521*N1521*O1521</f>
        <v/>
      </c>
      <c r="X1521" s="12">
        <f>IF(LEFT(I1521,2)="MV",2*N1521*IF(L1521="1/C",O1521,1),0)</f>
        <v/>
      </c>
      <c r="Y1521" s="12">
        <f>IF(OR(LEFT(K1521,4)="LVAX",LEFT(K1521,6)="MV15AX",LEFT(K1521,4)="CTAX",LEFT(K1521,2)="W|"),2*N1521*O1521,0)</f>
        <v/>
      </c>
      <c r="Z1521" s="12" t="inlineStr">
        <is>
          <t>VD 1.0 %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5" t="n">
        <v>649</v>
      </c>
      <c r="U1522" s="15" t="n">
        <v>126</v>
      </c>
      <c r="V1522" s="15">
        <f>ROUNDUP((T1522+U1522+2*'Read Me'!$B$13)*(1+'Read Me'!$B$12),-1)</f>
        <v/>
      </c>
      <c r="W1522" s="15">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5" t="n">
        <v>649</v>
      </c>
      <c r="U1523" s="15" t="n">
        <v>126</v>
      </c>
      <c r="V1523" s="15">
        <f>ROUNDUP((T1523+U1523+2*'Read Me'!$B$13)*(1+'Read Me'!$B$12),-1)</f>
        <v/>
      </c>
      <c r="W1523" s="15">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5" t="n">
        <v>649</v>
      </c>
      <c r="U1524" s="15" t="n">
        <v>126</v>
      </c>
      <c r="V1524" s="15">
        <f>ROUNDUP((T1524+U1524+2*'Read Me'!$B$13)*(1+'Read Me'!$B$12),-1)</f>
        <v/>
      </c>
      <c r="W1524" s="15">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5" t="n">
        <v>649</v>
      </c>
      <c r="U1525" s="15" t="n">
        <v>126</v>
      </c>
      <c r="V1525" s="15">
        <f>ROUNDUP((T1525+U1525+2*'Read Me'!$B$13)*(1+'Read Me'!$B$12),-1)</f>
        <v/>
      </c>
      <c r="W1525" s="15">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5" t="n">
        <v>827</v>
      </c>
      <c r="U1526" s="15" t="n">
        <v>124</v>
      </c>
      <c r="V1526" s="15">
        <f>ROUNDUP((T1526+U1526+2*'Read Me'!$B$13)*(1+'Read Me'!$B$12),-1)</f>
        <v/>
      </c>
      <c r="W1526" s="15">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5" t="n">
        <v>827</v>
      </c>
      <c r="U1527" s="15" t="n">
        <v>124</v>
      </c>
      <c r="V1527" s="15">
        <f>ROUNDUP((T1527+U1527+2*'Read Me'!$B$13)*(1+'Read Me'!$B$12),-1)</f>
        <v/>
      </c>
      <c r="W1527" s="15">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5" t="n">
        <v>827</v>
      </c>
      <c r="U1528" s="15" t="n">
        <v>124</v>
      </c>
      <c r="V1528" s="15">
        <f>ROUNDUP((T1528+U1528+2*'Read Me'!$B$13)*(1+'Read Me'!$B$12),-1)</f>
        <v/>
      </c>
      <c r="W1528" s="15">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5" t="n">
        <v>827</v>
      </c>
      <c r="U1529" s="15" t="n">
        <v>124</v>
      </c>
      <c r="V1529" s="15">
        <f>ROUNDUP((T1529+U1529+2*'Read Me'!$B$13)*(1+'Read Me'!$B$12),-1)</f>
        <v/>
      </c>
      <c r="W1529" s="15">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5" t="n">
        <v>0</v>
      </c>
      <c r="U1530" s="15" t="n">
        <v>87</v>
      </c>
      <c r="V1530" s="15">
        <f>ROUNDUP((T1530+U1530+2*'Read Me'!$B$13)*(1+'Read Me'!$B$12),-1)</f>
        <v/>
      </c>
      <c r="W1530" s="15">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5" t="n">
        <v>0</v>
      </c>
      <c r="U1531" s="15" t="n">
        <v>87</v>
      </c>
      <c r="V1531" s="15">
        <f>ROUNDUP((T1531+U1531+2*'Read Me'!$B$13)*(1+'Read Me'!$B$12),-1)</f>
        <v/>
      </c>
      <c r="W1531" s="15">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5" t="n">
        <v>0</v>
      </c>
      <c r="U1532" s="15" t="n">
        <v>87</v>
      </c>
      <c r="V1532" s="15">
        <f>ROUNDUP((T1532+U1532+2*'Read Me'!$B$13)*(1+'Read Me'!$B$12),-1)</f>
        <v/>
      </c>
      <c r="W1532" s="15">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5" t="n">
        <v>0</v>
      </c>
      <c r="U1533" s="15" t="n">
        <v>87</v>
      </c>
      <c r="V1533" s="15">
        <f>ROUNDUP((T1533+U1533+2*'Read Me'!$B$13)*(1+'Read Me'!$B$12),-1)</f>
        <v/>
      </c>
      <c r="W1533" s="15">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5" t="n">
        <v>0</v>
      </c>
      <c r="U1534" s="15" t="n">
        <v>87</v>
      </c>
      <c r="V1534" s="15">
        <f>ROUNDUP((T1534+U1534+2*'Read Me'!$B$13)*(1+'Read Me'!$B$12),-1)</f>
        <v/>
      </c>
      <c r="W1534" s="15">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5" t="n">
        <v>0</v>
      </c>
      <c r="U1535" s="15" t="n">
        <v>87</v>
      </c>
      <c r="V1535" s="15">
        <f>ROUNDUP((T1535+U1535+2*'Read Me'!$B$13)*(1+'Read Me'!$B$12),-1)</f>
        <v/>
      </c>
      <c r="W1535" s="15">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5" t="n">
        <v>0</v>
      </c>
      <c r="U1536" s="15" t="n">
        <v>87</v>
      </c>
      <c r="V1536" s="15">
        <f>ROUNDUP((T1536+U1536+2*'Read Me'!$B$13)*(1+'Read Me'!$B$12),-1)</f>
        <v/>
      </c>
      <c r="W1536" s="15">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5" t="n">
        <v>0</v>
      </c>
      <c r="U1537" s="15" t="n">
        <v>87</v>
      </c>
      <c r="V1537" s="15">
        <f>ROUNDUP((T1537+U1537+2*'Read Me'!$B$13)*(1+'Read Me'!$B$12),-1)</f>
        <v/>
      </c>
      <c r="W1537" s="15">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5" t="n">
        <v>0</v>
      </c>
      <c r="U1538" s="15" t="n">
        <v>87</v>
      </c>
      <c r="V1538" s="15">
        <f>ROUNDUP((T1538+U1538+2*'Read Me'!$B$13)*(1+'Read Me'!$B$12),-1)</f>
        <v/>
      </c>
      <c r="W1538" s="15">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5" t="n">
        <v>0</v>
      </c>
      <c r="U1539" s="15" t="n">
        <v>87</v>
      </c>
      <c r="V1539" s="15">
        <f>ROUNDUP((T1539+U1539+2*'Read Me'!$B$13)*(1+'Read Me'!$B$12),-1)</f>
        <v/>
      </c>
      <c r="W1539" s="15">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5" t="n">
        <v>0</v>
      </c>
      <c r="U1540" s="15" t="n">
        <v>87</v>
      </c>
      <c r="V1540" s="15">
        <f>ROUNDUP((T1540+U1540+2*'Read Me'!$B$13)*(1+'Read Me'!$B$12),-1)</f>
        <v/>
      </c>
      <c r="W1540" s="15">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5" t="n">
        <v>0</v>
      </c>
      <c r="U1541" s="15" t="n">
        <v>87</v>
      </c>
      <c r="V1541" s="15">
        <f>ROUNDUP((T1541+U1541+2*'Read Me'!$B$13)*(1+'Read Me'!$B$12),-1)</f>
        <v/>
      </c>
      <c r="W1541" s="15">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5" t="n">
        <v>0</v>
      </c>
      <c r="U1542" s="15" t="n">
        <v>87</v>
      </c>
      <c r="V1542" s="15">
        <f>ROUNDUP((T1542+U1542+2*'Read Me'!$B$13)*(1+'Read Me'!$B$12),-1)</f>
        <v/>
      </c>
      <c r="W1542" s="15">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5" t="n">
        <v>0</v>
      </c>
      <c r="U1543" s="15" t="n">
        <v>87</v>
      </c>
      <c r="V1543" s="15">
        <f>ROUNDUP((T1543+U1543+2*'Read Me'!$B$13)*(1+'Read Me'!$B$12),-1)</f>
        <v/>
      </c>
      <c r="W1543" s="15">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5" t="n">
        <v>0</v>
      </c>
      <c r="U1544" s="15" t="n">
        <v>87</v>
      </c>
      <c r="V1544" s="15">
        <f>ROUNDUP((T1544+U1544+2*'Read Me'!$B$13)*(1+'Read Me'!$B$12),-1)</f>
        <v/>
      </c>
      <c r="W1544" s="15">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5" t="n">
        <v>0</v>
      </c>
      <c r="U1545" s="15" t="n">
        <v>87</v>
      </c>
      <c r="V1545" s="15">
        <f>ROUNDUP((T1545+U1545+2*'Read Me'!$B$13)*(1+'Read Me'!$B$12),-1)</f>
        <v/>
      </c>
      <c r="W1545" s="15">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5" t="n">
        <v>0</v>
      </c>
      <c r="U1546" s="15" t="n">
        <v>87</v>
      </c>
      <c r="V1546" s="15">
        <f>ROUNDUP((T1546+U1546+2*'Read Me'!$B$13)*(1+'Read Me'!$B$12),-1)</f>
        <v/>
      </c>
      <c r="W1546" s="15">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5" t="n">
        <v>0</v>
      </c>
      <c r="U1547" s="15" t="n">
        <v>87</v>
      </c>
      <c r="V1547" s="15">
        <f>ROUNDUP((T1547+U1547+2*'Read Me'!$B$13)*(1+'Read Me'!$B$12),-1)</f>
        <v/>
      </c>
      <c r="W1547" s="15">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5" t="n">
        <v>0</v>
      </c>
      <c r="U1548" s="15" t="n">
        <v>87</v>
      </c>
      <c r="V1548" s="15">
        <f>ROUNDUP((T1548+U1548+2*'Read Me'!$B$13)*(1+'Read Me'!$B$12),-1)</f>
        <v/>
      </c>
      <c r="W1548" s="15">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5" t="n">
        <v>0</v>
      </c>
      <c r="U1549" s="15" t="n">
        <v>87</v>
      </c>
      <c r="V1549" s="15">
        <f>ROUNDUP((T1549+U1549+2*'Read Me'!$B$13)*(1+'Read Me'!$B$12),-1)</f>
        <v/>
      </c>
      <c r="W1549" s="15">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5" t="n">
        <v>0</v>
      </c>
      <c r="U1550" s="15" t="n">
        <v>87</v>
      </c>
      <c r="V1550" s="15">
        <f>ROUNDUP((T1550+U1550+2*'Read Me'!$B$13)*(1+'Read Me'!$B$12),-1)</f>
        <v/>
      </c>
      <c r="W1550" s="15">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5" t="n">
        <v>0</v>
      </c>
      <c r="U1551" s="15" t="n">
        <v>87</v>
      </c>
      <c r="V1551" s="15">
        <f>ROUNDUP((T1551+U1551+2*'Read Me'!$B$13)*(1+'Read Me'!$B$12),-1)</f>
        <v/>
      </c>
      <c r="W1551" s="15">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5" t="n">
        <v>0</v>
      </c>
      <c r="U1552" s="15" t="n">
        <v>87</v>
      </c>
      <c r="V1552" s="15">
        <f>ROUNDUP((T1552+U1552+2*'Read Me'!$B$13)*(1+'Read Me'!$B$12),-1)</f>
        <v/>
      </c>
      <c r="W1552" s="15">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5" t="n">
        <v>0</v>
      </c>
      <c r="U1553" s="15" t="n">
        <v>87</v>
      </c>
      <c r="V1553" s="15">
        <f>ROUNDUP((T1553+U1553+2*'Read Me'!$B$13)*(1+'Read Me'!$B$12),-1)</f>
        <v/>
      </c>
      <c r="W1553" s="15">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5" t="n">
        <v>0</v>
      </c>
      <c r="U1554" s="15" t="n">
        <v>87</v>
      </c>
      <c r="V1554" s="15">
        <f>ROUNDUP((T1554+U1554+2*'Read Me'!$B$13)*(1+'Read Me'!$B$12),-1)</f>
        <v/>
      </c>
      <c r="W1554" s="15">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5" t="n">
        <v>0</v>
      </c>
      <c r="U1555" s="15" t="n">
        <v>87</v>
      </c>
      <c r="V1555" s="15">
        <f>ROUNDUP((T1555+U1555+2*'Read Me'!$B$13)*(1+'Read Me'!$B$12),-1)</f>
        <v/>
      </c>
      <c r="W1555" s="15">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5" t="n">
        <v>0</v>
      </c>
      <c r="U1556" s="15" t="n">
        <v>87</v>
      </c>
      <c r="V1556" s="15">
        <f>ROUNDUP((T1556+U1556+2*'Read Me'!$B$13)*(1+'Read Me'!$B$12),-1)</f>
        <v/>
      </c>
      <c r="W1556" s="15">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5" t="n">
        <v>0</v>
      </c>
      <c r="U1557" s="15" t="n">
        <v>87</v>
      </c>
      <c r="V1557" s="15">
        <f>ROUNDUP((T1557+U1557+2*'Read Me'!$B$13)*(1+'Read Me'!$B$12),-1)</f>
        <v/>
      </c>
      <c r="W1557" s="15">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5" t="n">
        <v>0</v>
      </c>
      <c r="U1558" s="15" t="n">
        <v>87</v>
      </c>
      <c r="V1558" s="15">
        <f>ROUNDUP((T1558+U1558+2*'Read Me'!$B$13)*(1+'Read Me'!$B$12),-1)</f>
        <v/>
      </c>
      <c r="W1558" s="15">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5" t="n">
        <v>0</v>
      </c>
      <c r="U1559" s="15" t="n">
        <v>87</v>
      </c>
      <c r="V1559" s="15">
        <f>ROUNDUP((T1559+U1559+2*'Read Me'!$B$13)*(1+'Read Me'!$B$12),-1)</f>
        <v/>
      </c>
      <c r="W1559" s="15">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5" t="n">
        <v>0</v>
      </c>
      <c r="U1560" s="15" t="n">
        <v>87</v>
      </c>
      <c r="V1560" s="15">
        <f>ROUNDUP((T1560+U1560+2*'Read Me'!$B$13)*(1+'Read Me'!$B$12),-1)</f>
        <v/>
      </c>
      <c r="W1560" s="15">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5" t="n">
        <v>0</v>
      </c>
      <c r="U1561" s="15" t="n">
        <v>87</v>
      </c>
      <c r="V1561" s="15">
        <f>ROUNDUP((T1561+U1561+2*'Read Me'!$B$13)*(1+'Read Me'!$B$12),-1)</f>
        <v/>
      </c>
      <c r="W1561" s="15">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5" t="n">
        <v>0</v>
      </c>
      <c r="U1562" s="15" t="n">
        <v>87</v>
      </c>
      <c r="V1562" s="15">
        <f>ROUNDUP((T1562+U1562+2*'Read Me'!$B$13)*(1+'Read Me'!$B$12),-1)</f>
        <v/>
      </c>
      <c r="W1562" s="15">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5" t="n">
        <v>0</v>
      </c>
      <c r="U1563" s="15" t="n">
        <v>87</v>
      </c>
      <c r="V1563" s="15">
        <f>ROUNDUP((T1563+U1563+2*'Read Me'!$B$13)*(1+'Read Me'!$B$12),-1)</f>
        <v/>
      </c>
      <c r="W1563" s="15">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5" t="n">
        <v>0</v>
      </c>
      <c r="U1564" s="15" t="n">
        <v>87</v>
      </c>
      <c r="V1564" s="15">
        <f>ROUNDUP((T1564+U1564+2*'Read Me'!$B$13)*(1+'Read Me'!$B$12),-1)</f>
        <v/>
      </c>
      <c r="W1564" s="15">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5" t="n">
        <v>0</v>
      </c>
      <c r="U1565" s="15" t="n">
        <v>87</v>
      </c>
      <c r="V1565" s="15">
        <f>ROUNDUP((T1565+U1565+2*'Read Me'!$B$13)*(1+'Read Me'!$B$12),-1)</f>
        <v/>
      </c>
      <c r="W1565" s="15">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5" t="n">
        <v>0</v>
      </c>
      <c r="U1566" s="15" t="n">
        <v>87</v>
      </c>
      <c r="V1566" s="15">
        <f>ROUNDUP((T1566+U1566+2*'Read Me'!$B$13)*(1+'Read Me'!$B$12),-1)</f>
        <v/>
      </c>
      <c r="W1566" s="15">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5" t="n">
        <v>0</v>
      </c>
      <c r="U1567" s="15" t="n">
        <v>87</v>
      </c>
      <c r="V1567" s="15">
        <f>ROUNDUP((T1567+U1567+2*'Read Me'!$B$13)*(1+'Read Me'!$B$12),-1)</f>
        <v/>
      </c>
      <c r="W1567" s="15">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5" t="n">
        <v>0</v>
      </c>
      <c r="U1568" s="15" t="n">
        <v>87</v>
      </c>
      <c r="V1568" s="15">
        <f>ROUNDUP((T1568+U1568+2*'Read Me'!$B$13)*(1+'Read Me'!$B$12),-1)</f>
        <v/>
      </c>
      <c r="W1568" s="15">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5" t="n">
        <v>0</v>
      </c>
      <c r="U1569" s="15" t="n">
        <v>87</v>
      </c>
      <c r="V1569" s="15">
        <f>ROUNDUP((T1569+U1569+2*'Read Me'!$B$13)*(1+'Read Me'!$B$12),-1)</f>
        <v/>
      </c>
      <c r="W1569" s="15">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5" t="n">
        <v>0</v>
      </c>
      <c r="U1570" s="15" t="n">
        <v>87</v>
      </c>
      <c r="V1570" s="15">
        <f>ROUNDUP((T1570+U1570+2*'Read Me'!$B$13)*(1+'Read Me'!$B$12),-1)</f>
        <v/>
      </c>
      <c r="W1570" s="15">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5" t="n">
        <v>0</v>
      </c>
      <c r="U1571" s="15" t="n">
        <v>87</v>
      </c>
      <c r="V1571" s="15">
        <f>ROUNDUP((T1571+U1571+2*'Read Me'!$B$13)*(1+'Read Me'!$B$12),-1)</f>
        <v/>
      </c>
      <c r="W1571" s="15">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5" t="n">
        <v>0</v>
      </c>
      <c r="U1572" s="15" t="n">
        <v>87</v>
      </c>
      <c r="V1572" s="15">
        <f>ROUNDUP((T1572+U1572+2*'Read Me'!$B$13)*(1+'Read Me'!$B$12),-1)</f>
        <v/>
      </c>
      <c r="W1572" s="15">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5" t="n">
        <v>0</v>
      </c>
      <c r="U1573" s="15" t="n">
        <v>87</v>
      </c>
      <c r="V1573" s="15">
        <f>ROUNDUP((T1573+U1573+2*'Read Me'!$B$13)*(1+'Read Me'!$B$12),-1)</f>
        <v/>
      </c>
      <c r="W1573" s="15">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5" t="n">
        <v>0</v>
      </c>
      <c r="U1574" s="15" t="n">
        <v>87</v>
      </c>
      <c r="V1574" s="15">
        <f>ROUNDUP((T1574+U1574+2*'Read Me'!$B$13)*(1+'Read Me'!$B$12),-1)</f>
        <v/>
      </c>
      <c r="W1574" s="15">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5" t="n">
        <v>0</v>
      </c>
      <c r="U1575" s="15" t="n">
        <v>87</v>
      </c>
      <c r="V1575" s="15">
        <f>ROUNDUP((T1575+U1575+2*'Read Me'!$B$13)*(1+'Read Me'!$B$12),-1)</f>
        <v/>
      </c>
      <c r="W1575" s="15">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5" t="n">
        <v>0</v>
      </c>
      <c r="U1576" s="15" t="n">
        <v>87</v>
      </c>
      <c r="V1576" s="15">
        <f>ROUNDUP((T1576+U1576+2*'Read Me'!$B$13)*(1+'Read Me'!$B$12),-1)</f>
        <v/>
      </c>
      <c r="W1576" s="15">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5" t="n">
        <v>0</v>
      </c>
      <c r="U1577" s="15" t="n">
        <v>87</v>
      </c>
      <c r="V1577" s="15">
        <f>ROUNDUP((T1577+U1577+2*'Read Me'!$B$13)*(1+'Read Me'!$B$12),-1)</f>
        <v/>
      </c>
      <c r="W1577" s="15">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5" t="n">
        <v>0</v>
      </c>
      <c r="U1578" s="15" t="n">
        <v>87</v>
      </c>
      <c r="V1578" s="15">
        <f>ROUNDUP((T1578+U1578+2*'Read Me'!$B$13)*(1+'Read Me'!$B$12),-1)</f>
        <v/>
      </c>
      <c r="W1578" s="15">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5" t="n">
        <v>300</v>
      </c>
      <c r="U1579" s="15" t="n">
        <v>87</v>
      </c>
      <c r="V1579" s="15">
        <f>ROUNDUP((T1579+U1579+2*'Read Me'!$B$13)*(1+'Read Me'!$B$12),-1)</f>
        <v/>
      </c>
      <c r="W1579" s="15">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5" t="n">
        <v>300</v>
      </c>
      <c r="U1580" s="15" t="n">
        <v>87</v>
      </c>
      <c r="V1580" s="15">
        <f>ROUNDUP((T1580+U1580+2*'Read Me'!$B$13)*(1+'Read Me'!$B$12),-1)</f>
        <v/>
      </c>
      <c r="W1580" s="15">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5" t="n">
        <v>300</v>
      </c>
      <c r="U1581" s="15" t="n">
        <v>87</v>
      </c>
      <c r="V1581" s="15">
        <f>ROUNDUP((T1581+U1581+2*'Read Me'!$B$13)*(1+'Read Me'!$B$12),-1)</f>
        <v/>
      </c>
      <c r="W1581" s="15">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5" t="n">
        <v>300</v>
      </c>
      <c r="U1582" s="15" t="n">
        <v>87</v>
      </c>
      <c r="V1582" s="15">
        <f>ROUNDUP((T1582+U1582+2*'Read Me'!$B$13)*(1+'Read Me'!$B$12),-1)</f>
        <v/>
      </c>
      <c r="W1582" s="15">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5" t="n">
        <v>0</v>
      </c>
      <c r="U1583" s="15" t="n">
        <v>87</v>
      </c>
      <c r="V1583" s="15">
        <f>ROUNDUP((T1583+U1583+2*'Read Me'!$B$13)*(1+'Read Me'!$B$12),-1)</f>
        <v/>
      </c>
      <c r="W1583" s="15">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5" t="n">
        <v>0</v>
      </c>
      <c r="U1584" s="15" t="n">
        <v>87</v>
      </c>
      <c r="V1584" s="15">
        <f>ROUNDUP((T1584+U1584+2*'Read Me'!$B$13)*(1+'Read Me'!$B$12),-1)</f>
        <v/>
      </c>
      <c r="W1584" s="15">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5" t="n">
        <v>0</v>
      </c>
      <c r="U1585" s="15" t="n">
        <v>87</v>
      </c>
      <c r="V1585" s="15">
        <f>ROUNDUP((T1585+U1585+2*'Read Me'!$B$13)*(1+'Read Me'!$B$12),-1)</f>
        <v/>
      </c>
      <c r="W1585" s="15">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5" t="n">
        <v>0</v>
      </c>
      <c r="U1586" s="15" t="n">
        <v>87</v>
      </c>
      <c r="V1586" s="15">
        <f>ROUNDUP((T1586+U1586+2*'Read Me'!$B$13)*(1+'Read Me'!$B$12),-1)</f>
        <v/>
      </c>
      <c r="W1586" s="15">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5" t="n">
        <v>0</v>
      </c>
      <c r="U1587" s="15" t="n">
        <v>124</v>
      </c>
      <c r="V1587" s="15">
        <f>ROUNDUP((T1587+U1587+2*'Read Me'!$B$13)*(1+'Read Me'!$B$12),-1)</f>
        <v/>
      </c>
      <c r="W1587" s="15">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5" t="n">
        <v>0</v>
      </c>
      <c r="U1588" s="15" t="n">
        <v>124</v>
      </c>
      <c r="V1588" s="15">
        <f>ROUNDUP((T1588+U1588+2*'Read Me'!$B$13)*(1+'Read Me'!$B$12),-1)</f>
        <v/>
      </c>
      <c r="W1588" s="15">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5" t="n">
        <v>0</v>
      </c>
      <c r="U1589" s="15" t="n">
        <v>124</v>
      </c>
      <c r="V1589" s="15">
        <f>ROUNDUP((T1589+U1589+2*'Read Me'!$B$13)*(1+'Read Me'!$B$12),-1)</f>
        <v/>
      </c>
      <c r="W1589" s="15">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5" t="n">
        <v>0</v>
      </c>
      <c r="U1590" s="15" t="n">
        <v>124</v>
      </c>
      <c r="V1590" s="15">
        <f>ROUNDUP((T1590+U1590+2*'Read Me'!$B$13)*(1+'Read Me'!$B$12),-1)</f>
        <v/>
      </c>
      <c r="W1590" s="15">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5" t="n">
        <v>0</v>
      </c>
      <c r="U1591" s="15" t="n">
        <v>124</v>
      </c>
      <c r="V1591" s="15">
        <f>ROUNDUP((T1591+U1591+2*'Read Me'!$B$13)*(1+'Read Me'!$B$12),-1)</f>
        <v/>
      </c>
      <c r="W1591" s="15">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R2B</t>
        </is>
      </c>
      <c r="F1592" s="12" t="inlineStr">
        <is>
          <t>R2B: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5" t="n">
        <v>30</v>
      </c>
      <c r="U1592" s="15" t="n">
        <v>109</v>
      </c>
      <c r="V1592" s="15">
        <f>ROUNDUP((T1592+U1592+2*'Read Me'!$B$13)*(1+'Read Me'!$B$12),-1)</f>
        <v/>
      </c>
      <c r="W1592" s="15">
        <f>V1592*N1592*O1592</f>
        <v/>
      </c>
      <c r="X1592" s="12">
        <f>IF(LEFT(I1592,2)="MV",2*N1592*IF(L1592="1/C",O1592,1),0)</f>
        <v/>
      </c>
      <c r="Y1592" s="12">
        <f>IF(OR(LEFT(K1592,4)="LVAX",LEFT(K1592,6)="MV15AX",LEFT(K1592,4)="CTAX",LEFT(K1592,2)="W|"),2*N1592*O1592,0)</f>
        <v/>
      </c>
      <c r="Z1592" s="12" t="inlineStr">
        <is>
          <t>VD 0.2 %</t>
        </is>
      </c>
      <c r="AA1592" s="12">
        <f>N1592*O1592</f>
        <v/>
      </c>
    </row>
    <row r="1593">
      <c r="A1593" s="12" t="inlineStr">
        <is>
          <t>A-P-0226</t>
        </is>
      </c>
      <c r="B1593" s="12" t="inlineStr">
        <is>
          <t>A</t>
        </is>
      </c>
      <c r="C1593" s="12" t="inlineStr">
        <is>
          <t>Power block</t>
        </is>
      </c>
      <c r="D1593" s="12" t="inlineStr">
        <is>
          <t>Motor 2 of 6, 2 kW</t>
        </is>
      </c>
      <c r="E1593" s="12" t="inlineStr">
        <is>
          <t>R2B</t>
        </is>
      </c>
      <c r="F1593" s="12" t="inlineStr">
        <is>
          <t>R2B: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5" t="n">
        <v>30</v>
      </c>
      <c r="U1593" s="15" t="n">
        <v>109</v>
      </c>
      <c r="V1593" s="15">
        <f>ROUNDUP((T1593+U1593+2*'Read Me'!$B$13)*(1+'Read Me'!$B$12),-1)</f>
        <v/>
      </c>
      <c r="W1593" s="15">
        <f>V1593*N1593*O1593</f>
        <v/>
      </c>
      <c r="X1593" s="12">
        <f>IF(LEFT(I1593,2)="MV",2*N1593*IF(L1593="1/C",O1593,1),0)</f>
        <v/>
      </c>
      <c r="Y1593" s="12">
        <f>IF(OR(LEFT(K1593,4)="LVAX",LEFT(K1593,6)="MV15AX",LEFT(K1593,4)="CTAX",LEFT(K1593,2)="W|"),2*N1593*O1593,0)</f>
        <v/>
      </c>
      <c r="Z1593" s="12" t="inlineStr">
        <is>
          <t>VD 0.2 %</t>
        </is>
      </c>
      <c r="AA1593" s="12">
        <f>N1593*O1593</f>
        <v/>
      </c>
    </row>
    <row r="1594">
      <c r="A1594" s="12" t="inlineStr">
        <is>
          <t>A-P-0227</t>
        </is>
      </c>
      <c r="B1594" s="12" t="inlineStr">
        <is>
          <t>A</t>
        </is>
      </c>
      <c r="C1594" s="12" t="inlineStr">
        <is>
          <t>Power block</t>
        </is>
      </c>
      <c r="D1594" s="12" t="inlineStr">
        <is>
          <t>Motor 3 of 6, 2 kW</t>
        </is>
      </c>
      <c r="E1594" s="12" t="inlineStr">
        <is>
          <t>R2B</t>
        </is>
      </c>
      <c r="F1594" s="12" t="inlineStr">
        <is>
          <t>R2B: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5" t="n">
        <v>30</v>
      </c>
      <c r="U1594" s="15" t="n">
        <v>109</v>
      </c>
      <c r="V1594" s="15">
        <f>ROUNDUP((T1594+U1594+2*'Read Me'!$B$13)*(1+'Read Me'!$B$12),-1)</f>
        <v/>
      </c>
      <c r="W1594" s="15">
        <f>V1594*N1594*O1594</f>
        <v/>
      </c>
      <c r="X1594" s="12">
        <f>IF(LEFT(I1594,2)="MV",2*N1594*IF(L1594="1/C",O1594,1),0)</f>
        <v/>
      </c>
      <c r="Y1594" s="12">
        <f>IF(OR(LEFT(K1594,4)="LVAX",LEFT(K1594,6)="MV15AX",LEFT(K1594,4)="CTAX",LEFT(K1594,2)="W|"),2*N1594*O1594,0)</f>
        <v/>
      </c>
      <c r="Z1594" s="12" t="inlineStr">
        <is>
          <t>VD 0.2 %</t>
        </is>
      </c>
      <c r="AA1594" s="12">
        <f>N1594*O1594</f>
        <v/>
      </c>
    </row>
    <row r="1595">
      <c r="A1595" s="12" t="inlineStr">
        <is>
          <t>A-P-0228</t>
        </is>
      </c>
      <c r="B1595" s="12" t="inlineStr">
        <is>
          <t>A</t>
        </is>
      </c>
      <c r="C1595" s="12" t="inlineStr">
        <is>
          <t>Power block</t>
        </is>
      </c>
      <c r="D1595" s="12" t="inlineStr">
        <is>
          <t>Motor 4 of 6, 2 kW</t>
        </is>
      </c>
      <c r="E1595" s="12" t="inlineStr">
        <is>
          <t>R2B</t>
        </is>
      </c>
      <c r="F1595" s="12" t="inlineStr">
        <is>
          <t>R2B: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5" t="n">
        <v>30</v>
      </c>
      <c r="U1595" s="15" t="n">
        <v>109</v>
      </c>
      <c r="V1595" s="15">
        <f>ROUNDUP((T1595+U1595+2*'Read Me'!$B$13)*(1+'Read Me'!$B$12),-1)</f>
        <v/>
      </c>
      <c r="W1595" s="15">
        <f>V1595*N1595*O1595</f>
        <v/>
      </c>
      <c r="X1595" s="12">
        <f>IF(LEFT(I1595,2)="MV",2*N1595*IF(L1595="1/C",O1595,1),0)</f>
        <v/>
      </c>
      <c r="Y1595" s="12">
        <f>IF(OR(LEFT(K1595,4)="LVAX",LEFT(K1595,6)="MV15AX",LEFT(K1595,4)="CTAX",LEFT(K1595,2)="W|"),2*N1595*O1595,0)</f>
        <v/>
      </c>
      <c r="Z1595" s="12" t="inlineStr">
        <is>
          <t>VD 0.2 %</t>
        </is>
      </c>
      <c r="AA1595" s="12">
        <f>N1595*O1595</f>
        <v/>
      </c>
    </row>
    <row r="1596">
      <c r="A1596" s="12" t="inlineStr">
        <is>
          <t>A-P-0229</t>
        </is>
      </c>
      <c r="B1596" s="12" t="inlineStr">
        <is>
          <t>A</t>
        </is>
      </c>
      <c r="C1596" s="12" t="inlineStr">
        <is>
          <t>Power block</t>
        </is>
      </c>
      <c r="D1596" s="12" t="inlineStr">
        <is>
          <t>Motor 5 of 6, 2 kW</t>
        </is>
      </c>
      <c r="E1596" s="12" t="inlineStr">
        <is>
          <t>R2B</t>
        </is>
      </c>
      <c r="F1596" s="12" t="inlineStr">
        <is>
          <t>R2B: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5" t="n">
        <v>30</v>
      </c>
      <c r="U1596" s="15" t="n">
        <v>109</v>
      </c>
      <c r="V1596" s="15">
        <f>ROUNDUP((T1596+U1596+2*'Read Me'!$B$13)*(1+'Read Me'!$B$12),-1)</f>
        <v/>
      </c>
      <c r="W1596" s="15">
        <f>V1596*N1596*O1596</f>
        <v/>
      </c>
      <c r="X1596" s="12">
        <f>IF(LEFT(I1596,2)="MV",2*N1596*IF(L1596="1/C",O1596,1),0)</f>
        <v/>
      </c>
      <c r="Y1596" s="12">
        <f>IF(OR(LEFT(K1596,4)="LVAX",LEFT(K1596,6)="MV15AX",LEFT(K1596,4)="CTAX",LEFT(K1596,2)="W|"),2*N1596*O1596,0)</f>
        <v/>
      </c>
      <c r="Z1596" s="12" t="inlineStr">
        <is>
          <t>VD 0.2 %</t>
        </is>
      </c>
      <c r="AA1596" s="12">
        <f>N1596*O1596</f>
        <v/>
      </c>
    </row>
    <row r="1597">
      <c r="A1597" s="12" t="inlineStr">
        <is>
          <t>A-P-0230</t>
        </is>
      </c>
      <c r="B1597" s="12" t="inlineStr">
        <is>
          <t>A</t>
        </is>
      </c>
      <c r="C1597" s="12" t="inlineStr">
        <is>
          <t>Power block</t>
        </is>
      </c>
      <c r="D1597" s="12" t="inlineStr">
        <is>
          <t>Motor 6 of 6, 2 kW</t>
        </is>
      </c>
      <c r="E1597" s="12" t="inlineStr">
        <is>
          <t>R2B</t>
        </is>
      </c>
      <c r="F1597" s="12" t="inlineStr">
        <is>
          <t>R2B: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5" t="n">
        <v>30</v>
      </c>
      <c r="U1597" s="15" t="n">
        <v>109</v>
      </c>
      <c r="V1597" s="15">
        <f>ROUNDUP((T1597+U1597+2*'Read Me'!$B$13)*(1+'Read Me'!$B$12),-1)</f>
        <v/>
      </c>
      <c r="W1597" s="15">
        <f>V1597*N1597*O1597</f>
        <v/>
      </c>
      <c r="X1597" s="12">
        <f>IF(LEFT(I1597,2)="MV",2*N1597*IF(L1597="1/C",O1597,1),0)</f>
        <v/>
      </c>
      <c r="Y1597" s="12">
        <f>IF(OR(LEFT(K1597,4)="LVAX",LEFT(K1597,6)="MV15AX",LEFT(K1597,4)="CTAX",LEFT(K1597,2)="W|"),2*N1597*O1597,0)</f>
        <v/>
      </c>
      <c r="Z1597" s="12" t="inlineStr">
        <is>
          <t>VD 0.2 %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5" t="n">
        <v>486</v>
      </c>
      <c r="U1598" s="15" t="n">
        <v>148</v>
      </c>
      <c r="V1598" s="15">
        <f>ROUNDUP((T1598+U1598+2*'Read Me'!$B$13)*(1+'Read Me'!$B$12),-1)</f>
        <v/>
      </c>
      <c r="W1598" s="15">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5" t="n">
        <v>63</v>
      </c>
      <c r="U1599" s="15" t="n">
        <v>84</v>
      </c>
      <c r="V1599" s="15">
        <f>ROUNDUP((T1599+U1599+2*'Read Me'!$B$13)*(1+'Read Me'!$B$12),-1)</f>
        <v/>
      </c>
      <c r="W1599" s="15">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5" t="n">
        <v>63</v>
      </c>
      <c r="U1600" s="15" t="n">
        <v>84</v>
      </c>
      <c r="V1600" s="15">
        <f>ROUNDUP((T1600+U1600+2*'Read Me'!$B$13)*(1+'Read Me'!$B$12),-1)</f>
        <v/>
      </c>
      <c r="W1600" s="15">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5" t="n">
        <v>63</v>
      </c>
      <c r="U1601" s="15" t="n">
        <v>84</v>
      </c>
      <c r="V1601" s="15">
        <f>ROUNDUP((T1601+U1601+2*'Read Me'!$B$13)*(1+'Read Me'!$B$12),-1)</f>
        <v/>
      </c>
      <c r="W1601" s="15">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5" t="n">
        <v>63</v>
      </c>
      <c r="U1602" s="15" t="n">
        <v>84</v>
      </c>
      <c r="V1602" s="15">
        <f>ROUNDUP((T1602+U1602+2*'Read Me'!$B$13)*(1+'Read Me'!$B$12),-1)</f>
        <v/>
      </c>
      <c r="W1602" s="15">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5" t="n">
        <v>63</v>
      </c>
      <c r="U1603" s="15" t="n">
        <v>84</v>
      </c>
      <c r="V1603" s="15">
        <f>ROUNDUP((T1603+U1603+2*'Read Me'!$B$13)*(1+'Read Me'!$B$12),-1)</f>
        <v/>
      </c>
      <c r="W1603" s="15">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5" t="n">
        <v>63</v>
      </c>
      <c r="U1604" s="15" t="n">
        <v>84</v>
      </c>
      <c r="V1604" s="15">
        <f>ROUNDUP((T1604+U1604+2*'Read Me'!$B$13)*(1+'Read Me'!$B$12),-1)</f>
        <v/>
      </c>
      <c r="W1604" s="15">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5" t="n">
        <v>63</v>
      </c>
      <c r="U1605" s="15" t="n">
        <v>84</v>
      </c>
      <c r="V1605" s="15">
        <f>ROUNDUP((T1605+U1605+2*'Read Me'!$B$13)*(1+'Read Me'!$B$12),-1)</f>
        <v/>
      </c>
      <c r="W1605" s="15">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5" t="n">
        <v>63</v>
      </c>
      <c r="U1606" s="15" t="n">
        <v>84</v>
      </c>
      <c r="V1606" s="15">
        <f>ROUNDUP((T1606+U1606+2*'Read Me'!$B$13)*(1+'Read Me'!$B$12),-1)</f>
        <v/>
      </c>
      <c r="W1606" s="15">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5" t="n">
        <v>63</v>
      </c>
      <c r="U1607" s="15" t="n">
        <v>84</v>
      </c>
      <c r="V1607" s="15">
        <f>ROUNDUP((T1607+U1607+2*'Read Me'!$B$13)*(1+'Read Me'!$B$12),-1)</f>
        <v/>
      </c>
      <c r="W1607" s="15">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5" t="n">
        <v>63</v>
      </c>
      <c r="U1608" s="15" t="n">
        <v>84</v>
      </c>
      <c r="V1608" s="15">
        <f>ROUNDUP((T1608+U1608+2*'Read Me'!$B$13)*(1+'Read Me'!$B$12),-1)</f>
        <v/>
      </c>
      <c r="W1608" s="15">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5" t="n">
        <v>63</v>
      </c>
      <c r="U1609" s="15" t="n">
        <v>84</v>
      </c>
      <c r="V1609" s="15">
        <f>ROUNDUP((T1609+U1609+2*'Read Me'!$B$13)*(1+'Read Me'!$B$12),-1)</f>
        <v/>
      </c>
      <c r="W1609" s="15">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5" t="n">
        <v>63</v>
      </c>
      <c r="U1610" s="15" t="n">
        <v>84</v>
      </c>
      <c r="V1610" s="15">
        <f>ROUNDUP((T1610+U1610+2*'Read Me'!$B$13)*(1+'Read Me'!$B$12),-1)</f>
        <v/>
      </c>
      <c r="W1610" s="15">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5" t="n">
        <v>63</v>
      </c>
      <c r="U1611" s="15" t="n">
        <v>84</v>
      </c>
      <c r="V1611" s="15">
        <f>ROUNDUP((T1611+U1611+2*'Read Me'!$B$13)*(1+'Read Me'!$B$12),-1)</f>
        <v/>
      </c>
      <c r="W1611" s="15">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5" t="n">
        <v>63</v>
      </c>
      <c r="U1612" s="15" t="n">
        <v>84</v>
      </c>
      <c r="V1612" s="15">
        <f>ROUNDUP((T1612+U1612+2*'Read Me'!$B$13)*(1+'Read Me'!$B$12),-1)</f>
        <v/>
      </c>
      <c r="W1612" s="15">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5" t="n">
        <v>63</v>
      </c>
      <c r="U1613" s="15" t="n">
        <v>84</v>
      </c>
      <c r="V1613" s="15">
        <f>ROUNDUP((T1613+U1613+2*'Read Me'!$B$13)*(1+'Read Me'!$B$12),-1)</f>
        <v/>
      </c>
      <c r="W1613" s="15">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5" t="n">
        <v>63</v>
      </c>
      <c r="U1614" s="15" t="n">
        <v>84</v>
      </c>
      <c r="V1614" s="15">
        <f>ROUNDUP((T1614+U1614+2*'Read Me'!$B$13)*(1+'Read Me'!$B$12),-1)</f>
        <v/>
      </c>
      <c r="W1614" s="15">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5" t="n">
        <v>63</v>
      </c>
      <c r="U1615" s="15" t="n">
        <v>84</v>
      </c>
      <c r="V1615" s="15">
        <f>ROUNDUP((T1615+U1615+2*'Read Me'!$B$13)*(1+'Read Me'!$B$12),-1)</f>
        <v/>
      </c>
      <c r="W1615" s="15">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63</v>
      </c>
      <c r="U1616" s="15" t="n">
        <v>84</v>
      </c>
      <c r="V1616" s="15">
        <f>ROUNDUP((T1616+U1616+2*'Read Me'!$B$13)*(1+'Read Me'!$B$12),-1)</f>
        <v/>
      </c>
      <c r="W1616" s="15">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63</v>
      </c>
      <c r="U1617" s="15" t="n">
        <v>84</v>
      </c>
      <c r="V1617" s="15">
        <f>ROUNDUP((T1617+U1617+2*'Read Me'!$B$13)*(1+'Read Me'!$B$12),-1)</f>
        <v/>
      </c>
      <c r="W1617" s="15">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63</v>
      </c>
      <c r="U1618" s="15" t="n">
        <v>84</v>
      </c>
      <c r="V1618" s="15">
        <f>ROUNDUP((T1618+U1618+2*'Read Me'!$B$13)*(1+'Read Me'!$B$12),-1)</f>
        <v/>
      </c>
      <c r="W1618" s="15">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63</v>
      </c>
      <c r="U1619" s="15" t="n">
        <v>84</v>
      </c>
      <c r="V1619" s="15">
        <f>ROUNDUP((T1619+U1619+2*'Read Me'!$B$13)*(1+'Read Me'!$B$12),-1)</f>
        <v/>
      </c>
      <c r="W1619" s="15">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63</v>
      </c>
      <c r="U1620" s="15" t="n">
        <v>84</v>
      </c>
      <c r="V1620" s="15">
        <f>ROUNDUP((T1620+U1620+2*'Read Me'!$B$13)*(1+'Read Me'!$B$12),-1)</f>
        <v/>
      </c>
      <c r="W1620" s="15">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63</v>
      </c>
      <c r="U1621" s="15" t="n">
        <v>84</v>
      </c>
      <c r="V1621" s="15">
        <f>ROUNDUP((T1621+U1621+2*'Read Me'!$B$13)*(1+'Read Me'!$B$12),-1)</f>
        <v/>
      </c>
      <c r="W1621" s="15">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63</v>
      </c>
      <c r="U1622" s="15" t="n">
        <v>84</v>
      </c>
      <c r="V1622" s="15">
        <f>ROUNDUP((T1622+U1622+2*'Read Me'!$B$13)*(1+'Read Me'!$B$12),-1)</f>
        <v/>
      </c>
      <c r="W1622" s="15">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63</v>
      </c>
      <c r="U1623" s="15" t="n">
        <v>84</v>
      </c>
      <c r="V1623" s="15">
        <f>ROUNDUP((T1623+U1623+2*'Read Me'!$B$13)*(1+'Read Me'!$B$12),-1)</f>
        <v/>
      </c>
      <c r="W1623" s="15">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63</v>
      </c>
      <c r="U1624" s="15" t="n">
        <v>84</v>
      </c>
      <c r="V1624" s="15">
        <f>ROUNDUP((T1624+U1624+2*'Read Me'!$B$13)*(1+'Read Me'!$B$12),-1)</f>
        <v/>
      </c>
      <c r="W1624" s="15">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63</v>
      </c>
      <c r="U1625" s="15" t="n">
        <v>84</v>
      </c>
      <c r="V1625" s="15">
        <f>ROUNDUP((T1625+U1625+2*'Read Me'!$B$13)*(1+'Read Me'!$B$12),-1)</f>
        <v/>
      </c>
      <c r="W1625" s="15">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63</v>
      </c>
      <c r="U1626" s="15" t="n">
        <v>84</v>
      </c>
      <c r="V1626" s="15">
        <f>ROUNDUP((T1626+U1626+2*'Read Me'!$B$13)*(1+'Read Me'!$B$12),-1)</f>
        <v/>
      </c>
      <c r="W1626" s="15">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63</v>
      </c>
      <c r="U1627" s="15" t="n">
        <v>84</v>
      </c>
      <c r="V1627" s="15">
        <f>ROUNDUP((T1627+U1627+2*'Read Me'!$B$13)*(1+'Read Me'!$B$12),-1)</f>
        <v/>
      </c>
      <c r="W1627" s="15">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63</v>
      </c>
      <c r="U1628" s="15" t="n">
        <v>84</v>
      </c>
      <c r="V1628" s="15">
        <f>ROUNDUP((T1628+U1628+2*'Read Me'!$B$13)*(1+'Read Me'!$B$12),-1)</f>
        <v/>
      </c>
      <c r="W1628" s="15">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63</v>
      </c>
      <c r="U1629" s="15" t="n">
        <v>84</v>
      </c>
      <c r="V1629" s="15">
        <f>ROUNDUP((T1629+U1629+2*'Read Me'!$B$13)*(1+'Read Me'!$B$12),-1)</f>
        <v/>
      </c>
      <c r="W1629" s="15">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63</v>
      </c>
      <c r="U1630" s="15" t="n">
        <v>84</v>
      </c>
      <c r="V1630" s="15">
        <f>ROUNDUP((T1630+U1630+2*'Read Me'!$B$13)*(1+'Read Me'!$B$12),-1)</f>
        <v/>
      </c>
      <c r="W1630" s="15">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63</v>
      </c>
      <c r="U1631" s="15" t="n">
        <v>84</v>
      </c>
      <c r="V1631" s="15">
        <f>ROUNDUP((T1631+U1631+2*'Read Me'!$B$13)*(1+'Read Me'!$B$12),-1)</f>
        <v/>
      </c>
      <c r="W1631" s="15">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63</v>
      </c>
      <c r="U1632" s="15" t="n">
        <v>84</v>
      </c>
      <c r="V1632" s="15">
        <f>ROUNDUP((T1632+U1632+2*'Read Me'!$B$13)*(1+'Read Me'!$B$12),-1)</f>
        <v/>
      </c>
      <c r="W1632" s="15">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63</v>
      </c>
      <c r="U1633" s="15" t="n">
        <v>84</v>
      </c>
      <c r="V1633" s="15">
        <f>ROUNDUP((T1633+U1633+2*'Read Me'!$B$13)*(1+'Read Me'!$B$12),-1)</f>
        <v/>
      </c>
      <c r="W1633" s="15">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63</v>
      </c>
      <c r="U1634" s="15" t="n">
        <v>84</v>
      </c>
      <c r="V1634" s="15">
        <f>ROUNDUP((T1634+U1634+2*'Read Me'!$B$13)*(1+'Read Me'!$B$12),-1)</f>
        <v/>
      </c>
      <c r="W1634" s="15">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63</v>
      </c>
      <c r="U1635" s="15" t="n">
        <v>84</v>
      </c>
      <c r="V1635" s="15">
        <f>ROUNDUP((T1635+U1635+2*'Read Me'!$B$13)*(1+'Read Me'!$B$12),-1)</f>
        <v/>
      </c>
      <c r="W1635" s="15">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63</v>
      </c>
      <c r="U1636" s="15" t="n">
        <v>84</v>
      </c>
      <c r="V1636" s="15">
        <f>ROUNDUP((T1636+U1636+2*'Read Me'!$B$13)*(1+'Read Me'!$B$12),-1)</f>
        <v/>
      </c>
      <c r="W1636" s="15">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63</v>
      </c>
      <c r="U1637" s="15" t="n">
        <v>84</v>
      </c>
      <c r="V1637" s="15">
        <f>ROUNDUP((T1637+U1637+2*'Read Me'!$B$13)*(1+'Read Me'!$B$12),-1)</f>
        <v/>
      </c>
      <c r="W1637" s="15">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63</v>
      </c>
      <c r="U1638" s="15" t="n">
        <v>84</v>
      </c>
      <c r="V1638" s="15">
        <f>ROUNDUP((T1638+U1638+2*'Read Me'!$B$13)*(1+'Read Me'!$B$12),-1)</f>
        <v/>
      </c>
      <c r="W1638" s="15">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63</v>
      </c>
      <c r="U1639" s="15" t="n">
        <v>84</v>
      </c>
      <c r="V1639" s="15">
        <f>ROUNDUP((T1639+U1639+2*'Read Me'!$B$13)*(1+'Read Me'!$B$12),-1)</f>
        <v/>
      </c>
      <c r="W1639" s="15">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63</v>
      </c>
      <c r="U1640" s="15" t="n">
        <v>84</v>
      </c>
      <c r="V1640" s="15">
        <f>ROUNDUP((T1640+U1640+2*'Read Me'!$B$13)*(1+'Read Me'!$B$12),-1)</f>
        <v/>
      </c>
      <c r="W1640" s="15">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63</v>
      </c>
      <c r="U1641" s="15" t="n">
        <v>84</v>
      </c>
      <c r="V1641" s="15">
        <f>ROUNDUP((T1641+U1641+2*'Read Me'!$B$13)*(1+'Read Me'!$B$12),-1)</f>
        <v/>
      </c>
      <c r="W1641" s="15">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63</v>
      </c>
      <c r="U1642" s="15" t="n">
        <v>84</v>
      </c>
      <c r="V1642" s="15">
        <f>ROUNDUP((T1642+U1642+2*'Read Me'!$B$13)*(1+'Read Me'!$B$12),-1)</f>
        <v/>
      </c>
      <c r="W1642" s="15">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63</v>
      </c>
      <c r="U1643" s="15" t="n">
        <v>84</v>
      </c>
      <c r="V1643" s="15">
        <f>ROUNDUP((T1643+U1643+2*'Read Me'!$B$13)*(1+'Read Me'!$B$12),-1)</f>
        <v/>
      </c>
      <c r="W1643" s="15">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63</v>
      </c>
      <c r="U1644" s="15" t="n">
        <v>84</v>
      </c>
      <c r="V1644" s="15">
        <f>ROUNDUP((T1644+U1644+2*'Read Me'!$B$13)*(1+'Read Me'!$B$12),-1)</f>
        <v/>
      </c>
      <c r="W1644" s="15">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63</v>
      </c>
      <c r="U1645" s="15" t="n">
        <v>84</v>
      </c>
      <c r="V1645" s="15">
        <f>ROUNDUP((T1645+U1645+2*'Read Me'!$B$13)*(1+'Read Me'!$B$12),-1)</f>
        <v/>
      </c>
      <c r="W1645" s="15">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63</v>
      </c>
      <c r="U1646" s="15" t="n">
        <v>84</v>
      </c>
      <c r="V1646" s="15">
        <f>ROUNDUP((T1646+U1646+2*'Read Me'!$B$13)*(1+'Read Me'!$B$12),-1)</f>
        <v/>
      </c>
      <c r="W1646" s="15">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63</v>
      </c>
      <c r="U1647" s="15" t="n">
        <v>84</v>
      </c>
      <c r="V1647" s="15">
        <f>ROUNDUP((T1647+U1647+2*'Read Me'!$B$13)*(1+'Read Me'!$B$12),-1)</f>
        <v/>
      </c>
      <c r="W1647" s="15">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5" t="n">
        <v>363</v>
      </c>
      <c r="U1648" s="15" t="n">
        <v>84</v>
      </c>
      <c r="V1648" s="15">
        <f>ROUNDUP((T1648+U1648+2*'Read Me'!$B$13)*(1+'Read Me'!$B$12),-1)</f>
        <v/>
      </c>
      <c r="W1648" s="15">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5" t="n">
        <v>363</v>
      </c>
      <c r="U1649" s="15" t="n">
        <v>84</v>
      </c>
      <c r="V1649" s="15">
        <f>ROUNDUP((T1649+U1649+2*'Read Me'!$B$13)*(1+'Read Me'!$B$12),-1)</f>
        <v/>
      </c>
      <c r="W1649" s="15">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5" t="n">
        <v>363</v>
      </c>
      <c r="U1650" s="15" t="n">
        <v>84</v>
      </c>
      <c r="V1650" s="15">
        <f>ROUNDUP((T1650+U1650+2*'Read Me'!$B$13)*(1+'Read Me'!$B$12),-1)</f>
        <v/>
      </c>
      <c r="W1650" s="15">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5" t="n">
        <v>363</v>
      </c>
      <c r="U1651" s="15" t="n">
        <v>84</v>
      </c>
      <c r="V1651" s="15">
        <f>ROUNDUP((T1651+U1651+2*'Read Me'!$B$13)*(1+'Read Me'!$B$12),-1)</f>
        <v/>
      </c>
      <c r="W1651" s="15">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5" t="n">
        <v>63</v>
      </c>
      <c r="U1652" s="15" t="n">
        <v>84</v>
      </c>
      <c r="V1652" s="15">
        <f>ROUNDUP((T1652+U1652+2*'Read Me'!$B$13)*(1+'Read Me'!$B$12),-1)</f>
        <v/>
      </c>
      <c r="W1652" s="15">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5" t="n">
        <v>63</v>
      </c>
      <c r="U1653" s="15" t="n">
        <v>84</v>
      </c>
      <c r="V1653" s="15">
        <f>ROUNDUP((T1653+U1653+2*'Read Me'!$B$13)*(1+'Read Me'!$B$12),-1)</f>
        <v/>
      </c>
      <c r="W1653" s="15">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5" t="n">
        <v>63</v>
      </c>
      <c r="U1654" s="15" t="n">
        <v>84</v>
      </c>
      <c r="V1654" s="15">
        <f>ROUNDUP((T1654+U1654+2*'Read Me'!$B$13)*(1+'Read Me'!$B$12),-1)</f>
        <v/>
      </c>
      <c r="W1654" s="15">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5" t="n">
        <v>63</v>
      </c>
      <c r="U1655" s="15" t="n">
        <v>84</v>
      </c>
      <c r="V1655" s="15">
        <f>ROUNDUP((T1655+U1655+2*'Read Me'!$B$13)*(1+'Read Me'!$B$12),-1)</f>
        <v/>
      </c>
      <c r="W1655" s="15">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124</v>
      </c>
      <c r="V1656" s="15">
        <f>ROUNDUP((T1656+U1656+2*'Read Me'!$B$13)*(1+'Read Me'!$B$12),-1)</f>
        <v/>
      </c>
      <c r="W1656" s="15">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124</v>
      </c>
      <c r="V1657" s="15">
        <f>ROUNDUP((T1657+U1657+2*'Read Me'!$B$13)*(1+'Read Me'!$B$12),-1)</f>
        <v/>
      </c>
      <c r="W1657" s="15">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124</v>
      </c>
      <c r="V1658" s="15">
        <f>ROUNDUP((T1658+U1658+2*'Read Me'!$B$13)*(1+'Read Me'!$B$12),-1)</f>
        <v/>
      </c>
      <c r="W1658" s="15">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124</v>
      </c>
      <c r="V1659" s="15">
        <f>ROUNDUP((T1659+U1659+2*'Read Me'!$B$13)*(1+'Read Me'!$B$12),-1)</f>
        <v/>
      </c>
      <c r="W1659" s="15">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5" t="n">
        <v>0</v>
      </c>
      <c r="U1660" s="15" t="n">
        <v>124</v>
      </c>
      <c r="V1660" s="15">
        <f>ROUNDUP((T1660+U1660+2*'Read Me'!$B$13)*(1+'Read Me'!$B$12),-1)</f>
        <v/>
      </c>
      <c r="W1660" s="15">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R2C</t>
        </is>
      </c>
      <c r="F1661" s="12" t="inlineStr">
        <is>
          <t>R2C: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5" t="n">
        <v>30</v>
      </c>
      <c r="U1661" s="15" t="n">
        <v>109</v>
      </c>
      <c r="V1661" s="15">
        <f>ROUNDUP((T1661+U1661+2*'Read Me'!$B$13)*(1+'Read Me'!$B$12),-1)</f>
        <v/>
      </c>
      <c r="W1661" s="15">
        <f>V1661*N1661*O1661</f>
        <v/>
      </c>
      <c r="X1661" s="12">
        <f>IF(LEFT(I1661,2)="MV",2*N1661*IF(L1661="1/C",O1661,1),0)</f>
        <v/>
      </c>
      <c r="Y1661" s="12">
        <f>IF(OR(LEFT(K1661,4)="LVAX",LEFT(K1661,6)="MV15AX",LEFT(K1661,4)="CTAX",LEFT(K1661,2)="W|"),2*N1661*O1661,0)</f>
        <v/>
      </c>
      <c r="Z1661" s="12" t="inlineStr">
        <is>
          <t>VD 0.2 %</t>
        </is>
      </c>
      <c r="AA1661" s="12">
        <f>N1661*O1661</f>
        <v/>
      </c>
    </row>
    <row r="1662">
      <c r="A1662" s="12" t="inlineStr">
        <is>
          <t>A-P-0295</t>
        </is>
      </c>
      <c r="B1662" s="12" t="inlineStr">
        <is>
          <t>A</t>
        </is>
      </c>
      <c r="C1662" s="12" t="inlineStr">
        <is>
          <t>Power block</t>
        </is>
      </c>
      <c r="D1662" s="12" t="inlineStr">
        <is>
          <t>Motor 2 of 6, 2 kW</t>
        </is>
      </c>
      <c r="E1662" s="12" t="inlineStr">
        <is>
          <t>R2C</t>
        </is>
      </c>
      <c r="F1662" s="12" t="inlineStr">
        <is>
          <t>R2C: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5" t="n">
        <v>30</v>
      </c>
      <c r="U1662" s="15" t="n">
        <v>109</v>
      </c>
      <c r="V1662" s="15">
        <f>ROUNDUP((T1662+U1662+2*'Read Me'!$B$13)*(1+'Read Me'!$B$12),-1)</f>
        <v/>
      </c>
      <c r="W1662" s="15">
        <f>V1662*N1662*O1662</f>
        <v/>
      </c>
      <c r="X1662" s="12">
        <f>IF(LEFT(I1662,2)="MV",2*N1662*IF(L1662="1/C",O1662,1),0)</f>
        <v/>
      </c>
      <c r="Y1662" s="12">
        <f>IF(OR(LEFT(K1662,4)="LVAX",LEFT(K1662,6)="MV15AX",LEFT(K1662,4)="CTAX",LEFT(K1662,2)="W|"),2*N1662*O1662,0)</f>
        <v/>
      </c>
      <c r="Z1662" s="12" t="inlineStr">
        <is>
          <t>VD 0.2 %</t>
        </is>
      </c>
      <c r="AA1662" s="12">
        <f>N1662*O1662</f>
        <v/>
      </c>
    </row>
    <row r="1663">
      <c r="A1663" s="12" t="inlineStr">
        <is>
          <t>A-P-0296</t>
        </is>
      </c>
      <c r="B1663" s="12" t="inlineStr">
        <is>
          <t>A</t>
        </is>
      </c>
      <c r="C1663" s="12" t="inlineStr">
        <is>
          <t>Power block</t>
        </is>
      </c>
      <c r="D1663" s="12" t="inlineStr">
        <is>
          <t>Motor 3 of 6, 2 kW</t>
        </is>
      </c>
      <c r="E1663" s="12" t="inlineStr">
        <is>
          <t>R2C</t>
        </is>
      </c>
      <c r="F1663" s="12" t="inlineStr">
        <is>
          <t>R2C: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5" t="n">
        <v>30</v>
      </c>
      <c r="U1663" s="15" t="n">
        <v>109</v>
      </c>
      <c r="V1663" s="15">
        <f>ROUNDUP((T1663+U1663+2*'Read Me'!$B$13)*(1+'Read Me'!$B$12),-1)</f>
        <v/>
      </c>
      <c r="W1663" s="15">
        <f>V1663*N1663*O1663</f>
        <v/>
      </c>
      <c r="X1663" s="12">
        <f>IF(LEFT(I1663,2)="MV",2*N1663*IF(L1663="1/C",O1663,1),0)</f>
        <v/>
      </c>
      <c r="Y1663" s="12">
        <f>IF(OR(LEFT(K1663,4)="LVAX",LEFT(K1663,6)="MV15AX",LEFT(K1663,4)="CTAX",LEFT(K1663,2)="W|"),2*N1663*O1663,0)</f>
        <v/>
      </c>
      <c r="Z1663" s="12" t="inlineStr">
        <is>
          <t>VD 0.2 %</t>
        </is>
      </c>
      <c r="AA1663" s="12">
        <f>N1663*O1663</f>
        <v/>
      </c>
    </row>
    <row r="1664">
      <c r="A1664" s="12" t="inlineStr">
        <is>
          <t>A-P-0297</t>
        </is>
      </c>
      <c r="B1664" s="12" t="inlineStr">
        <is>
          <t>A</t>
        </is>
      </c>
      <c r="C1664" s="12" t="inlineStr">
        <is>
          <t>Power block</t>
        </is>
      </c>
      <c r="D1664" s="12" t="inlineStr">
        <is>
          <t>Motor 4 of 6, 2 kW</t>
        </is>
      </c>
      <c r="E1664" s="12" t="inlineStr">
        <is>
          <t>R2C</t>
        </is>
      </c>
      <c r="F1664" s="12" t="inlineStr">
        <is>
          <t>R2C: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5" t="n">
        <v>30</v>
      </c>
      <c r="U1664" s="15" t="n">
        <v>109</v>
      </c>
      <c r="V1664" s="15">
        <f>ROUNDUP((T1664+U1664+2*'Read Me'!$B$13)*(1+'Read Me'!$B$12),-1)</f>
        <v/>
      </c>
      <c r="W1664" s="15">
        <f>V1664*N1664*O1664</f>
        <v/>
      </c>
      <c r="X1664" s="12">
        <f>IF(LEFT(I1664,2)="MV",2*N1664*IF(L1664="1/C",O1664,1),0)</f>
        <v/>
      </c>
      <c r="Y1664" s="12">
        <f>IF(OR(LEFT(K1664,4)="LVAX",LEFT(K1664,6)="MV15AX",LEFT(K1664,4)="CTAX",LEFT(K1664,2)="W|"),2*N1664*O1664,0)</f>
        <v/>
      </c>
      <c r="Z1664" s="12" t="inlineStr">
        <is>
          <t>VD 0.2 %</t>
        </is>
      </c>
      <c r="AA1664" s="12">
        <f>N1664*O1664</f>
        <v/>
      </c>
    </row>
    <row r="1665">
      <c r="A1665" s="12" t="inlineStr">
        <is>
          <t>A-P-0298</t>
        </is>
      </c>
      <c r="B1665" s="12" t="inlineStr">
        <is>
          <t>A</t>
        </is>
      </c>
      <c r="C1665" s="12" t="inlineStr">
        <is>
          <t>Power block</t>
        </is>
      </c>
      <c r="D1665" s="12" t="inlineStr">
        <is>
          <t>Motor 5 of 6, 2 kW</t>
        </is>
      </c>
      <c r="E1665" s="12" t="inlineStr">
        <is>
          <t>R2C</t>
        </is>
      </c>
      <c r="F1665" s="12" t="inlineStr">
        <is>
          <t>R2C: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5" t="n">
        <v>30</v>
      </c>
      <c r="U1665" s="15" t="n">
        <v>109</v>
      </c>
      <c r="V1665" s="15">
        <f>ROUNDUP((T1665+U1665+2*'Read Me'!$B$13)*(1+'Read Me'!$B$12),-1)</f>
        <v/>
      </c>
      <c r="W1665" s="15">
        <f>V1665*N1665*O1665</f>
        <v/>
      </c>
      <c r="X1665" s="12">
        <f>IF(LEFT(I1665,2)="MV",2*N1665*IF(L1665="1/C",O1665,1),0)</f>
        <v/>
      </c>
      <c r="Y1665" s="12">
        <f>IF(OR(LEFT(K1665,4)="LVAX",LEFT(K1665,6)="MV15AX",LEFT(K1665,4)="CTAX",LEFT(K1665,2)="W|"),2*N1665*O1665,0)</f>
        <v/>
      </c>
      <c r="Z1665" s="12" t="inlineStr">
        <is>
          <t>VD 0.2 %</t>
        </is>
      </c>
      <c r="AA1665" s="12">
        <f>N1665*O1665</f>
        <v/>
      </c>
    </row>
    <row r="1666">
      <c r="A1666" s="12" t="inlineStr">
        <is>
          <t>A-P-0299</t>
        </is>
      </c>
      <c r="B1666" s="12" t="inlineStr">
        <is>
          <t>A</t>
        </is>
      </c>
      <c r="C1666" s="12" t="inlineStr">
        <is>
          <t>Power block</t>
        </is>
      </c>
      <c r="D1666" s="12" t="inlineStr">
        <is>
          <t>Motor 6 of 6, 2 kW</t>
        </is>
      </c>
      <c r="E1666" s="12" t="inlineStr">
        <is>
          <t>R2C</t>
        </is>
      </c>
      <c r="F1666" s="12" t="inlineStr">
        <is>
          <t>R2C: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5" t="n">
        <v>30</v>
      </c>
      <c r="U1666" s="15" t="n">
        <v>109</v>
      </c>
      <c r="V1666" s="15">
        <f>ROUNDUP((T1666+U1666+2*'Read Me'!$B$13)*(1+'Read Me'!$B$12),-1)</f>
        <v/>
      </c>
      <c r="W1666" s="15">
        <f>V1666*N1666*O1666</f>
        <v/>
      </c>
      <c r="X1666" s="12">
        <f>IF(LEFT(I1666,2)="MV",2*N1666*IF(L1666="1/C",O1666,1),0)</f>
        <v/>
      </c>
      <c r="Y1666" s="12">
        <f>IF(OR(LEFT(K1666,4)="LVAX",LEFT(K1666,6)="MV15AX",LEFT(K1666,4)="CTAX",LEFT(K1666,2)="W|"),2*N1666*O1666,0)</f>
        <v/>
      </c>
      <c r="Z1666" s="12" t="inlineStr">
        <is>
          <t>VD 0.2 %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5" t="n">
        <v>573</v>
      </c>
      <c r="U1667" s="15" t="n">
        <v>135</v>
      </c>
      <c r="V1667" s="15">
        <f>ROUNDUP((T1667+U1667+2*'Read Me'!$B$13)*(1+'Read Me'!$B$12),-1)</f>
        <v/>
      </c>
      <c r="W1667" s="15">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5" t="n">
        <v>0</v>
      </c>
      <c r="U1669" s="15" t="n">
        <v>87</v>
      </c>
      <c r="V1669" s="15">
        <f>ROUNDUP((T1669+U1669+2*'Read Me'!$B$13)*(1+'Read Me'!$B$12),-1)</f>
        <v/>
      </c>
      <c r="W1669" s="15">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5" t="n">
        <v>0</v>
      </c>
      <c r="U1670" s="15" t="n">
        <v>87</v>
      </c>
      <c r="V1670" s="15">
        <f>ROUNDUP((T1670+U1670+2*'Read Me'!$B$13)*(1+'Read Me'!$B$12),-1)</f>
        <v/>
      </c>
      <c r="W1670" s="15">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5" t="n">
        <v>0</v>
      </c>
      <c r="U1671" s="15" t="n">
        <v>87</v>
      </c>
      <c r="V1671" s="15">
        <f>ROUNDUP((T1671+U1671+2*'Read Me'!$B$13)*(1+'Read Me'!$B$12),-1)</f>
        <v/>
      </c>
      <c r="W1671" s="15">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0</v>
      </c>
      <c r="U1672" s="15" t="n">
        <v>87</v>
      </c>
      <c r="V1672" s="15">
        <f>ROUNDUP((T1672+U1672+2*'Read Me'!$B$13)*(1+'Read Me'!$B$12),-1)</f>
        <v/>
      </c>
      <c r="W1672" s="15">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5" t="n">
        <v>0</v>
      </c>
      <c r="U1673" s="15" t="n">
        <v>87</v>
      </c>
      <c r="V1673" s="15">
        <f>ROUNDUP((T1673+U1673+2*'Read Me'!$B$13)*(1+'Read Me'!$B$12),-1)</f>
        <v/>
      </c>
      <c r="W1673" s="15">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5" t="n">
        <v>0</v>
      </c>
      <c r="U1674" s="15" t="n">
        <v>87</v>
      </c>
      <c r="V1674" s="15">
        <f>ROUNDUP((T1674+U1674+2*'Read Me'!$B$13)*(1+'Read Me'!$B$12),-1)</f>
        <v/>
      </c>
      <c r="W1674" s="15">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5" t="n">
        <v>0</v>
      </c>
      <c r="U1675" s="15" t="n">
        <v>87</v>
      </c>
      <c r="V1675" s="15">
        <f>ROUNDUP((T1675+U1675+2*'Read Me'!$B$13)*(1+'Read Me'!$B$12),-1)</f>
        <v/>
      </c>
      <c r="W1675" s="15">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5" t="n">
        <v>0</v>
      </c>
      <c r="U1676" s="15" t="n">
        <v>87</v>
      </c>
      <c r="V1676" s="15">
        <f>ROUNDUP((T1676+U1676+2*'Read Me'!$B$13)*(1+'Read Me'!$B$12),-1)</f>
        <v/>
      </c>
      <c r="W1676" s="15">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5" t="n">
        <v>0</v>
      </c>
      <c r="U1677" s="15" t="n">
        <v>87</v>
      </c>
      <c r="V1677" s="15">
        <f>ROUNDUP((T1677+U1677+2*'Read Me'!$B$13)*(1+'Read Me'!$B$12),-1)</f>
        <v/>
      </c>
      <c r="W1677" s="15">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5" t="n">
        <v>0</v>
      </c>
      <c r="U1678" s="15" t="n">
        <v>87</v>
      </c>
      <c r="V1678" s="15">
        <f>ROUNDUP((T1678+U1678+2*'Read Me'!$B$13)*(1+'Read Me'!$B$12),-1)</f>
        <v/>
      </c>
      <c r="W1678" s="15">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5" t="n">
        <v>0</v>
      </c>
      <c r="U1679" s="15" t="n">
        <v>87</v>
      </c>
      <c r="V1679" s="15">
        <f>ROUNDUP((T1679+U1679+2*'Read Me'!$B$13)*(1+'Read Me'!$B$12),-1)</f>
        <v/>
      </c>
      <c r="W1679" s="15">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5" t="n">
        <v>0</v>
      </c>
      <c r="U1680" s="15" t="n">
        <v>87</v>
      </c>
      <c r="V1680" s="15">
        <f>ROUNDUP((T1680+U1680+2*'Read Me'!$B$13)*(1+'Read Me'!$B$12),-1)</f>
        <v/>
      </c>
      <c r="W1680" s="15">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5" t="n">
        <v>0</v>
      </c>
      <c r="U1681" s="15" t="n">
        <v>87</v>
      </c>
      <c r="V1681" s="15">
        <f>ROUNDUP((T1681+U1681+2*'Read Me'!$B$13)*(1+'Read Me'!$B$12),-1)</f>
        <v/>
      </c>
      <c r="W1681" s="15">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5" t="n">
        <v>0</v>
      </c>
      <c r="U1682" s="15" t="n">
        <v>87</v>
      </c>
      <c r="V1682" s="15">
        <f>ROUNDUP((T1682+U1682+2*'Read Me'!$B$13)*(1+'Read Me'!$B$12),-1)</f>
        <v/>
      </c>
      <c r="W1682" s="15">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5" t="n">
        <v>0</v>
      </c>
      <c r="U1683" s="15" t="n">
        <v>87</v>
      </c>
      <c r="V1683" s="15">
        <f>ROUNDUP((T1683+U1683+2*'Read Me'!$B$13)*(1+'Read Me'!$B$12),-1)</f>
        <v/>
      </c>
      <c r="W1683" s="15">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5" t="n">
        <v>0</v>
      </c>
      <c r="U1684" s="15" t="n">
        <v>87</v>
      </c>
      <c r="V1684" s="15">
        <f>ROUNDUP((T1684+U1684+2*'Read Me'!$B$13)*(1+'Read Me'!$B$12),-1)</f>
        <v/>
      </c>
      <c r="W1684" s="15">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5" t="n">
        <v>0</v>
      </c>
      <c r="U1685" s="15" t="n">
        <v>87</v>
      </c>
      <c r="V1685" s="15">
        <f>ROUNDUP((T1685+U1685+2*'Read Me'!$B$13)*(1+'Read Me'!$B$12),-1)</f>
        <v/>
      </c>
      <c r="W1685" s="15">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0</v>
      </c>
      <c r="U1686" s="15" t="n">
        <v>87</v>
      </c>
      <c r="V1686" s="15">
        <f>ROUNDUP((T1686+U1686+2*'Read Me'!$B$13)*(1+'Read Me'!$B$12),-1)</f>
        <v/>
      </c>
      <c r="W1686" s="15">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0</v>
      </c>
      <c r="U1687" s="15" t="n">
        <v>87</v>
      </c>
      <c r="V1687" s="15">
        <f>ROUNDUP((T1687+U1687+2*'Read Me'!$B$13)*(1+'Read Me'!$B$12),-1)</f>
        <v/>
      </c>
      <c r="W1687" s="15">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0</v>
      </c>
      <c r="U1688" s="15" t="n">
        <v>87</v>
      </c>
      <c r="V1688" s="15">
        <f>ROUNDUP((T1688+U1688+2*'Read Me'!$B$13)*(1+'Read Me'!$B$12),-1)</f>
        <v/>
      </c>
      <c r="W1688" s="15">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0</v>
      </c>
      <c r="U1689" s="15" t="n">
        <v>87</v>
      </c>
      <c r="V1689" s="15">
        <f>ROUNDUP((T1689+U1689+2*'Read Me'!$B$13)*(1+'Read Me'!$B$12),-1)</f>
        <v/>
      </c>
      <c r="W1689" s="15">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0</v>
      </c>
      <c r="U1690" s="15" t="n">
        <v>87</v>
      </c>
      <c r="V1690" s="15">
        <f>ROUNDUP((T1690+U1690+2*'Read Me'!$B$13)*(1+'Read Me'!$B$12),-1)</f>
        <v/>
      </c>
      <c r="W1690" s="15">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0</v>
      </c>
      <c r="U1691" s="15" t="n">
        <v>87</v>
      </c>
      <c r="V1691" s="15">
        <f>ROUNDUP((T1691+U1691+2*'Read Me'!$B$13)*(1+'Read Me'!$B$12),-1)</f>
        <v/>
      </c>
      <c r="W1691" s="15">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0</v>
      </c>
      <c r="U1692" s="15" t="n">
        <v>87</v>
      </c>
      <c r="V1692" s="15">
        <f>ROUNDUP((T1692+U1692+2*'Read Me'!$B$13)*(1+'Read Me'!$B$12),-1)</f>
        <v/>
      </c>
      <c r="W1692" s="15">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0</v>
      </c>
      <c r="U1693" s="15" t="n">
        <v>87</v>
      </c>
      <c r="V1693" s="15">
        <f>ROUNDUP((T1693+U1693+2*'Read Me'!$B$13)*(1+'Read Me'!$B$12),-1)</f>
        <v/>
      </c>
      <c r="W1693" s="15">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0</v>
      </c>
      <c r="U1694" s="15" t="n">
        <v>87</v>
      </c>
      <c r="V1694" s="15">
        <f>ROUNDUP((T1694+U1694+2*'Read Me'!$B$13)*(1+'Read Me'!$B$12),-1)</f>
        <v/>
      </c>
      <c r="W1694" s="15">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0</v>
      </c>
      <c r="U1695" s="15" t="n">
        <v>87</v>
      </c>
      <c r="V1695" s="15">
        <f>ROUNDUP((T1695+U1695+2*'Read Me'!$B$13)*(1+'Read Me'!$B$12),-1)</f>
        <v/>
      </c>
      <c r="W1695" s="15">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0</v>
      </c>
      <c r="U1696" s="15" t="n">
        <v>87</v>
      </c>
      <c r="V1696" s="15">
        <f>ROUNDUP((T1696+U1696+2*'Read Me'!$B$13)*(1+'Read Me'!$B$12),-1)</f>
        <v/>
      </c>
      <c r="W1696" s="15">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0</v>
      </c>
      <c r="U1697" s="15" t="n">
        <v>87</v>
      </c>
      <c r="V1697" s="15">
        <f>ROUNDUP((T1697+U1697+2*'Read Me'!$B$13)*(1+'Read Me'!$B$12),-1)</f>
        <v/>
      </c>
      <c r="W1697" s="15">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0</v>
      </c>
      <c r="U1698" s="15" t="n">
        <v>87</v>
      </c>
      <c r="V1698" s="15">
        <f>ROUNDUP((T1698+U1698+2*'Read Me'!$B$13)*(1+'Read Me'!$B$12),-1)</f>
        <v/>
      </c>
      <c r="W1698" s="15">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0</v>
      </c>
      <c r="U1699" s="15" t="n">
        <v>87</v>
      </c>
      <c r="V1699" s="15">
        <f>ROUNDUP((T1699+U1699+2*'Read Me'!$B$13)*(1+'Read Me'!$B$12),-1)</f>
        <v/>
      </c>
      <c r="W1699" s="15">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0</v>
      </c>
      <c r="U1700" s="15" t="n">
        <v>87</v>
      </c>
      <c r="V1700" s="15">
        <f>ROUNDUP((T1700+U1700+2*'Read Me'!$B$13)*(1+'Read Me'!$B$12),-1)</f>
        <v/>
      </c>
      <c r="W1700" s="15">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0</v>
      </c>
      <c r="U1701" s="15" t="n">
        <v>87</v>
      </c>
      <c r="V1701" s="15">
        <f>ROUNDUP((T1701+U1701+2*'Read Me'!$B$13)*(1+'Read Me'!$B$12),-1)</f>
        <v/>
      </c>
      <c r="W1701" s="15">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0</v>
      </c>
      <c r="U1702" s="15" t="n">
        <v>87</v>
      </c>
      <c r="V1702" s="15">
        <f>ROUNDUP((T1702+U1702+2*'Read Me'!$B$13)*(1+'Read Me'!$B$12),-1)</f>
        <v/>
      </c>
      <c r="W1702" s="15">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0</v>
      </c>
      <c r="U1703" s="15" t="n">
        <v>87</v>
      </c>
      <c r="V1703" s="15">
        <f>ROUNDUP((T1703+U1703+2*'Read Me'!$B$13)*(1+'Read Me'!$B$12),-1)</f>
        <v/>
      </c>
      <c r="W1703" s="15">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0</v>
      </c>
      <c r="U1704" s="15" t="n">
        <v>87</v>
      </c>
      <c r="V1704" s="15">
        <f>ROUNDUP((T1704+U1704+2*'Read Me'!$B$13)*(1+'Read Me'!$B$12),-1)</f>
        <v/>
      </c>
      <c r="W1704" s="15">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0</v>
      </c>
      <c r="U1705" s="15" t="n">
        <v>87</v>
      </c>
      <c r="V1705" s="15">
        <f>ROUNDUP((T1705+U1705+2*'Read Me'!$B$13)*(1+'Read Me'!$B$12),-1)</f>
        <v/>
      </c>
      <c r="W1705" s="15">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0</v>
      </c>
      <c r="U1706" s="15" t="n">
        <v>87</v>
      </c>
      <c r="V1706" s="15">
        <f>ROUNDUP((T1706+U1706+2*'Read Me'!$B$13)*(1+'Read Me'!$B$12),-1)</f>
        <v/>
      </c>
      <c r="W1706" s="15">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0</v>
      </c>
      <c r="U1707" s="15" t="n">
        <v>87</v>
      </c>
      <c r="V1707" s="15">
        <f>ROUNDUP((T1707+U1707+2*'Read Me'!$B$13)*(1+'Read Me'!$B$12),-1)</f>
        <v/>
      </c>
      <c r="W1707" s="15">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0</v>
      </c>
      <c r="U1708" s="15" t="n">
        <v>87</v>
      </c>
      <c r="V1708" s="15">
        <f>ROUNDUP((T1708+U1708+2*'Read Me'!$B$13)*(1+'Read Me'!$B$12),-1)</f>
        <v/>
      </c>
      <c r="W1708" s="15">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0</v>
      </c>
      <c r="U1709" s="15" t="n">
        <v>87</v>
      </c>
      <c r="V1709" s="15">
        <f>ROUNDUP((T1709+U1709+2*'Read Me'!$B$13)*(1+'Read Me'!$B$12),-1)</f>
        <v/>
      </c>
      <c r="W1709" s="15">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0</v>
      </c>
      <c r="U1710" s="15" t="n">
        <v>87</v>
      </c>
      <c r="V1710" s="15">
        <f>ROUNDUP((T1710+U1710+2*'Read Me'!$B$13)*(1+'Read Me'!$B$12),-1)</f>
        <v/>
      </c>
      <c r="W1710" s="15">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0</v>
      </c>
      <c r="U1711" s="15" t="n">
        <v>87</v>
      </c>
      <c r="V1711" s="15">
        <f>ROUNDUP((T1711+U1711+2*'Read Me'!$B$13)*(1+'Read Me'!$B$12),-1)</f>
        <v/>
      </c>
      <c r="W1711" s="15">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0</v>
      </c>
      <c r="U1712" s="15" t="n">
        <v>87</v>
      </c>
      <c r="V1712" s="15">
        <f>ROUNDUP((T1712+U1712+2*'Read Me'!$B$13)*(1+'Read Me'!$B$12),-1)</f>
        <v/>
      </c>
      <c r="W1712" s="15">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0</v>
      </c>
      <c r="U1713" s="15" t="n">
        <v>87</v>
      </c>
      <c r="V1713" s="15">
        <f>ROUNDUP((T1713+U1713+2*'Read Me'!$B$13)*(1+'Read Me'!$B$12),-1)</f>
        <v/>
      </c>
      <c r="W1713" s="15">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0</v>
      </c>
      <c r="U1714" s="15" t="n">
        <v>87</v>
      </c>
      <c r="V1714" s="15">
        <f>ROUNDUP((T1714+U1714+2*'Read Me'!$B$13)*(1+'Read Me'!$B$12),-1)</f>
        <v/>
      </c>
      <c r="W1714" s="15">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0</v>
      </c>
      <c r="U1715" s="15" t="n">
        <v>87</v>
      </c>
      <c r="V1715" s="15">
        <f>ROUNDUP((T1715+U1715+2*'Read Me'!$B$13)*(1+'Read Me'!$B$12),-1)</f>
        <v/>
      </c>
      <c r="W1715" s="15">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0</v>
      </c>
      <c r="U1716" s="15" t="n">
        <v>87</v>
      </c>
      <c r="V1716" s="15">
        <f>ROUNDUP((T1716+U1716+2*'Read Me'!$B$13)*(1+'Read Me'!$B$12),-1)</f>
        <v/>
      </c>
      <c r="W1716" s="15">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5" t="n">
        <v>300</v>
      </c>
      <c r="U1717" s="15" t="n">
        <v>87</v>
      </c>
      <c r="V1717" s="15">
        <f>ROUNDUP((T1717+U1717+2*'Read Me'!$B$13)*(1+'Read Me'!$B$12),-1)</f>
        <v/>
      </c>
      <c r="W1717" s="15">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5" t="n">
        <v>300</v>
      </c>
      <c r="U1718" s="15" t="n">
        <v>87</v>
      </c>
      <c r="V1718" s="15">
        <f>ROUNDUP((T1718+U1718+2*'Read Me'!$B$13)*(1+'Read Me'!$B$12),-1)</f>
        <v/>
      </c>
      <c r="W1718" s="15">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5" t="n">
        <v>300</v>
      </c>
      <c r="U1719" s="15" t="n">
        <v>87</v>
      </c>
      <c r="V1719" s="15">
        <f>ROUNDUP((T1719+U1719+2*'Read Me'!$B$13)*(1+'Read Me'!$B$12),-1)</f>
        <v/>
      </c>
      <c r="W1719" s="15">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5" t="n">
        <v>300</v>
      </c>
      <c r="U1720" s="15" t="n">
        <v>87</v>
      </c>
      <c r="V1720" s="15">
        <f>ROUNDUP((T1720+U1720+2*'Read Me'!$B$13)*(1+'Read Me'!$B$12),-1)</f>
        <v/>
      </c>
      <c r="W1720" s="15">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5" t="n">
        <v>0</v>
      </c>
      <c r="U1721" s="15" t="n">
        <v>87</v>
      </c>
      <c r="V1721" s="15">
        <f>ROUNDUP((T1721+U1721+2*'Read Me'!$B$13)*(1+'Read Me'!$B$12),-1)</f>
        <v/>
      </c>
      <c r="W1721" s="15">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5" t="n">
        <v>0</v>
      </c>
      <c r="U1722" s="15" t="n">
        <v>87</v>
      </c>
      <c r="V1722" s="15">
        <f>ROUNDUP((T1722+U1722+2*'Read Me'!$B$13)*(1+'Read Me'!$B$12),-1)</f>
        <v/>
      </c>
      <c r="W1722" s="15">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5" t="n">
        <v>0</v>
      </c>
      <c r="U1723" s="15" t="n">
        <v>87</v>
      </c>
      <c r="V1723" s="15">
        <f>ROUNDUP((T1723+U1723+2*'Read Me'!$B$13)*(1+'Read Me'!$B$12),-1)</f>
        <v/>
      </c>
      <c r="W1723" s="15">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5" t="n">
        <v>0</v>
      </c>
      <c r="U1724" s="15" t="n">
        <v>87</v>
      </c>
      <c r="V1724" s="15">
        <f>ROUNDUP((T1724+U1724+2*'Read Me'!$B$13)*(1+'Read Me'!$B$12),-1)</f>
        <v/>
      </c>
      <c r="W1724" s="15">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0</v>
      </c>
      <c r="U1725" s="15" t="n">
        <v>124</v>
      </c>
      <c r="V1725" s="15">
        <f>ROUNDUP((T1725+U1725+2*'Read Me'!$B$13)*(1+'Read Me'!$B$12),-1)</f>
        <v/>
      </c>
      <c r="W1725" s="15">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0</v>
      </c>
      <c r="U1726" s="15" t="n">
        <v>124</v>
      </c>
      <c r="V1726" s="15">
        <f>ROUNDUP((T1726+U1726+2*'Read Me'!$B$13)*(1+'Read Me'!$B$12),-1)</f>
        <v/>
      </c>
      <c r="W1726" s="15">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0</v>
      </c>
      <c r="U1727" s="15" t="n">
        <v>124</v>
      </c>
      <c r="V1727" s="15">
        <f>ROUNDUP((T1727+U1727+2*'Read Me'!$B$13)*(1+'Read Me'!$B$12),-1)</f>
        <v/>
      </c>
      <c r="W1727" s="15">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0</v>
      </c>
      <c r="U1728" s="15" t="n">
        <v>124</v>
      </c>
      <c r="V1728" s="15">
        <f>ROUNDUP((T1728+U1728+2*'Read Me'!$B$13)*(1+'Read Me'!$B$12),-1)</f>
        <v/>
      </c>
      <c r="W1728" s="15">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5" t="n">
        <v>0</v>
      </c>
      <c r="U1729" s="15" t="n">
        <v>124</v>
      </c>
      <c r="V1729" s="15">
        <f>ROUNDUP((T1729+U1729+2*'Read Me'!$B$13)*(1+'Read Me'!$B$12),-1)</f>
        <v/>
      </c>
      <c r="W1729" s="15">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R3</t>
        </is>
      </c>
      <c r="F1730" s="12" t="inlineStr">
        <is>
          <t>R3: ST auxiliary electrical e-house (40 x 65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5" t="n">
        <v>512</v>
      </c>
      <c r="U1730" s="15" t="n">
        <v>150</v>
      </c>
      <c r="V1730" s="15">
        <f>ROUNDUP((T1730+U1730+2*'Read Me'!$B$13)*(1+'Read Me'!$B$12),-1)</f>
        <v/>
      </c>
      <c r="W1730" s="15">
        <f>V1730*N1730*O1730</f>
        <v/>
      </c>
      <c r="X1730" s="12">
        <f>IF(LEFT(I1730,2)="MV",2*N1730*IF(L1730="1/C",O1730,1),0)</f>
        <v/>
      </c>
      <c r="Y1730" s="12">
        <f>IF(OR(LEFT(K1730,4)="LVAX",LEFT(K1730,6)="MV15AX",LEFT(K1730,4)="CTAX",LEFT(K1730,2)="W|"),2*N1730*O1730,0)</f>
        <v/>
      </c>
      <c r="Z1730" s="12" t="inlineStr">
        <is>
          <t>VD 0.9 %</t>
        </is>
      </c>
      <c r="AA1730" s="12">
        <f>N1730*O1730</f>
        <v/>
      </c>
    </row>
    <row r="1731">
      <c r="A1731" s="12" t="inlineStr">
        <is>
          <t>A-P-0364</t>
        </is>
      </c>
      <c r="B1731" s="12" t="inlineStr">
        <is>
          <t>A</t>
        </is>
      </c>
      <c r="C1731" s="12" t="inlineStr">
        <is>
          <t>Power block</t>
        </is>
      </c>
      <c r="D1731" s="12" t="inlineStr">
        <is>
          <t>Motor 2 of 6, 2 kW</t>
        </is>
      </c>
      <c r="E1731" s="12" t="inlineStr">
        <is>
          <t>R3</t>
        </is>
      </c>
      <c r="F1731" s="12" t="inlineStr">
        <is>
          <t>R3: ST auxiliary electrical e-house (40 x 65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5" t="n">
        <v>512</v>
      </c>
      <c r="U1731" s="15" t="n">
        <v>150</v>
      </c>
      <c r="V1731" s="15">
        <f>ROUNDUP((T1731+U1731+2*'Read Me'!$B$13)*(1+'Read Me'!$B$12),-1)</f>
        <v/>
      </c>
      <c r="W1731" s="15">
        <f>V1731*N1731*O1731</f>
        <v/>
      </c>
      <c r="X1731" s="12">
        <f>IF(LEFT(I1731,2)="MV",2*N1731*IF(L1731="1/C",O1731,1),0)</f>
        <v/>
      </c>
      <c r="Y1731" s="12">
        <f>IF(OR(LEFT(K1731,4)="LVAX",LEFT(K1731,6)="MV15AX",LEFT(K1731,4)="CTAX",LEFT(K1731,2)="W|"),2*N1731*O1731,0)</f>
        <v/>
      </c>
      <c r="Z1731" s="12" t="inlineStr">
        <is>
          <t>VD 0.9 %</t>
        </is>
      </c>
      <c r="AA1731" s="12">
        <f>N1731*O1731</f>
        <v/>
      </c>
    </row>
    <row r="1732">
      <c r="A1732" s="12" t="inlineStr">
        <is>
          <t>A-P-0365</t>
        </is>
      </c>
      <c r="B1732" s="12" t="inlineStr">
        <is>
          <t>A</t>
        </is>
      </c>
      <c r="C1732" s="12" t="inlineStr">
        <is>
          <t>Power block</t>
        </is>
      </c>
      <c r="D1732" s="12" t="inlineStr">
        <is>
          <t>Motor 3 of 6, 2 kW</t>
        </is>
      </c>
      <c r="E1732" s="12" t="inlineStr">
        <is>
          <t>R3</t>
        </is>
      </c>
      <c r="F1732" s="12" t="inlineStr">
        <is>
          <t>R3: ST auxiliary electrical e-house (40 x 65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5" t="n">
        <v>512</v>
      </c>
      <c r="U1732" s="15" t="n">
        <v>150</v>
      </c>
      <c r="V1732" s="15">
        <f>ROUNDUP((T1732+U1732+2*'Read Me'!$B$13)*(1+'Read Me'!$B$12),-1)</f>
        <v/>
      </c>
      <c r="W1732" s="15">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A-P-0366</t>
        </is>
      </c>
      <c r="B1733" s="12" t="inlineStr">
        <is>
          <t>A</t>
        </is>
      </c>
      <c r="C1733" s="12" t="inlineStr">
        <is>
          <t>Power block</t>
        </is>
      </c>
      <c r="D1733" s="12" t="inlineStr">
        <is>
          <t>Motor 4 of 6, 2 kW</t>
        </is>
      </c>
      <c r="E1733" s="12" t="inlineStr">
        <is>
          <t>R3</t>
        </is>
      </c>
      <c r="F1733" s="12" t="inlineStr">
        <is>
          <t>R3: ST auxiliary electrical e-house (40 x 65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5" t="n">
        <v>512</v>
      </c>
      <c r="U1733" s="15" t="n">
        <v>150</v>
      </c>
      <c r="V1733" s="15">
        <f>ROUNDUP((T1733+U1733+2*'Read Me'!$B$13)*(1+'Read Me'!$B$12),-1)</f>
        <v/>
      </c>
      <c r="W1733" s="15">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A-P-0367</t>
        </is>
      </c>
      <c r="B1734" s="12" t="inlineStr">
        <is>
          <t>A</t>
        </is>
      </c>
      <c r="C1734" s="12" t="inlineStr">
        <is>
          <t>Power block</t>
        </is>
      </c>
      <c r="D1734" s="12" t="inlineStr">
        <is>
          <t>Motor 5 of 6, 2 kW</t>
        </is>
      </c>
      <c r="E1734" s="12" t="inlineStr">
        <is>
          <t>R3</t>
        </is>
      </c>
      <c r="F1734" s="12" t="inlineStr">
        <is>
          <t>R3: ST auxiliary electrical e-house (40 x 65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5" t="n">
        <v>512</v>
      </c>
      <c r="U1734" s="15" t="n">
        <v>150</v>
      </c>
      <c r="V1734" s="15">
        <f>ROUNDUP((T1734+U1734+2*'Read Me'!$B$13)*(1+'Read Me'!$B$12),-1)</f>
        <v/>
      </c>
      <c r="W1734" s="15">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A-P-0368</t>
        </is>
      </c>
      <c r="B1735" s="12" t="inlineStr">
        <is>
          <t>A</t>
        </is>
      </c>
      <c r="C1735" s="12" t="inlineStr">
        <is>
          <t>Power block</t>
        </is>
      </c>
      <c r="D1735" s="12" t="inlineStr">
        <is>
          <t>Motor 6 of 6, 2 kW</t>
        </is>
      </c>
      <c r="E1735" s="12" t="inlineStr">
        <is>
          <t>R3</t>
        </is>
      </c>
      <c r="F1735" s="12" t="inlineStr">
        <is>
          <t>R3: ST auxiliary electrical e-house (40 x 65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5" t="n">
        <v>512</v>
      </c>
      <c r="U1735" s="15" t="n">
        <v>150</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5" t="n">
        <v>486</v>
      </c>
      <c r="U1736" s="15" t="n">
        <v>148</v>
      </c>
      <c r="V1736" s="15">
        <f>ROUNDUP((T1736+U1736+2*'Read Me'!$B$13)*(1+'Read Me'!$B$12),-1)</f>
        <v/>
      </c>
      <c r="W1736" s="15">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5" t="n">
        <v>208</v>
      </c>
      <c r="U1737" s="15" t="n">
        <v>135</v>
      </c>
      <c r="V1737" s="15">
        <f>ROUNDUP((T1737+U1737+2*'Read Me'!$B$13)*(1+'Read Me'!$B$12),-1)</f>
        <v/>
      </c>
      <c r="W1737" s="15">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5" t="n">
        <v>180</v>
      </c>
      <c r="U1738" s="15" t="n">
        <v>20</v>
      </c>
      <c r="V1738" s="15">
        <f>ROUNDUP((T1738+U1738+2*'Read Me'!$B$13)*(1+'Read Me'!$B$12),-1)</f>
        <v/>
      </c>
      <c r="W1738" s="15">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5" t="n">
        <v>180</v>
      </c>
      <c r="U1739" s="15" t="n">
        <v>20</v>
      </c>
      <c r="V1739" s="15">
        <f>ROUNDUP((T1739+U1739+2*'Read Me'!$B$13)*(1+'Read Me'!$B$12),-1)</f>
        <v/>
      </c>
      <c r="W1739" s="15">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5" t="n">
        <v>180</v>
      </c>
      <c r="U1740" s="15" t="n">
        <v>20</v>
      </c>
      <c r="V1740" s="15">
        <f>ROUNDUP((T1740+U1740+2*'Read Me'!$B$13)*(1+'Read Me'!$B$12),-1)</f>
        <v/>
      </c>
      <c r="W1740" s="15">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5" t="n">
        <v>180</v>
      </c>
      <c r="U1741" s="15" t="n">
        <v>20</v>
      </c>
      <c r="V1741" s="15">
        <f>ROUNDUP((T1741+U1741+2*'Read Me'!$B$13)*(1+'Read Me'!$B$12),-1)</f>
        <v/>
      </c>
      <c r="W1741" s="15">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5" t="n">
        <v>180</v>
      </c>
      <c r="U1742" s="15" t="n">
        <v>20</v>
      </c>
      <c r="V1742" s="15">
        <f>ROUNDUP((T1742+U1742+2*'Read Me'!$B$13)*(1+'Read Me'!$B$12),-1)</f>
        <v/>
      </c>
      <c r="W1742" s="15">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5" t="n">
        <v>180</v>
      </c>
      <c r="U1743" s="15" t="n">
        <v>20</v>
      </c>
      <c r="V1743" s="15">
        <f>ROUNDUP((T1743+U1743+2*'Read Me'!$B$13)*(1+'Read Me'!$B$12),-1)</f>
        <v/>
      </c>
      <c r="W1743" s="15">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5" t="n">
        <v>180</v>
      </c>
      <c r="U1744" s="15" t="n">
        <v>20</v>
      </c>
      <c r="V1744" s="15">
        <f>ROUNDUP((T1744+U1744+2*'Read Me'!$B$13)*(1+'Read Me'!$B$12),-1)</f>
        <v/>
      </c>
      <c r="W1744" s="15">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5" t="n">
        <v>180</v>
      </c>
      <c r="U1745" s="15" t="n">
        <v>20</v>
      </c>
      <c r="V1745" s="15">
        <f>ROUNDUP((T1745+U1745+2*'Read Me'!$B$13)*(1+'Read Me'!$B$12),-1)</f>
        <v/>
      </c>
      <c r="W1745" s="15">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5" t="n">
        <v>180</v>
      </c>
      <c r="U1746" s="15" t="n">
        <v>20</v>
      </c>
      <c r="V1746" s="15">
        <f>ROUNDUP((T1746+U1746+2*'Read Me'!$B$13)*(1+'Read Me'!$B$12),-1)</f>
        <v/>
      </c>
      <c r="W1746" s="15">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5" t="n">
        <v>180</v>
      </c>
      <c r="U1747" s="15" t="n">
        <v>20</v>
      </c>
      <c r="V1747" s="15">
        <f>ROUNDUP((T1747+U1747+2*'Read Me'!$B$13)*(1+'Read Me'!$B$12),-1)</f>
        <v/>
      </c>
      <c r="W1747" s="15">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5" t="n">
        <v>180</v>
      </c>
      <c r="U1748" s="15" t="n">
        <v>20</v>
      </c>
      <c r="V1748" s="15">
        <f>ROUNDUP((T1748+U1748+2*'Read Me'!$B$13)*(1+'Read Me'!$B$12),-1)</f>
        <v/>
      </c>
      <c r="W1748" s="15">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5" t="n">
        <v>180</v>
      </c>
      <c r="U1749" s="15" t="n">
        <v>20</v>
      </c>
      <c r="V1749" s="15">
        <f>ROUNDUP((T1749+U1749+2*'Read Me'!$B$13)*(1+'Read Me'!$B$12),-1)</f>
        <v/>
      </c>
      <c r="W1749" s="15">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5" t="n">
        <v>180</v>
      </c>
      <c r="U1750" s="15" t="n">
        <v>20</v>
      </c>
      <c r="V1750" s="15">
        <f>ROUNDUP((T1750+U1750+2*'Read Me'!$B$13)*(1+'Read Me'!$B$12),-1)</f>
        <v/>
      </c>
      <c r="W1750" s="15">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5" t="n">
        <v>180</v>
      </c>
      <c r="U1751" s="15" t="n">
        <v>20</v>
      </c>
      <c r="V1751" s="15">
        <f>ROUNDUP((T1751+U1751+2*'Read Me'!$B$13)*(1+'Read Me'!$B$12),-1)</f>
        <v/>
      </c>
      <c r="W1751" s="15">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5" t="n">
        <v>180</v>
      </c>
      <c r="U1752" s="15" t="n">
        <v>20</v>
      </c>
      <c r="V1752" s="15">
        <f>ROUNDUP((T1752+U1752+2*'Read Me'!$B$13)*(1+'Read Me'!$B$12),-1)</f>
        <v/>
      </c>
      <c r="W1752" s="15">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5" t="n">
        <v>180</v>
      </c>
      <c r="U1753" s="15" t="n">
        <v>20</v>
      </c>
      <c r="V1753" s="15">
        <f>ROUNDUP((T1753+U1753+2*'Read Me'!$B$13)*(1+'Read Me'!$B$12),-1)</f>
        <v/>
      </c>
      <c r="W1753" s="15">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5" t="n">
        <v>180</v>
      </c>
      <c r="U1754" s="15" t="n">
        <v>20</v>
      </c>
      <c r="V1754" s="15">
        <f>ROUNDUP((T1754+U1754+2*'Read Me'!$B$13)*(1+'Read Me'!$B$12),-1)</f>
        <v/>
      </c>
      <c r="W1754" s="15">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5" t="n">
        <v>180</v>
      </c>
      <c r="U1755" s="15" t="n">
        <v>20</v>
      </c>
      <c r="V1755" s="15">
        <f>ROUNDUP((T1755+U1755+2*'Read Me'!$B$13)*(1+'Read Me'!$B$12),-1)</f>
        <v/>
      </c>
      <c r="W1755" s="15">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5" t="n">
        <v>180</v>
      </c>
      <c r="U1756" s="15" t="n">
        <v>20</v>
      </c>
      <c r="V1756" s="15">
        <f>ROUNDUP((T1756+U1756+2*'Read Me'!$B$13)*(1+'Read Me'!$B$12),-1)</f>
        <v/>
      </c>
      <c r="W1756" s="15">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5" t="n">
        <v>180</v>
      </c>
      <c r="U1757" s="15" t="n">
        <v>20</v>
      </c>
      <c r="V1757" s="15">
        <f>ROUNDUP((T1757+U1757+2*'Read Me'!$B$13)*(1+'Read Me'!$B$12),-1)</f>
        <v/>
      </c>
      <c r="W1757" s="15">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5" t="n">
        <v>180</v>
      </c>
      <c r="U1758" s="15" t="n">
        <v>20</v>
      </c>
      <c r="V1758" s="15">
        <f>ROUNDUP((T1758+U1758+2*'Read Me'!$B$13)*(1+'Read Me'!$B$12),-1)</f>
        <v/>
      </c>
      <c r="W1758" s="15">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5" t="n">
        <v>180</v>
      </c>
      <c r="U1759" s="15" t="n">
        <v>20</v>
      </c>
      <c r="V1759" s="15">
        <f>ROUNDUP((T1759+U1759+2*'Read Me'!$B$13)*(1+'Read Me'!$B$12),-1)</f>
        <v/>
      </c>
      <c r="W1759" s="15">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5" t="n">
        <v>180</v>
      </c>
      <c r="U1760" s="15" t="n">
        <v>20</v>
      </c>
      <c r="V1760" s="15">
        <f>ROUNDUP((T1760+U1760+2*'Read Me'!$B$13)*(1+'Read Me'!$B$12),-1)</f>
        <v/>
      </c>
      <c r="W1760" s="15">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5" t="n">
        <v>180</v>
      </c>
      <c r="U1761" s="15" t="n">
        <v>20</v>
      </c>
      <c r="V1761" s="15">
        <f>ROUNDUP((T1761+U1761+2*'Read Me'!$B$13)*(1+'Read Me'!$B$12),-1)</f>
        <v/>
      </c>
      <c r="W1761" s="15">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5" t="n">
        <v>51</v>
      </c>
      <c r="U1762" s="15" t="n">
        <v>41</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5" t="n">
        <v>51</v>
      </c>
      <c r="U1763" s="15" t="n">
        <v>41</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5" t="n">
        <v>51</v>
      </c>
      <c r="U1764" s="15" t="n">
        <v>41</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5" t="n">
        <v>51</v>
      </c>
      <c r="U1765" s="15" t="n">
        <v>41</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5" t="n">
        <v>51</v>
      </c>
      <c r="U1766" s="15" t="n">
        <v>41</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5" t="n">
        <v>51</v>
      </c>
      <c r="U1767" s="15" t="n">
        <v>41</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5" t="n">
        <v>51</v>
      </c>
      <c r="U1768" s="15" t="n">
        <v>63</v>
      </c>
      <c r="V1768" s="15">
        <f>ROUNDUP((T1768+U1768+2*'Read Me'!$B$13)*(1+'Read Me'!$B$12),-1)</f>
        <v/>
      </c>
      <c r="W1768" s="15">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5" t="n">
        <v>51</v>
      </c>
      <c r="U1769" s="15" t="n">
        <v>63</v>
      </c>
      <c r="V1769" s="15">
        <f>ROUNDUP((T1769+U1769+2*'Read Me'!$B$13)*(1+'Read Me'!$B$12),-1)</f>
        <v/>
      </c>
      <c r="W1769" s="15">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5" t="n">
        <v>51</v>
      </c>
      <c r="U1770" s="15" t="n">
        <v>63</v>
      </c>
      <c r="V1770" s="15">
        <f>ROUNDUP((T1770+U1770+2*'Read Me'!$B$13)*(1+'Read Me'!$B$12),-1)</f>
        <v/>
      </c>
      <c r="W1770" s="15">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5" t="n">
        <v>51</v>
      </c>
      <c r="U1771" s="15" t="n">
        <v>63</v>
      </c>
      <c r="V1771" s="15">
        <f>ROUNDUP((T1771+U1771+2*'Read Me'!$B$13)*(1+'Read Me'!$B$12),-1)</f>
        <v/>
      </c>
      <c r="W1771" s="15">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5" t="n">
        <v>51</v>
      </c>
      <c r="U1772" s="15" t="n">
        <v>63</v>
      </c>
      <c r="V1772" s="15">
        <f>ROUNDUP((T1772+U1772+2*'Read Me'!$B$13)*(1+'Read Me'!$B$12),-1)</f>
        <v/>
      </c>
      <c r="W1772" s="15">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5" t="n">
        <v>51</v>
      </c>
      <c r="U1773" s="15" t="n">
        <v>63</v>
      </c>
      <c r="V1773" s="15">
        <f>ROUNDUP((T1773+U1773+2*'Read Me'!$B$13)*(1+'Read Me'!$B$12),-1)</f>
        <v/>
      </c>
      <c r="W1773" s="15">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5" t="n">
        <v>931</v>
      </c>
      <c r="U1774" s="15" t="n">
        <v>78</v>
      </c>
      <c r="V1774" s="15">
        <f>ROUNDUP((T1774+U1774+2*'Read Me'!$B$13)*(1+'Read Me'!$B$12),-1)</f>
        <v/>
      </c>
      <c r="W1774" s="15">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5" t="n">
        <v>971</v>
      </c>
      <c r="U1775" s="15" t="n">
        <v>76</v>
      </c>
      <c r="V1775" s="15">
        <f>ROUNDUP((T1775+U1775+2*'Read Me'!$B$13)*(1+'Read Me'!$B$12),-1)</f>
        <v/>
      </c>
      <c r="W1775" s="15">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5" t="n">
        <v>0</v>
      </c>
      <c r="U1776" s="15" t="n">
        <v>70</v>
      </c>
      <c r="V1776" s="15">
        <f>ROUNDUP((T1776+U1776+2*'Read Me'!$B$13)*(1+'Read Me'!$B$12),-1)</f>
        <v/>
      </c>
      <c r="W1776" s="15">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5" t="n">
        <v>726</v>
      </c>
      <c r="U1777" s="15" t="n">
        <v>66</v>
      </c>
      <c r="V1777" s="15">
        <f>ROUNDUP((T1777+U1777+2*'Read Me'!$B$13)*(1+'Read Me'!$B$12),-1)</f>
        <v/>
      </c>
      <c r="W1777" s="15">
        <f>V1777*N1777*O1777</f>
        <v/>
      </c>
      <c r="X1777" s="12">
        <f>IF(LEFT(I1777,2)="MV",2*N1777*IF(L1777="1/C",O1777,1),0)</f>
        <v/>
      </c>
      <c r="Y1777" s="12">
        <f>IF(OR(LEFT(K1777,4)="LVAX",LEFT(K1777,6)="MV15AX",LEFT(K1777,4)="CTAX",LEFT(K1777,2)="W|"),2*N1777*O1777,0)</f>
        <v/>
      </c>
      <c r="Z1777" s="12" t="inlineStr">
        <is>
          <t>VD 2.3 %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5" t="n">
        <v>0</v>
      </c>
      <c r="U1778" s="15" t="n">
        <v>72</v>
      </c>
      <c r="V1778" s="15">
        <f>ROUNDUP((T1778+U1778+2*'Read Me'!$B$13)*(1+'Read Me'!$B$12),-1)</f>
        <v/>
      </c>
      <c r="W1778" s="15">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5" t="n">
        <v>0</v>
      </c>
      <c r="U1779" s="15" t="n">
        <v>72</v>
      </c>
      <c r="V1779" s="15">
        <f>ROUNDUP((T1779+U1779+2*'Read Me'!$B$13)*(1+'Read Me'!$B$12),-1)</f>
        <v/>
      </c>
      <c r="W1779" s="15">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5" t="n">
        <v>0</v>
      </c>
      <c r="U1780" s="15" t="n">
        <v>72</v>
      </c>
      <c r="V1780" s="15">
        <f>ROUNDUP((T1780+U1780+2*'Read Me'!$B$13)*(1+'Read Me'!$B$12),-1)</f>
        <v/>
      </c>
      <c r="W1780" s="15">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5" t="n">
        <v>0</v>
      </c>
      <c r="U1781" s="15" t="n">
        <v>68</v>
      </c>
      <c r="V1781" s="15">
        <f>ROUNDUP((T1781+U1781+2*'Read Me'!$B$13)*(1+'Read Me'!$B$12),-1)</f>
        <v/>
      </c>
      <c r="W1781" s="15">
        <f>V1781*N1781*O1781</f>
        <v/>
      </c>
      <c r="X1781" s="12">
        <f>IF(LEFT(I1781,2)="MV",2*N1781*IF(L1781="1/C",O1781,1),0)</f>
        <v/>
      </c>
      <c r="Y1781" s="12">
        <f>IF(OR(LEFT(K1781,4)="LVAX",LEFT(K1781,6)="MV15AX",LEFT(K1781,4)="CTAX",LEFT(K1781,2)="W|"),2*N1781*O1781,0)</f>
        <v/>
      </c>
      <c r="Z1781" s="12" t="inlineStr">
        <is>
          <t>VD 0.3 %</t>
        </is>
      </c>
      <c r="AA1781" s="12">
        <f>N1781*O1781</f>
        <v/>
      </c>
    </row>
    <row r="1782">
      <c r="A1782" s="12" t="inlineStr">
        <is>
          <t>A-P-0415</t>
        </is>
      </c>
      <c r="B1782" s="12" t="inlineStr">
        <is>
          <t>A</t>
        </is>
      </c>
      <c r="C1782" s="12" t="inlineStr">
        <is>
          <t>Power block</t>
        </is>
      </c>
      <c r="D1782" s="12" t="inlineStr">
        <is>
          <t>Motor 1 of 2, 110 kW</t>
        </is>
      </c>
      <c r="E1782" s="12" t="inlineStr">
        <is>
          <t>R2B</t>
        </is>
      </c>
      <c r="F1782" s="12" t="inlineStr">
        <is>
          <t>R2B: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5" t="n">
        <v>116</v>
      </c>
      <c r="U1782" s="15" t="n">
        <v>78</v>
      </c>
      <c r="V1782" s="15">
        <f>ROUNDUP((T1782+U1782+2*'Read Me'!$B$13)*(1+'Read Me'!$B$12),-1)</f>
        <v/>
      </c>
      <c r="W1782" s="15">
        <f>V1782*N1782*O1782</f>
        <v/>
      </c>
      <c r="X1782" s="12">
        <f>IF(LEFT(I1782,2)="MV",2*N1782*IF(L1782="1/C",O1782,1),0)</f>
        <v/>
      </c>
      <c r="Y1782" s="12">
        <f>IF(OR(LEFT(K1782,4)="LVAX",LEFT(K1782,6)="MV15AX",LEFT(K1782,4)="CTAX",LEFT(K1782,2)="W|"),2*N1782*O1782,0)</f>
        <v/>
      </c>
      <c r="Z1782" s="12" t="inlineStr">
        <is>
          <t>VD 0.9 %</t>
        </is>
      </c>
      <c r="AA1782" s="12">
        <f>N1782*O1782</f>
        <v/>
      </c>
    </row>
    <row r="1783">
      <c r="A1783" s="12" t="inlineStr">
        <is>
          <t>A-P-0416</t>
        </is>
      </c>
      <c r="B1783" s="12" t="inlineStr">
        <is>
          <t>A</t>
        </is>
      </c>
      <c r="C1783" s="12" t="inlineStr">
        <is>
          <t>Power block</t>
        </is>
      </c>
      <c r="D1783" s="12" t="inlineStr">
        <is>
          <t>Motor 2 of 2, 110 kW</t>
        </is>
      </c>
      <c r="E1783" s="12" t="inlineStr">
        <is>
          <t>R2B</t>
        </is>
      </c>
      <c r="F1783" s="12" t="inlineStr">
        <is>
          <t>R2B: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5" t="n">
        <v>116</v>
      </c>
      <c r="U1783" s="15" t="n">
        <v>78</v>
      </c>
      <c r="V1783" s="15">
        <f>ROUNDUP((T1783+U1783+2*'Read Me'!$B$13)*(1+'Read Me'!$B$12),-1)</f>
        <v/>
      </c>
      <c r="W1783" s="15">
        <f>V1783*N1783*O1783</f>
        <v/>
      </c>
      <c r="X1783" s="12">
        <f>IF(LEFT(I1783,2)="MV",2*N1783*IF(L1783="1/C",O1783,1),0)</f>
        <v/>
      </c>
      <c r="Y1783" s="12">
        <f>IF(OR(LEFT(K1783,4)="LVAX",LEFT(K1783,6)="MV15AX",LEFT(K1783,4)="CTAX",LEFT(K1783,2)="W|"),2*N1783*O1783,0)</f>
        <v/>
      </c>
      <c r="Z1783" s="12" t="inlineStr">
        <is>
          <t>VD 0.9 %</t>
        </is>
      </c>
      <c r="AA1783" s="12">
        <f>N1783*O1783</f>
        <v/>
      </c>
    </row>
    <row r="1784">
      <c r="A1784" s="12" t="inlineStr">
        <is>
          <t>A-P-0417</t>
        </is>
      </c>
      <c r="B1784" s="12" t="inlineStr">
        <is>
          <t>A</t>
        </is>
      </c>
      <c r="C1784" s="12" t="inlineStr">
        <is>
          <t>Power block</t>
        </is>
      </c>
      <c r="D1784" s="12" t="inlineStr">
        <is>
          <t>Motor 1 of 2, 110 kW</t>
        </is>
      </c>
      <c r="E1784" s="12" t="inlineStr">
        <is>
          <t>R2C</t>
        </is>
      </c>
      <c r="F1784" s="12" t="inlineStr">
        <is>
          <t>R2C: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5" t="n">
        <v>30</v>
      </c>
      <c r="U1784" s="15" t="n">
        <v>128</v>
      </c>
      <c r="V1784" s="15">
        <f>ROUNDUP((T1784+U1784+2*'Read Me'!$B$13)*(1+'Read Me'!$B$12),-1)</f>
        <v/>
      </c>
      <c r="W1784" s="15">
        <f>V1784*N1784*O1784</f>
        <v/>
      </c>
      <c r="X1784" s="12">
        <f>IF(LEFT(I1784,2)="MV",2*N1784*IF(L1784="1/C",O1784,1),0)</f>
        <v/>
      </c>
      <c r="Y1784" s="12">
        <f>IF(OR(LEFT(K1784,4)="LVAX",LEFT(K1784,6)="MV15AX",LEFT(K1784,4)="CTAX",LEFT(K1784,2)="W|"),2*N1784*O1784,0)</f>
        <v/>
      </c>
      <c r="Z1784" s="12" t="inlineStr">
        <is>
          <t>VD 0.7 %</t>
        </is>
      </c>
      <c r="AA1784" s="12">
        <f>N1784*O1784</f>
        <v/>
      </c>
    </row>
    <row r="1785">
      <c r="A1785" s="12" t="inlineStr">
        <is>
          <t>A-P-0418</t>
        </is>
      </c>
      <c r="B1785" s="12" t="inlineStr">
        <is>
          <t>A</t>
        </is>
      </c>
      <c r="C1785" s="12" t="inlineStr">
        <is>
          <t>Power block</t>
        </is>
      </c>
      <c r="D1785" s="12" t="inlineStr">
        <is>
          <t>Motor 2 of 2, 110 kW</t>
        </is>
      </c>
      <c r="E1785" s="12" t="inlineStr">
        <is>
          <t>R2C</t>
        </is>
      </c>
      <c r="F1785" s="12" t="inlineStr">
        <is>
          <t>R2C: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5" t="n">
        <v>30</v>
      </c>
      <c r="U1785" s="15" t="n">
        <v>128</v>
      </c>
      <c r="V1785" s="15">
        <f>ROUNDUP((T1785+U1785+2*'Read Me'!$B$13)*(1+'Read Me'!$B$12),-1)</f>
        <v/>
      </c>
      <c r="W1785" s="15">
        <f>V1785*N1785*O1785</f>
        <v/>
      </c>
      <c r="X1785" s="12">
        <f>IF(LEFT(I1785,2)="MV",2*N1785*IF(L1785="1/C",O1785,1),0)</f>
        <v/>
      </c>
      <c r="Y1785" s="12">
        <f>IF(OR(LEFT(K1785,4)="LVAX",LEFT(K1785,6)="MV15AX",LEFT(K1785,4)="CTAX",LEFT(K1785,2)="W|"),2*N1785*O1785,0)</f>
        <v/>
      </c>
      <c r="Z1785" s="12" t="inlineStr">
        <is>
          <t>VD 0.7 %</t>
        </is>
      </c>
      <c r="AA1785" s="12">
        <f>N1785*O1785</f>
        <v/>
      </c>
    </row>
    <row r="1786">
      <c r="A1786" s="12" t="inlineStr">
        <is>
          <t>A-P-0419</t>
        </is>
      </c>
      <c r="B1786" s="12" t="inlineStr">
        <is>
          <t>A</t>
        </is>
      </c>
      <c r="C1786" s="12" t="inlineStr">
        <is>
          <t>Power block</t>
        </is>
      </c>
      <c r="D1786" s="12" t="inlineStr">
        <is>
          <t>Motor 1 of 2, 110 kW</t>
        </is>
      </c>
      <c r="E1786" s="12" t="inlineStr">
        <is>
          <t>R3</t>
        </is>
      </c>
      <c r="F1786" s="12" t="inlineStr">
        <is>
          <t>R3: ST auxiliary electrical e-house (40 x 65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5" t="n">
        <v>510</v>
      </c>
      <c r="U1786" s="15" t="n">
        <v>114</v>
      </c>
      <c r="V1786" s="15">
        <f>ROUNDUP((T1786+U1786+2*'Read Me'!$B$13)*(1+'Read Me'!$B$12),-1)</f>
        <v/>
      </c>
      <c r="W1786" s="15">
        <f>V1786*N1786*O1786</f>
        <v/>
      </c>
      <c r="X1786" s="12">
        <f>IF(LEFT(I1786,2)="MV",2*N1786*IF(L1786="1/C",O1786,1),0)</f>
        <v/>
      </c>
      <c r="Y1786" s="12">
        <f>IF(OR(LEFT(K1786,4)="LVAX",LEFT(K1786,6)="MV15AX",LEFT(K1786,4)="CTAX",LEFT(K1786,2)="W|"),2*N1786*O1786,0)</f>
        <v/>
      </c>
      <c r="Z1786" s="12" t="inlineStr">
        <is>
          <t>VD 3.0 %</t>
        </is>
      </c>
      <c r="AA1786" s="12">
        <f>N1786*O1786</f>
        <v/>
      </c>
    </row>
    <row r="1787">
      <c r="A1787" s="12" t="inlineStr">
        <is>
          <t>A-P-0420</t>
        </is>
      </c>
      <c r="B1787" s="12" t="inlineStr">
        <is>
          <t>A</t>
        </is>
      </c>
      <c r="C1787" s="12" t="inlineStr">
        <is>
          <t>Power block</t>
        </is>
      </c>
      <c r="D1787" s="12" t="inlineStr">
        <is>
          <t>Motor 2 of 2, 110 kW</t>
        </is>
      </c>
      <c r="E1787" s="12" t="inlineStr">
        <is>
          <t>R3</t>
        </is>
      </c>
      <c r="F1787" s="12" t="inlineStr">
        <is>
          <t>R3: ST auxiliary electrical e-house (40 x 65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5" t="n">
        <v>510</v>
      </c>
      <c r="U1787" s="15" t="n">
        <v>114</v>
      </c>
      <c r="V1787" s="15">
        <f>ROUNDUP((T1787+U1787+2*'Read Me'!$B$13)*(1+'Read Me'!$B$12),-1)</f>
        <v/>
      </c>
      <c r="W1787" s="15">
        <f>V1787*N1787*O1787</f>
        <v/>
      </c>
      <c r="X1787" s="12">
        <f>IF(LEFT(I1787,2)="MV",2*N1787*IF(L1787="1/C",O1787,1),0)</f>
        <v/>
      </c>
      <c r="Y1787" s="12">
        <f>IF(OR(LEFT(K1787,4)="LVAX",LEFT(K1787,6)="MV15AX",LEFT(K1787,4)="CTAX",LEFT(K1787,2)="W|"),2*N1787*O1787,0)</f>
        <v/>
      </c>
      <c r="Z1787" s="12" t="inlineStr">
        <is>
          <t>VD 3.0 %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5" t="n">
        <v>489</v>
      </c>
      <c r="U1788" s="15" t="n">
        <v>123</v>
      </c>
      <c r="V1788" s="15">
        <f>ROUNDUP((T1788+U1788+2*'Read Me'!$B$13)*(1+'Read Me'!$B$12),-1)</f>
        <v/>
      </c>
      <c r="W1788" s="15">
        <f>V1788*N1788*O1788</f>
        <v/>
      </c>
      <c r="X1788" s="12">
        <f>IF(LEFT(I1788,2)="MV",2*N1788*IF(L1788="1/C",O1788,1),0)</f>
        <v/>
      </c>
      <c r="Y1788" s="12">
        <f>IF(OR(LEFT(K1788,4)="LVAX",LEFT(K1788,6)="MV15AX",LEFT(K1788,4)="CTAX",LEFT(K1788,2)="W|"),2*N1788*O1788,0)</f>
        <v/>
      </c>
      <c r="Z1788" s="12" t="inlineStr">
        <is>
          <t>VD 2.5 %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5" t="n">
        <v>489</v>
      </c>
      <c r="U1789" s="15" t="n">
        <v>123</v>
      </c>
      <c r="V1789" s="15">
        <f>ROUNDUP((T1789+U1789+2*'Read Me'!$B$13)*(1+'Read Me'!$B$12),-1)</f>
        <v/>
      </c>
      <c r="W1789" s="15">
        <f>V1789*N1789*O1789</f>
        <v/>
      </c>
      <c r="X1789" s="12">
        <f>IF(LEFT(I1789,2)="MV",2*N1789*IF(L1789="1/C",O1789,1),0)</f>
        <v/>
      </c>
      <c r="Y1789" s="12">
        <f>IF(OR(LEFT(K1789,4)="LVAX",LEFT(K1789,6)="MV15AX",LEFT(K1789,4)="CTAX",LEFT(K1789,2)="W|"),2*N1789*O1789,0)</f>
        <v/>
      </c>
      <c r="Z1789" s="12" t="inlineStr">
        <is>
          <t>VD 2.5 %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5" t="n">
        <v>489</v>
      </c>
      <c r="U1790" s="15" t="n">
        <v>123</v>
      </c>
      <c r="V1790" s="15">
        <f>ROUNDUP((T1790+U1790+2*'Read Me'!$B$13)*(1+'Read Me'!$B$12),-1)</f>
        <v/>
      </c>
      <c r="W1790" s="15">
        <f>V1790*N1790*O1790</f>
        <v/>
      </c>
      <c r="X1790" s="12">
        <f>IF(LEFT(I1790,2)="MV",2*N1790*IF(L1790="1/C",O1790,1),0)</f>
        <v/>
      </c>
      <c r="Y1790" s="12">
        <f>IF(OR(LEFT(K1790,4)="LVAX",LEFT(K1790,6)="MV15AX",LEFT(K1790,4)="CTAX",LEFT(K1790,2)="W|"),2*N1790*O1790,0)</f>
        <v/>
      </c>
      <c r="Z1790" s="12" t="inlineStr">
        <is>
          <t>VD 2.5 %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5" t="n">
        <v>506</v>
      </c>
      <c r="U1791" s="15" t="n">
        <v>141</v>
      </c>
      <c r="V1791" s="15">
        <f>ROUNDUP((T1791+U1791+2*'Read Me'!$B$13)*(1+'Read Me'!$B$12),-1)</f>
        <v/>
      </c>
      <c r="W1791" s="15">
        <f>V1791*N1791*O1791</f>
        <v/>
      </c>
      <c r="X1791" s="12">
        <f>IF(LEFT(I1791,2)="MV",2*N1791*IF(L1791="1/C",O1791,1),0)</f>
        <v/>
      </c>
      <c r="Y1791" s="12">
        <f>IF(OR(LEFT(K1791,4)="LVAX",LEFT(K1791,6)="MV15AX",LEFT(K1791,4)="CTAX",LEFT(K1791,2)="W|"),2*N1791*O1791,0)</f>
        <v/>
      </c>
      <c r="Z1791" s="12" t="inlineStr">
        <is>
          <t>VD 2.7 %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LVAX|3/C+G|6</t>
        </is>
      </c>
      <c r="L1792" s="12" t="inlineStr">
        <is>
          <t>3/C+G</t>
        </is>
      </c>
      <c r="M1792" s="12" t="inlineStr">
        <is>
          <t>6</t>
        </is>
      </c>
      <c r="N1792" s="12" t="n">
        <v>1</v>
      </c>
      <c r="O1792" s="12" t="n">
        <v>1</v>
      </c>
      <c r="P1792" s="12" t="n">
        <v>480</v>
      </c>
      <c r="Q1792" s="12" t="n">
        <v>15</v>
      </c>
      <c r="R1792" s="12" t="n">
        <v>21.2</v>
      </c>
      <c r="S1792" s="12" t="inlineStr">
        <is>
          <t>Tray</t>
        </is>
      </c>
      <c r="T1792" s="15" t="n">
        <v>506</v>
      </c>
      <c r="U1792" s="15" t="n">
        <v>141</v>
      </c>
      <c r="V1792" s="15">
        <f>ROUNDUP((T1792+U1792+2*'Read Me'!$B$13)*(1+'Read Me'!$B$12),-1)</f>
        <v/>
      </c>
      <c r="W1792" s="15">
        <f>V1792*N1792*O1792</f>
        <v/>
      </c>
      <c r="X1792" s="12">
        <f>IF(LEFT(I1792,2)="MV",2*N1792*IF(L1792="1/C",O1792,1),0)</f>
        <v/>
      </c>
      <c r="Y1792" s="12">
        <f>IF(OR(LEFT(K1792,4)="LVAX",LEFT(K1792,6)="MV15AX",LEFT(K1792,4)="CTAX",LEFT(K1792,2)="W|"),2*N1792*O1792,0)</f>
        <v/>
      </c>
      <c r="Z1792" s="12" t="inlineStr">
        <is>
          <t>VD 2.7 %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5" t="n">
        <v>506</v>
      </c>
      <c r="U1793" s="15" t="n">
        <v>141</v>
      </c>
      <c r="V1793" s="15">
        <f>ROUNDUP((T1793+U1793+2*'Read Me'!$B$13)*(1+'Read Me'!$B$12),-1)</f>
        <v/>
      </c>
      <c r="W1793" s="15">
        <f>V1793*N1793*O1793</f>
        <v/>
      </c>
      <c r="X1793" s="12">
        <f>IF(LEFT(I1793,2)="MV",2*N1793*IF(L1793="1/C",O1793,1),0)</f>
        <v/>
      </c>
      <c r="Y1793" s="12">
        <f>IF(OR(LEFT(K1793,4)="LVAX",LEFT(K1793,6)="MV15AX",LEFT(K1793,4)="CTAX",LEFT(K1793,2)="W|"),2*N1793*O1793,0)</f>
        <v/>
      </c>
      <c r="Z1793" s="12" t="inlineStr">
        <is>
          <t>VD 2.7 %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5" t="n">
        <v>684</v>
      </c>
      <c r="U1794" s="15" t="n">
        <v>139</v>
      </c>
      <c r="V1794" s="15">
        <f>ROUNDUP((T1794+U1794+2*'Read Me'!$B$13)*(1+'Read Me'!$B$12),-1)</f>
        <v/>
      </c>
      <c r="W1794" s="15">
        <f>V1794*N1794*O1794</f>
        <v/>
      </c>
      <c r="X1794" s="12">
        <f>IF(LEFT(I1794,2)="MV",2*N1794*IF(L1794="1/C",O1794,1),0)</f>
        <v/>
      </c>
      <c r="Y1794" s="12">
        <f>IF(OR(LEFT(K1794,4)="LVAX",LEFT(K1794,6)="MV15AX",LEFT(K1794,4)="CTAX",LEFT(K1794,2)="W|"),2*N1794*O1794,0)</f>
        <v/>
      </c>
      <c r="Z1794" s="12" t="inlineStr">
        <is>
          <t>VD 2.1 %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5" t="n">
        <v>684</v>
      </c>
      <c r="U1795" s="15" t="n">
        <v>139</v>
      </c>
      <c r="V1795" s="15">
        <f>ROUNDUP((T1795+U1795+2*'Read Me'!$B$13)*(1+'Read Me'!$B$12),-1)</f>
        <v/>
      </c>
      <c r="W1795" s="15">
        <f>V1795*N1795*O1795</f>
        <v/>
      </c>
      <c r="X1795" s="12">
        <f>IF(LEFT(I1795,2)="MV",2*N1795*IF(L1795="1/C",O1795,1),0)</f>
        <v/>
      </c>
      <c r="Y1795" s="12">
        <f>IF(OR(LEFT(K1795,4)="LVAX",LEFT(K1795,6)="MV15AX",LEFT(K1795,4)="CTAX",LEFT(K1795,2)="W|"),2*N1795*O1795,0)</f>
        <v/>
      </c>
      <c r="Z1795" s="12" t="inlineStr">
        <is>
          <t>VD 2.1 %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5" t="n">
        <v>684</v>
      </c>
      <c r="U1796" s="15" t="n">
        <v>139</v>
      </c>
      <c r="V1796" s="15">
        <f>ROUNDUP((T1796+U1796+2*'Read Me'!$B$13)*(1+'Read Me'!$B$12),-1)</f>
        <v/>
      </c>
      <c r="W1796" s="15">
        <f>V1796*N1796*O1796</f>
        <v/>
      </c>
      <c r="X1796" s="12">
        <f>IF(LEFT(I1796,2)="MV",2*N1796*IF(L1796="1/C",O1796,1),0)</f>
        <v/>
      </c>
      <c r="Y1796" s="12">
        <f>IF(OR(LEFT(K1796,4)="LVAX",LEFT(K1796,6)="MV15AX",LEFT(K1796,4)="CTAX",LEFT(K1796,2)="W|"),2*N1796*O1796,0)</f>
        <v/>
      </c>
      <c r="Z1796" s="12" t="inlineStr">
        <is>
          <t>VD 2.1 %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5" t="n">
        <v>91</v>
      </c>
      <c r="U1797" s="15" t="n">
        <v>70</v>
      </c>
      <c r="V1797" s="15">
        <f>ROUNDUP((T1797+U1797+2*'Read Me'!$B$13)*(1+'Read Me'!$B$12),-1)</f>
        <v/>
      </c>
      <c r="W1797" s="15">
        <f>V1797*N1797*O1797</f>
        <v/>
      </c>
      <c r="X1797" s="12">
        <f>IF(LEFT(I1797,2)="MV",2*N1797*IF(L1797="1/C",O1797,1),0)</f>
        <v/>
      </c>
      <c r="Y1797" s="12">
        <f>IF(OR(LEFT(K1797,4)="LVAX",LEFT(K1797,6)="MV15AX",LEFT(K1797,4)="CTAX",LEFT(K1797,2)="W|"),2*N1797*O1797,0)</f>
        <v/>
      </c>
      <c r="Z1797" s="12" t="inlineStr">
        <is>
          <t>VD 1.1 %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5" t="n">
        <v>91</v>
      </c>
      <c r="U1798" s="15" t="n">
        <v>70</v>
      </c>
      <c r="V1798" s="15">
        <f>ROUNDUP((T1798+U1798+2*'Read Me'!$B$13)*(1+'Read Me'!$B$12),-1)</f>
        <v/>
      </c>
      <c r="W1798" s="15">
        <f>V1798*N1798*O1798</f>
        <v/>
      </c>
      <c r="X1798" s="12">
        <f>IF(LEFT(I1798,2)="MV",2*N1798*IF(L1798="1/C",O1798,1),0)</f>
        <v/>
      </c>
      <c r="Y1798" s="12">
        <f>IF(OR(LEFT(K1798,4)="LVAX",LEFT(K1798,6)="MV15AX",LEFT(K1798,4)="CTAX",LEFT(K1798,2)="W|"),2*N1798*O1798,0)</f>
        <v/>
      </c>
      <c r="Z1798" s="12" t="inlineStr">
        <is>
          <t>VD 1.1 %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5" t="n">
        <v>91</v>
      </c>
      <c r="U1799" s="15" t="n">
        <v>70</v>
      </c>
      <c r="V1799" s="15">
        <f>ROUNDUP((T1799+U1799+2*'Read Me'!$B$13)*(1+'Read Me'!$B$12),-1)</f>
        <v/>
      </c>
      <c r="W1799" s="15">
        <f>V1799*N1799*O1799</f>
        <v/>
      </c>
      <c r="X1799" s="12">
        <f>IF(LEFT(I1799,2)="MV",2*N1799*IF(L1799="1/C",O1799,1),0)</f>
        <v/>
      </c>
      <c r="Y1799" s="12">
        <f>IF(OR(LEFT(K1799,4)="LVAX",LEFT(K1799,6)="MV15AX",LEFT(K1799,4)="CTAX",LEFT(K1799,2)="W|"),2*N1799*O1799,0)</f>
        <v/>
      </c>
      <c r="Z1799" s="12" t="inlineStr">
        <is>
          <t>VD 1.1 %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5" t="n">
        <v>91</v>
      </c>
      <c r="U1800" s="15" t="n">
        <v>70</v>
      </c>
      <c r="V1800" s="15">
        <f>ROUNDUP((T1800+U1800+2*'Read Me'!$B$13)*(1+'Read Me'!$B$12),-1)</f>
        <v/>
      </c>
      <c r="W1800" s="15">
        <f>V1800*N1800*O1800</f>
        <v/>
      </c>
      <c r="X1800" s="12">
        <f>IF(LEFT(I1800,2)="MV",2*N1800*IF(L1800="1/C",O1800,1),0)</f>
        <v/>
      </c>
      <c r="Y1800" s="12">
        <f>IF(OR(LEFT(K1800,4)="LVAX",LEFT(K1800,6)="MV15AX",LEFT(K1800,4)="CTAX",LEFT(K1800,2)="W|"),2*N1800*O1800,0)</f>
        <v/>
      </c>
      <c r="Z1800" s="12" t="inlineStr">
        <is>
          <t>VD 1.1 %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5" t="n">
        <v>91</v>
      </c>
      <c r="U1801" s="15" t="n">
        <v>70</v>
      </c>
      <c r="V1801" s="15">
        <f>ROUNDUP((T1801+U1801+2*'Read Me'!$B$13)*(1+'Read Me'!$B$12),-1)</f>
        <v/>
      </c>
      <c r="W1801" s="15">
        <f>V1801*N1801*O1801</f>
        <v/>
      </c>
      <c r="X1801" s="12">
        <f>IF(LEFT(I1801,2)="MV",2*N1801*IF(L1801="1/C",O1801,1),0)</f>
        <v/>
      </c>
      <c r="Y1801" s="12">
        <f>IF(OR(LEFT(K1801,4)="LVAX",LEFT(K1801,6)="MV15AX",LEFT(K1801,4)="CTAX",LEFT(K1801,2)="W|"),2*N1801*O1801,0)</f>
        <v/>
      </c>
      <c r="Z1801" s="12" t="inlineStr">
        <is>
          <t>VD 1.1 %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5" t="n">
        <v>91</v>
      </c>
      <c r="U1802" s="15" t="n">
        <v>70</v>
      </c>
      <c r="V1802" s="15">
        <f>ROUNDUP((T1802+U1802+2*'Read Me'!$B$13)*(1+'Read Me'!$B$12),-1)</f>
        <v/>
      </c>
      <c r="W1802" s="15">
        <f>V1802*N1802*O1802</f>
        <v/>
      </c>
      <c r="X1802" s="12">
        <f>IF(LEFT(I1802,2)="MV",2*N1802*IF(L1802="1/C",O1802,1),0)</f>
        <v/>
      </c>
      <c r="Y1802" s="12">
        <f>IF(OR(LEFT(K1802,4)="LVAX",LEFT(K1802,6)="MV15AX",LEFT(K1802,4)="CTAX",LEFT(K1802,2)="W|"),2*N1802*O1802,0)</f>
        <v/>
      </c>
      <c r="Z1802" s="12" t="inlineStr">
        <is>
          <t>VD 1.1 %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5" t="n">
        <v>91</v>
      </c>
      <c r="U1803" s="15" t="n">
        <v>70</v>
      </c>
      <c r="V1803" s="15">
        <f>ROUNDUP((T1803+U1803+2*'Read Me'!$B$13)*(1+'Read Me'!$B$12),-1)</f>
        <v/>
      </c>
      <c r="W1803" s="15">
        <f>V1803*N1803*O1803</f>
        <v/>
      </c>
      <c r="X1803" s="12">
        <f>IF(LEFT(I1803,2)="MV",2*N1803*IF(L1803="1/C",O1803,1),0)</f>
        <v/>
      </c>
      <c r="Y1803" s="12">
        <f>IF(OR(LEFT(K1803,4)="LVAX",LEFT(K1803,6)="MV15AX",LEFT(K1803,4)="CTAX",LEFT(K1803,2)="W|"),2*N1803*O1803,0)</f>
        <v/>
      </c>
      <c r="Z1803" s="12" t="inlineStr">
        <is>
          <t>VD 1.1 %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5" t="n">
        <v>91</v>
      </c>
      <c r="U1804" s="15" t="n">
        <v>70</v>
      </c>
      <c r="V1804" s="15">
        <f>ROUNDUP((T1804+U1804+2*'Read Me'!$B$13)*(1+'Read Me'!$B$12),-1)</f>
        <v/>
      </c>
      <c r="W1804" s="15">
        <f>V1804*N1804*O1804</f>
        <v/>
      </c>
      <c r="X1804" s="12">
        <f>IF(LEFT(I1804,2)="MV",2*N1804*IF(L1804="1/C",O1804,1),0)</f>
        <v/>
      </c>
      <c r="Y1804" s="12">
        <f>IF(OR(LEFT(K1804,4)="LVAX",LEFT(K1804,6)="MV15AX",LEFT(K1804,4)="CTAX",LEFT(K1804,2)="W|"),2*N1804*O1804,0)</f>
        <v/>
      </c>
      <c r="Z1804" s="12" t="inlineStr">
        <is>
          <t>VD 1.1 %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5" t="n">
        <v>91</v>
      </c>
      <c r="U1805" s="15" t="n">
        <v>70</v>
      </c>
      <c r="V1805" s="15">
        <f>ROUNDUP((T1805+U1805+2*'Read Me'!$B$13)*(1+'Read Me'!$B$12),-1)</f>
        <v/>
      </c>
      <c r="W1805" s="15">
        <f>V1805*N1805*O1805</f>
        <v/>
      </c>
      <c r="X1805" s="12">
        <f>IF(LEFT(I1805,2)="MV",2*N1805*IF(L1805="1/C",O1805,1),0)</f>
        <v/>
      </c>
      <c r="Y1805" s="12">
        <f>IF(OR(LEFT(K1805,4)="LVAX",LEFT(K1805,6)="MV15AX",LEFT(K1805,4)="CTAX",LEFT(K1805,2)="W|"),2*N1805*O1805,0)</f>
        <v/>
      </c>
      <c r="Z1805" s="12" t="inlineStr">
        <is>
          <t>VD 1.1 %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5" t="n">
        <v>91</v>
      </c>
      <c r="U1806" s="15" t="n">
        <v>70</v>
      </c>
      <c r="V1806" s="15">
        <f>ROUNDUP((T1806+U1806+2*'Read Me'!$B$13)*(1+'Read Me'!$B$12),-1)</f>
        <v/>
      </c>
      <c r="W1806" s="15">
        <f>V1806*N1806*O1806</f>
        <v/>
      </c>
      <c r="X1806" s="12">
        <f>IF(LEFT(I1806,2)="MV",2*N1806*IF(L1806="1/C",O1806,1),0)</f>
        <v/>
      </c>
      <c r="Y1806" s="12">
        <f>IF(OR(LEFT(K1806,4)="LVAX",LEFT(K1806,6)="MV15AX",LEFT(K1806,4)="CTAX",LEFT(K1806,2)="W|"),2*N1806*O1806,0)</f>
        <v/>
      </c>
      <c r="Z1806" s="12" t="inlineStr">
        <is>
          <t>VD 1.1 %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Tray</t>
        </is>
      </c>
      <c r="T1807" s="15" t="n">
        <v>14</v>
      </c>
      <c r="U1807" s="15" t="n">
        <v>78</v>
      </c>
      <c r="V1807" s="15">
        <f>ROUNDUP((T1807+U1807+2*'Read Me'!$B$13)*(1+'Read Me'!$B$12),-1)</f>
        <v/>
      </c>
      <c r="W1807" s="15">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Tray</t>
        </is>
      </c>
      <c r="T1808" s="15" t="n">
        <v>14</v>
      </c>
      <c r="U1808" s="15" t="n">
        <v>78</v>
      </c>
      <c r="V1808" s="15">
        <f>ROUNDUP((T1808+U1808+2*'Read Me'!$B$13)*(1+'Read Me'!$B$12),-1)</f>
        <v/>
      </c>
      <c r="W1808" s="15">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14</v>
      </c>
      <c r="U1809" s="15" t="n">
        <v>78</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14</v>
      </c>
      <c r="U1810" s="15" t="n">
        <v>78</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14</v>
      </c>
      <c r="U1811" s="15" t="n">
        <v>78</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14</v>
      </c>
      <c r="U1812" s="15" t="n">
        <v>78</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Tray</t>
        </is>
      </c>
      <c r="T1813" s="15" t="n">
        <v>14</v>
      </c>
      <c r="U1813" s="15" t="n">
        <v>78</v>
      </c>
      <c r="V1813" s="15">
        <f>ROUNDUP((T1813+U1813+2*'Read Me'!$B$13)*(1+'Read Me'!$B$12),-1)</f>
        <v/>
      </c>
      <c r="W1813" s="15">
        <f>V1813*N1813*O1813</f>
        <v/>
      </c>
      <c r="X1813" s="12">
        <f>IF(LEFT(I1813,2)="MV",2*N1813*IF(L1813="1/C",O1813,1),0)</f>
        <v/>
      </c>
      <c r="Y1813" s="12">
        <f>IF(OR(LEFT(K1813,4)="LVAX",LEFT(K1813,6)="MV15AX",LEFT(K1813,4)="CTAX",LEFT(K1813,2)="W|"),2*N1813*O1813,0)</f>
        <v/>
      </c>
      <c r="Z1813" s="12" t="inlineStr">
        <is>
          <t>VD 0.2 %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Tray</t>
        </is>
      </c>
      <c r="T1814" s="15" t="n">
        <v>14</v>
      </c>
      <c r="U1814" s="15" t="n">
        <v>78</v>
      </c>
      <c r="V1814" s="15">
        <f>ROUNDUP((T1814+U1814+2*'Read Me'!$B$13)*(1+'Read Me'!$B$12),-1)</f>
        <v/>
      </c>
      <c r="W1814" s="15">
        <f>V1814*N1814*O1814</f>
        <v/>
      </c>
      <c r="X1814" s="12">
        <f>IF(LEFT(I1814,2)="MV",2*N1814*IF(L1814="1/C",O1814,1),0)</f>
        <v/>
      </c>
      <c r="Y1814" s="12">
        <f>IF(OR(LEFT(K1814,4)="LVAX",LEFT(K1814,6)="MV15AX",LEFT(K1814,4)="CTAX",LEFT(K1814,2)="W|"),2*N1814*O1814,0)</f>
        <v/>
      </c>
      <c r="Z1814" s="12" t="inlineStr">
        <is>
          <t>VD 0.2 %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Tray</t>
        </is>
      </c>
      <c r="T1815" s="15" t="n">
        <v>14</v>
      </c>
      <c r="U1815" s="15" t="n">
        <v>78</v>
      </c>
      <c r="V1815" s="15">
        <f>ROUNDUP((T1815+U1815+2*'Read Me'!$B$13)*(1+'Read Me'!$B$12),-1)</f>
        <v/>
      </c>
      <c r="W1815" s="15">
        <f>V1815*N1815*O1815</f>
        <v/>
      </c>
      <c r="X1815" s="12">
        <f>IF(LEFT(I1815,2)="MV",2*N1815*IF(L1815="1/C",O1815,1),0)</f>
        <v/>
      </c>
      <c r="Y1815" s="12">
        <f>IF(OR(LEFT(K1815,4)="LVAX",LEFT(K1815,6)="MV15AX",LEFT(K1815,4)="CTAX",LEFT(K1815,2)="W|"),2*N1815*O1815,0)</f>
        <v/>
      </c>
      <c r="Z1815" s="12" t="inlineStr">
        <is>
          <t>VD 0.2 %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Tray</t>
        </is>
      </c>
      <c r="T1816" s="15" t="n">
        <v>14</v>
      </c>
      <c r="U1816" s="15" t="n">
        <v>78</v>
      </c>
      <c r="V1816" s="15">
        <f>ROUNDUP((T1816+U1816+2*'Read Me'!$B$13)*(1+'Read Me'!$B$12),-1)</f>
        <v/>
      </c>
      <c r="W1816" s="15">
        <f>V1816*N1816*O1816</f>
        <v/>
      </c>
      <c r="X1816" s="12">
        <f>IF(LEFT(I1816,2)="MV",2*N1816*IF(L1816="1/C",O1816,1),0)</f>
        <v/>
      </c>
      <c r="Y1816" s="12">
        <f>IF(OR(LEFT(K1816,4)="LVAX",LEFT(K1816,6)="MV15AX",LEFT(K1816,4)="CTAX",LEFT(K1816,2)="W|"),2*N1816*O1816,0)</f>
        <v/>
      </c>
      <c r="Z1816" s="12" t="inlineStr">
        <is>
          <t>VD 0.2 %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Tray</t>
        </is>
      </c>
      <c r="T1817" s="15" t="n">
        <v>14</v>
      </c>
      <c r="U1817" s="15" t="n">
        <v>78</v>
      </c>
      <c r="V1817" s="15">
        <f>ROUNDUP((T1817+U1817+2*'Read Me'!$B$13)*(1+'Read Me'!$B$12),-1)</f>
        <v/>
      </c>
      <c r="W1817" s="15">
        <f>V1817*N1817*O1817</f>
        <v/>
      </c>
      <c r="X1817" s="12">
        <f>IF(LEFT(I1817,2)="MV",2*N1817*IF(L1817="1/C",O1817,1),0)</f>
        <v/>
      </c>
      <c r="Y1817" s="12">
        <f>IF(OR(LEFT(K1817,4)="LVAX",LEFT(K1817,6)="MV15AX",LEFT(K1817,4)="CTAX",LEFT(K1817,2)="W|"),2*N1817*O1817,0)</f>
        <v/>
      </c>
      <c r="Z1817" s="12" t="inlineStr">
        <is>
          <t>VD 0.2 %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Tray</t>
        </is>
      </c>
      <c r="T1818" s="15" t="n">
        <v>14</v>
      </c>
      <c r="U1818" s="15" t="n">
        <v>78</v>
      </c>
      <c r="V1818" s="15">
        <f>ROUNDUP((T1818+U1818+2*'Read Me'!$B$13)*(1+'Read Me'!$B$12),-1)</f>
        <v/>
      </c>
      <c r="W1818" s="15">
        <f>V1818*N1818*O1818</f>
        <v/>
      </c>
      <c r="X1818" s="12">
        <f>IF(LEFT(I1818,2)="MV",2*N1818*IF(L1818="1/C",O1818,1),0)</f>
        <v/>
      </c>
      <c r="Y1818" s="12">
        <f>IF(OR(LEFT(K1818,4)="LVAX",LEFT(K1818,6)="MV15AX",LEFT(K1818,4)="CTAX",LEFT(K1818,2)="W|"),2*N1818*O1818,0)</f>
        <v/>
      </c>
      <c r="Z1818" s="12" t="inlineStr">
        <is>
          <t>VD 0.2 %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Tray</t>
        </is>
      </c>
      <c r="T1819" s="15" t="n">
        <v>14</v>
      </c>
      <c r="U1819" s="15" t="n">
        <v>78</v>
      </c>
      <c r="V1819" s="15">
        <f>ROUNDUP((T1819+U1819+2*'Read Me'!$B$13)*(1+'Read Me'!$B$12),-1)</f>
        <v/>
      </c>
      <c r="W1819" s="15">
        <f>V1819*N1819*O1819</f>
        <v/>
      </c>
      <c r="X1819" s="12">
        <f>IF(LEFT(I1819,2)="MV",2*N1819*IF(L1819="1/C",O1819,1),0)</f>
        <v/>
      </c>
      <c r="Y1819" s="12">
        <f>IF(OR(LEFT(K1819,4)="LVAX",LEFT(K1819,6)="MV15AX",LEFT(K1819,4)="CTAX",LEFT(K1819,2)="W|"),2*N1819*O1819,0)</f>
        <v/>
      </c>
      <c r="Z1819" s="12" t="inlineStr">
        <is>
          <t>VD 0.2 %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Tray</t>
        </is>
      </c>
      <c r="T1820" s="15" t="n">
        <v>14</v>
      </c>
      <c r="U1820" s="15" t="n">
        <v>78</v>
      </c>
      <c r="V1820" s="15">
        <f>ROUNDUP((T1820+U1820+2*'Read Me'!$B$13)*(1+'Read Me'!$B$12),-1)</f>
        <v/>
      </c>
      <c r="W1820" s="15">
        <f>V1820*N1820*O1820</f>
        <v/>
      </c>
      <c r="X1820" s="12">
        <f>IF(LEFT(I1820,2)="MV",2*N1820*IF(L1820="1/C",O1820,1),0)</f>
        <v/>
      </c>
      <c r="Y1820" s="12">
        <f>IF(OR(LEFT(K1820,4)="LVAX",LEFT(K1820,6)="MV15AX",LEFT(K1820,4)="CTAX",LEFT(K1820,2)="W|"),2*N1820*O1820,0)</f>
        <v/>
      </c>
      <c r="Z1820" s="12" t="inlineStr">
        <is>
          <t>VD 0.2 %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Tray</t>
        </is>
      </c>
      <c r="T1821" s="15" t="n">
        <v>14</v>
      </c>
      <c r="U1821" s="15" t="n">
        <v>78</v>
      </c>
      <c r="V1821" s="15">
        <f>ROUNDUP((T1821+U1821+2*'Read Me'!$B$13)*(1+'Read Me'!$B$12),-1)</f>
        <v/>
      </c>
      <c r="W1821" s="15">
        <f>V1821*N1821*O1821</f>
        <v/>
      </c>
      <c r="X1821" s="12">
        <f>IF(LEFT(I1821,2)="MV",2*N1821*IF(L1821="1/C",O1821,1),0)</f>
        <v/>
      </c>
      <c r="Y1821" s="12">
        <f>IF(OR(LEFT(K1821,4)="LVAX",LEFT(K1821,6)="MV15AX",LEFT(K1821,4)="CTAX",LEFT(K1821,2)="W|"),2*N1821*O1821,0)</f>
        <v/>
      </c>
      <c r="Z1821" s="12" t="inlineStr">
        <is>
          <t>VD 0.2 %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Tray</t>
        </is>
      </c>
      <c r="T1822" s="15" t="n">
        <v>14</v>
      </c>
      <c r="U1822" s="15" t="n">
        <v>78</v>
      </c>
      <c r="V1822" s="15">
        <f>ROUNDUP((T1822+U1822+2*'Read Me'!$B$13)*(1+'Read Me'!$B$12),-1)</f>
        <v/>
      </c>
      <c r="W1822" s="15">
        <f>V1822*N1822*O1822</f>
        <v/>
      </c>
      <c r="X1822" s="12">
        <f>IF(LEFT(I1822,2)="MV",2*N1822*IF(L1822="1/C",O1822,1),0)</f>
        <v/>
      </c>
      <c r="Y1822" s="12">
        <f>IF(OR(LEFT(K1822,4)="LVAX",LEFT(K1822,6)="MV15AX",LEFT(K1822,4)="CTAX",LEFT(K1822,2)="W|"),2*N1822*O1822,0)</f>
        <v/>
      </c>
      <c r="Z1822" s="12" t="inlineStr">
        <is>
          <t>VD 0.2 %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Tray</t>
        </is>
      </c>
      <c r="T1823" s="15" t="n">
        <v>14</v>
      </c>
      <c r="U1823" s="15" t="n">
        <v>78</v>
      </c>
      <c r="V1823" s="15">
        <f>ROUNDUP((T1823+U1823+2*'Read Me'!$B$13)*(1+'Read Me'!$B$12),-1)</f>
        <v/>
      </c>
      <c r="W1823" s="15">
        <f>V1823*N1823*O1823</f>
        <v/>
      </c>
      <c r="X1823" s="12">
        <f>IF(LEFT(I1823,2)="MV",2*N1823*IF(L1823="1/C",O1823,1),0)</f>
        <v/>
      </c>
      <c r="Y1823" s="12">
        <f>IF(OR(LEFT(K1823,4)="LVAX",LEFT(K1823,6)="MV15AX",LEFT(K1823,4)="CTAX",LEFT(K1823,2)="W|"),2*N1823*O1823,0)</f>
        <v/>
      </c>
      <c r="Z1823" s="12" t="inlineStr">
        <is>
          <t>VD 0.2 %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Tray</t>
        </is>
      </c>
      <c r="T1824" s="15" t="n">
        <v>14</v>
      </c>
      <c r="U1824" s="15" t="n">
        <v>78</v>
      </c>
      <c r="V1824" s="15">
        <f>ROUNDUP((T1824+U1824+2*'Read Me'!$B$13)*(1+'Read Me'!$B$12),-1)</f>
        <v/>
      </c>
      <c r="W1824" s="15">
        <f>V1824*N1824*O1824</f>
        <v/>
      </c>
      <c r="X1824" s="12">
        <f>IF(LEFT(I1824,2)="MV",2*N1824*IF(L1824="1/C",O1824,1),0)</f>
        <v/>
      </c>
      <c r="Y1824" s="12">
        <f>IF(OR(LEFT(K1824,4)="LVAX",LEFT(K1824,6)="MV15AX",LEFT(K1824,4)="CTAX",LEFT(K1824,2)="W|"),2*N1824*O1824,0)</f>
        <v/>
      </c>
      <c r="Z1824" s="12" t="inlineStr">
        <is>
          <t>VD 0.2 %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Tray</t>
        </is>
      </c>
      <c r="T1825" s="15" t="n">
        <v>14</v>
      </c>
      <c r="U1825" s="15" t="n">
        <v>78</v>
      </c>
      <c r="V1825" s="15">
        <f>ROUNDUP((T1825+U1825+2*'Read Me'!$B$13)*(1+'Read Me'!$B$12),-1)</f>
        <v/>
      </c>
      <c r="W1825" s="15">
        <f>V1825*N1825*O1825</f>
        <v/>
      </c>
      <c r="X1825" s="12">
        <f>IF(LEFT(I1825,2)="MV",2*N1825*IF(L1825="1/C",O1825,1),0)</f>
        <v/>
      </c>
      <c r="Y1825" s="12">
        <f>IF(OR(LEFT(K1825,4)="LVAX",LEFT(K1825,6)="MV15AX",LEFT(K1825,4)="CTAX",LEFT(K1825,2)="W|"),2*N1825*O1825,0)</f>
        <v/>
      </c>
      <c r="Z1825" s="12" t="inlineStr">
        <is>
          <t>VD 0.2 %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Tray</t>
        </is>
      </c>
      <c r="T1826" s="15" t="n">
        <v>14</v>
      </c>
      <c r="U1826" s="15" t="n">
        <v>78</v>
      </c>
      <c r="V1826" s="15">
        <f>ROUNDUP((T1826+U1826+2*'Read Me'!$B$13)*(1+'Read Me'!$B$12),-1)</f>
        <v/>
      </c>
      <c r="W1826" s="15">
        <f>V1826*N1826*O1826</f>
        <v/>
      </c>
      <c r="X1826" s="12">
        <f>IF(LEFT(I1826,2)="MV",2*N1826*IF(L1826="1/C",O1826,1),0)</f>
        <v/>
      </c>
      <c r="Y1826" s="12">
        <f>IF(OR(LEFT(K1826,4)="LVAX",LEFT(K1826,6)="MV15AX",LEFT(K1826,4)="CTAX",LEFT(K1826,2)="W|"),2*N1826*O1826,0)</f>
        <v/>
      </c>
      <c r="Z1826" s="12" t="inlineStr">
        <is>
          <t>VD 0.2 %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Tray</t>
        </is>
      </c>
      <c r="T1827" s="15" t="n">
        <v>14</v>
      </c>
      <c r="U1827" s="15" t="n">
        <v>78</v>
      </c>
      <c r="V1827" s="15">
        <f>ROUNDUP((T1827+U1827+2*'Read Me'!$B$13)*(1+'Read Me'!$B$12),-1)</f>
        <v/>
      </c>
      <c r="W1827" s="15">
        <f>V1827*N1827*O1827</f>
        <v/>
      </c>
      <c r="X1827" s="12">
        <f>IF(LEFT(I1827,2)="MV",2*N1827*IF(L1827="1/C",O1827,1),0)</f>
        <v/>
      </c>
      <c r="Y1827" s="12">
        <f>IF(OR(LEFT(K1827,4)="LVAX",LEFT(K1827,6)="MV15AX",LEFT(K1827,4)="CTAX",LEFT(K1827,2)="W|"),2*N1827*O1827,0)</f>
        <v/>
      </c>
      <c r="Z1827" s="12" t="inlineStr">
        <is>
          <t>VD 0.9 %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Tray</t>
        </is>
      </c>
      <c r="T1828" s="15" t="n">
        <v>14</v>
      </c>
      <c r="U1828" s="15" t="n">
        <v>78</v>
      </c>
      <c r="V1828" s="15">
        <f>ROUNDUP((T1828+U1828+2*'Read Me'!$B$13)*(1+'Read Me'!$B$12),-1)</f>
        <v/>
      </c>
      <c r="W1828" s="15">
        <f>V1828*N1828*O1828</f>
        <v/>
      </c>
      <c r="X1828" s="12">
        <f>IF(LEFT(I1828,2)="MV",2*N1828*IF(L1828="1/C",O1828,1),0)</f>
        <v/>
      </c>
      <c r="Y1828" s="12">
        <f>IF(OR(LEFT(K1828,4)="LVAX",LEFT(K1828,6)="MV15AX",LEFT(K1828,4)="CTAX",LEFT(K1828,2)="W|"),2*N1828*O1828,0)</f>
        <v/>
      </c>
      <c r="Z1828" s="12" t="inlineStr">
        <is>
          <t>VD 0.5 %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Tray</t>
        </is>
      </c>
      <c r="T1829" s="15" t="n">
        <v>14</v>
      </c>
      <c r="U1829" s="15" t="n">
        <v>78</v>
      </c>
      <c r="V1829" s="15">
        <f>ROUNDUP((T1829+U1829+2*'Read Me'!$B$13)*(1+'Read Me'!$B$12),-1)</f>
        <v/>
      </c>
      <c r="W1829" s="15">
        <f>V1829*N1829*O1829</f>
        <v/>
      </c>
      <c r="X1829" s="12">
        <f>IF(LEFT(I1829,2)="MV",2*N1829*IF(L1829="1/C",O1829,1),0)</f>
        <v/>
      </c>
      <c r="Y1829" s="12">
        <f>IF(OR(LEFT(K1829,4)="LVAX",LEFT(K1829,6)="MV15AX",LEFT(K1829,4)="CTAX",LEFT(K1829,2)="W|"),2*N1829*O1829,0)</f>
        <v/>
      </c>
      <c r="Z1829" s="12" t="inlineStr">
        <is>
          <t>VD 0.5 %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Tray</t>
        </is>
      </c>
      <c r="T1830" s="15" t="n">
        <v>14</v>
      </c>
      <c r="U1830" s="15" t="n">
        <v>78</v>
      </c>
      <c r="V1830" s="15">
        <f>ROUNDUP((T1830+U1830+2*'Read Me'!$B$13)*(1+'Read Me'!$B$12),-1)</f>
        <v/>
      </c>
      <c r="W1830" s="15">
        <f>V1830*N1830*O1830</f>
        <v/>
      </c>
      <c r="X1830" s="12">
        <f>IF(LEFT(I1830,2)="MV",2*N1830*IF(L1830="1/C",O1830,1),0)</f>
        <v/>
      </c>
      <c r="Y1830" s="12">
        <f>IF(OR(LEFT(K1830,4)="LVAX",LEFT(K1830,6)="MV15AX",LEFT(K1830,4)="CTAX",LEFT(K1830,2)="W|"),2*N1830*O1830,0)</f>
        <v/>
      </c>
      <c r="Z1830" s="12" t="inlineStr">
        <is>
          <t>VD 0.5 %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Tray</t>
        </is>
      </c>
      <c r="T1831" s="15" t="n">
        <v>14</v>
      </c>
      <c r="U1831" s="15" t="n">
        <v>78</v>
      </c>
      <c r="V1831" s="15">
        <f>ROUNDUP((T1831+U1831+2*'Read Me'!$B$13)*(1+'Read Me'!$B$12),-1)</f>
        <v/>
      </c>
      <c r="W1831" s="15">
        <f>V1831*N1831*O1831</f>
        <v/>
      </c>
      <c r="X1831" s="12">
        <f>IF(LEFT(I1831,2)="MV",2*N1831*IF(L1831="1/C",O1831,1),0)</f>
        <v/>
      </c>
      <c r="Y1831" s="12">
        <f>IF(OR(LEFT(K1831,4)="LVAX",LEFT(K1831,6)="MV15AX",LEFT(K1831,4)="CTAX",LEFT(K1831,2)="W|"),2*N1831*O1831,0)</f>
        <v/>
      </c>
      <c r="Z1831" s="12" t="inlineStr">
        <is>
          <t>VD 0.5 %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Tray</t>
        </is>
      </c>
      <c r="T1832" s="15" t="n">
        <v>465</v>
      </c>
      <c r="U1832" s="15" t="n">
        <v>82</v>
      </c>
      <c r="V1832" s="15">
        <f>ROUNDUP((T1832+U1832+2*'Read Me'!$B$13)*(1+'Read Me'!$B$12),-1)</f>
        <v/>
      </c>
      <c r="W1832" s="15">
        <f>V1832*N1832*O1832</f>
        <v/>
      </c>
      <c r="X1832" s="12">
        <f>IF(LEFT(I1832,2)="MV",2*N1832*IF(L1832="1/C",O1832,1),0)</f>
        <v/>
      </c>
      <c r="Y1832" s="12">
        <f>IF(OR(LEFT(K1832,4)="LVAX",LEFT(K1832,6)="MV15AX",LEFT(K1832,4)="CTAX",LEFT(K1832,2)="W|"),2*N1832*O1832,0)</f>
        <v/>
      </c>
      <c r="Z1832" s="12" t="inlineStr">
        <is>
          <t>VD 0.7 %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Tray</t>
        </is>
      </c>
      <c r="T1833" s="15" t="n">
        <v>465</v>
      </c>
      <c r="U1833" s="15" t="n">
        <v>82</v>
      </c>
      <c r="V1833" s="15">
        <f>ROUNDUP((T1833+U1833+2*'Read Me'!$B$13)*(1+'Read Me'!$B$12),-1)</f>
        <v/>
      </c>
      <c r="W1833" s="15">
        <f>V1833*N1833*O1833</f>
        <v/>
      </c>
      <c r="X1833" s="12">
        <f>IF(LEFT(I1833,2)="MV",2*N1833*IF(L1833="1/C",O1833,1),0)</f>
        <v/>
      </c>
      <c r="Y1833" s="12">
        <f>IF(OR(LEFT(K1833,4)="LVAX",LEFT(K1833,6)="MV15AX",LEFT(K1833,4)="CTAX",LEFT(K1833,2)="W|"),2*N1833*O1833,0)</f>
        <v/>
      </c>
      <c r="Z1833" s="12" t="inlineStr">
        <is>
          <t>VD 0.7 %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Tray</t>
        </is>
      </c>
      <c r="T1834" s="15" t="n">
        <v>465</v>
      </c>
      <c r="U1834" s="15" t="n">
        <v>82</v>
      </c>
      <c r="V1834" s="15">
        <f>ROUNDUP((T1834+U1834+2*'Read Me'!$B$13)*(1+'Read Me'!$B$12),-1)</f>
        <v/>
      </c>
      <c r="W1834" s="15">
        <f>V1834*N1834*O1834</f>
        <v/>
      </c>
      <c r="X1834" s="12">
        <f>IF(LEFT(I1834,2)="MV",2*N1834*IF(L1834="1/C",O1834,1),0)</f>
        <v/>
      </c>
      <c r="Y1834" s="12">
        <f>IF(OR(LEFT(K1834,4)="LVAX",LEFT(K1834,6)="MV15AX",LEFT(K1834,4)="CTAX",LEFT(K1834,2)="W|"),2*N1834*O1834,0)</f>
        <v/>
      </c>
      <c r="Z1834" s="12" t="inlineStr">
        <is>
          <t>VD 0.7 %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Tray</t>
        </is>
      </c>
      <c r="T1835" s="15" t="n">
        <v>465</v>
      </c>
      <c r="U1835" s="15" t="n">
        <v>82</v>
      </c>
      <c r="V1835" s="15">
        <f>ROUNDUP((T1835+U1835+2*'Read Me'!$B$13)*(1+'Read Me'!$B$12),-1)</f>
        <v/>
      </c>
      <c r="W1835" s="15">
        <f>V1835*N1835*O1835</f>
        <v/>
      </c>
      <c r="X1835" s="12">
        <f>IF(LEFT(I1835,2)="MV",2*N1835*IF(L1835="1/C",O1835,1),0)</f>
        <v/>
      </c>
      <c r="Y1835" s="12">
        <f>IF(OR(LEFT(K1835,4)="LVAX",LEFT(K1835,6)="MV15AX",LEFT(K1835,4)="CTAX",LEFT(K1835,2)="W|"),2*N1835*O1835,0)</f>
        <v/>
      </c>
      <c r="Z1835" s="12" t="inlineStr">
        <is>
          <t>VD 0.7 %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5" t="n">
        <v>230</v>
      </c>
      <c r="U1836" s="15" t="n">
        <v>50</v>
      </c>
      <c r="V1836" s="15">
        <f>ROUNDUP((T1836+U1836+2*'Read Me'!$B$13)*(1+'Read Me'!$B$12),-1)</f>
        <v/>
      </c>
      <c r="W1836" s="15">
        <f>V1836*N1836*O1836</f>
        <v/>
      </c>
      <c r="X1836" s="12">
        <f>IF(LEFT(I1836,2)="MV",2*N1836*IF(L1836="1/C",O1836,1),0)</f>
        <v/>
      </c>
      <c r="Y1836" s="12">
        <f>IF(OR(LEFT(K1836,4)="LVAX",LEFT(K1836,6)="MV15AX",LEFT(K1836,4)="CTAX",LEFT(K1836,2)="W|"),2*N1836*O1836,0)</f>
        <v/>
      </c>
      <c r="Z1836" s="12" t="inlineStr">
        <is>
          <t>VD 2.9 %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5" t="n">
        <v>0</v>
      </c>
      <c r="U1837" s="15" t="n">
        <v>86</v>
      </c>
      <c r="V1837" s="15">
        <f>ROUNDUP((T1837+U1837+2*'Read Me'!$B$13)*(1+'Read Me'!$B$12),-1)</f>
        <v/>
      </c>
      <c r="W1837" s="15">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5" t="n">
        <v>0</v>
      </c>
      <c r="U1838" s="15" t="n">
        <v>86</v>
      </c>
      <c r="V1838" s="15">
        <f>ROUNDUP((T1838+U1838+2*'Read Me'!$B$13)*(1+'Read Me'!$B$12),-1)</f>
        <v/>
      </c>
      <c r="W1838" s="15">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5" t="n">
        <v>0</v>
      </c>
      <c r="U1839" s="15" t="n">
        <v>86</v>
      </c>
      <c r="V1839" s="15">
        <f>ROUNDUP((T1839+U1839+2*'Read Me'!$B$13)*(1+'Read Me'!$B$12),-1)</f>
        <v/>
      </c>
      <c r="W1839" s="15">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5" t="n">
        <v>0</v>
      </c>
      <c r="U1840" s="15" t="n">
        <v>86</v>
      </c>
      <c r="V1840" s="15">
        <f>ROUNDUP((T1840+U1840+2*'Read Me'!$B$13)*(1+'Read Me'!$B$12),-1)</f>
        <v/>
      </c>
      <c r="W1840" s="15">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5" t="n">
        <v>0</v>
      </c>
      <c r="U1841" s="15" t="n">
        <v>86</v>
      </c>
      <c r="V1841" s="15">
        <f>ROUNDUP((T1841+U1841+2*'Read Me'!$B$13)*(1+'Read Me'!$B$12),-1)</f>
        <v/>
      </c>
      <c r="W1841" s="15">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5" t="n">
        <v>0</v>
      </c>
      <c r="U1842" s="15" t="n">
        <v>86</v>
      </c>
      <c r="V1842" s="15">
        <f>ROUNDUP((T1842+U1842+2*'Read Me'!$B$13)*(1+'Read Me'!$B$12),-1)</f>
        <v/>
      </c>
      <c r="W1842" s="15">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5" t="n">
        <v>0</v>
      </c>
      <c r="U1843" s="15" t="n">
        <v>97</v>
      </c>
      <c r="V1843" s="15">
        <f>ROUNDUP((T1843+U1843+2*'Read Me'!$B$13)*(1+'Read Me'!$B$12),-1)</f>
        <v/>
      </c>
      <c r="W1843" s="15">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5" t="n">
        <v>0</v>
      </c>
      <c r="U1844" s="15" t="n">
        <v>97</v>
      </c>
      <c r="V1844" s="15">
        <f>ROUNDUP((T1844+U1844+2*'Read Me'!$B$13)*(1+'Read Me'!$B$12),-1)</f>
        <v/>
      </c>
      <c r="W1844" s="15">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5" t="n">
        <v>0</v>
      </c>
      <c r="U1845" s="15" t="n">
        <v>97</v>
      </c>
      <c r="V1845" s="15">
        <f>ROUNDUP((T1845+U1845+2*'Read Me'!$B$13)*(1+'Read Me'!$B$12),-1)</f>
        <v/>
      </c>
      <c r="W1845" s="15">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5" t="n">
        <v>0</v>
      </c>
      <c r="U1846" s="15" t="n">
        <v>97</v>
      </c>
      <c r="V1846" s="15">
        <f>ROUNDUP((T1846+U1846+2*'Read Me'!$B$13)*(1+'Read Me'!$B$12),-1)</f>
        <v/>
      </c>
      <c r="W1846" s="15">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5" t="n">
        <v>0</v>
      </c>
      <c r="U1847" s="15" t="n">
        <v>97</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5" t="n">
        <v>0</v>
      </c>
      <c r="U1848" s="15" t="n">
        <v>97</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5" t="n">
        <v>0</v>
      </c>
      <c r="U1849" s="15" t="n">
        <v>97</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5" t="n">
        <v>0</v>
      </c>
      <c r="U1850" s="15" t="n">
        <v>97</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5" t="n">
        <v>0</v>
      </c>
      <c r="U1851" s="15" t="n">
        <v>97</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5" t="n">
        <v>0</v>
      </c>
      <c r="U1852" s="15" t="n">
        <v>97</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5" t="n">
        <v>0</v>
      </c>
      <c r="U1853" s="15" t="n">
        <v>97</v>
      </c>
      <c r="V1853" s="15">
        <f>ROUNDUP((T1853+U1853+2*'Read Me'!$B$13)*(1+'Read Me'!$B$12),-1)</f>
        <v/>
      </c>
      <c r="W1853" s="15">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5" t="n">
        <v>0</v>
      </c>
      <c r="U1854" s="15" t="n">
        <v>97</v>
      </c>
      <c r="V1854" s="15">
        <f>ROUNDUP((T1854+U1854+2*'Read Me'!$B$13)*(1+'Read Me'!$B$12),-1)</f>
        <v/>
      </c>
      <c r="W1854" s="15">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5" t="n">
        <v>2</v>
      </c>
      <c r="U1855" s="15" t="n">
        <v>109</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5" t="n">
        <v>2</v>
      </c>
      <c r="U1856" s="15" t="n">
        <v>109</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5" t="n">
        <v>2</v>
      </c>
      <c r="U1857" s="15" t="n">
        <v>109</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5" t="n">
        <v>2</v>
      </c>
      <c r="U1858" s="15" t="n">
        <v>109</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5" t="n">
        <v>2</v>
      </c>
      <c r="U1859" s="15" t="n">
        <v>109</v>
      </c>
      <c r="V1859" s="15">
        <f>ROUNDUP((T1859+U1859+2*'Read Me'!$B$13)*(1+'Read Me'!$B$12),-1)</f>
        <v/>
      </c>
      <c r="W1859" s="15">
        <f>V1859*N1859*O1859</f>
        <v/>
      </c>
      <c r="X1859" s="12">
        <f>IF(LEFT(I1859,2)="MV",2*N1859*IF(L1859="1/C",O1859,1),0)</f>
        <v/>
      </c>
      <c r="Y1859" s="12">
        <f>IF(OR(LEFT(K1859,4)="LVAX",LEFT(K1859,6)="MV15AX",LEFT(K1859,4)="CTAX",LEFT(K1859,2)="W|"),2*N1859*O1859,0)</f>
        <v/>
      </c>
      <c r="Z1859" s="12" t="inlineStr">
        <is>
          <t>VD 0.2 %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Tray</t>
        </is>
      </c>
      <c r="T1860" s="15" t="n">
        <v>2</v>
      </c>
      <c r="U1860" s="15" t="n">
        <v>109</v>
      </c>
      <c r="V1860" s="15">
        <f>ROUNDUP((T1860+U1860+2*'Read Me'!$B$13)*(1+'Read Me'!$B$12),-1)</f>
        <v/>
      </c>
      <c r="W1860" s="15">
        <f>V1860*N1860*O1860</f>
        <v/>
      </c>
      <c r="X1860" s="12">
        <f>IF(LEFT(I1860,2)="MV",2*N1860*IF(L1860="1/C",O1860,1),0)</f>
        <v/>
      </c>
      <c r="Y1860" s="12">
        <f>IF(OR(LEFT(K1860,4)="LVAX",LEFT(K1860,6)="MV15AX",LEFT(K1860,4)="CTAX",LEFT(K1860,2)="W|"),2*N1860*O1860,0)</f>
        <v/>
      </c>
      <c r="Z1860" s="12" t="inlineStr">
        <is>
          <t>VD 0.2 %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5" t="n">
        <v>63</v>
      </c>
      <c r="U1861" s="15" t="n">
        <v>41</v>
      </c>
      <c r="V1861" s="15">
        <f>ROUNDUP((T1861+U1861+2*'Read Me'!$B$13)*(1+'Read Me'!$B$12),-1)</f>
        <v/>
      </c>
      <c r="W1861" s="15">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5" t="n">
        <v>63</v>
      </c>
      <c r="U1862" s="15" t="n">
        <v>41</v>
      </c>
      <c r="V1862" s="15">
        <f>ROUNDUP((T1862+U1862+2*'Read Me'!$B$13)*(1+'Read Me'!$B$12),-1)</f>
        <v/>
      </c>
      <c r="W1862" s="15">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5" t="n">
        <v>63</v>
      </c>
      <c r="U1863" s="15" t="n">
        <v>41</v>
      </c>
      <c r="V1863" s="15">
        <f>ROUNDUP((T1863+U1863+2*'Read Me'!$B$13)*(1+'Read Me'!$B$12),-1)</f>
        <v/>
      </c>
      <c r="W1863" s="15">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5" t="n">
        <v>63</v>
      </c>
      <c r="U1864" s="15" t="n">
        <v>41</v>
      </c>
      <c r="V1864" s="15">
        <f>ROUNDUP((T1864+U1864+2*'Read Me'!$B$13)*(1+'Read Me'!$B$12),-1)</f>
        <v/>
      </c>
      <c r="W1864" s="15">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5" t="n">
        <v>63</v>
      </c>
      <c r="U1865" s="15" t="n">
        <v>41</v>
      </c>
      <c r="V1865" s="15">
        <f>ROUNDUP((T1865+U1865+2*'Read Me'!$B$13)*(1+'Read Me'!$B$12),-1)</f>
        <v/>
      </c>
      <c r="W1865" s="15">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5" t="n">
        <v>63</v>
      </c>
      <c r="U1866" s="15" t="n">
        <v>41</v>
      </c>
      <c r="V1866" s="15">
        <f>ROUNDUP((T1866+U1866+2*'Read Me'!$B$13)*(1+'Read Me'!$B$12),-1)</f>
        <v/>
      </c>
      <c r="W1866" s="15">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5" t="n">
        <v>85</v>
      </c>
      <c r="U1867" s="15" t="n">
        <v>41</v>
      </c>
      <c r="V1867" s="15">
        <f>ROUNDUP((T1867+U1867+2*'Read Me'!$B$13)*(1+'Read Me'!$B$12),-1)</f>
        <v/>
      </c>
      <c r="W1867" s="15">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5" t="n">
        <v>85</v>
      </c>
      <c r="U1868" s="15" t="n">
        <v>41</v>
      </c>
      <c r="V1868" s="15">
        <f>ROUNDUP((T1868+U1868+2*'Read Me'!$B$13)*(1+'Read Me'!$B$12),-1)</f>
        <v/>
      </c>
      <c r="W1868" s="15">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5" t="n">
        <v>85</v>
      </c>
      <c r="U1869" s="15" t="n">
        <v>41</v>
      </c>
      <c r="V1869" s="15">
        <f>ROUNDUP((T1869+U1869+2*'Read Me'!$B$13)*(1+'Read Me'!$B$12),-1)</f>
        <v/>
      </c>
      <c r="W1869" s="15">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5" t="n">
        <v>85</v>
      </c>
      <c r="U1870" s="15" t="n">
        <v>41</v>
      </c>
      <c r="V1870" s="15">
        <f>ROUNDUP((T1870+U1870+2*'Read Me'!$B$13)*(1+'Read Me'!$B$12),-1)</f>
        <v/>
      </c>
      <c r="W1870" s="15">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5" t="n">
        <v>85</v>
      </c>
      <c r="U1871" s="15" t="n">
        <v>41</v>
      </c>
      <c r="V1871" s="15">
        <f>ROUNDUP((T1871+U1871+2*'Read Me'!$B$13)*(1+'Read Me'!$B$12),-1)</f>
        <v/>
      </c>
      <c r="W1871" s="15">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5" t="n">
        <v>85</v>
      </c>
      <c r="U1872" s="15" t="n">
        <v>41</v>
      </c>
      <c r="V1872" s="15">
        <f>ROUNDUP((T1872+U1872+2*'Read Me'!$B$13)*(1+'Read Me'!$B$12),-1)</f>
        <v/>
      </c>
      <c r="W1872" s="15">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LV|3/C+G|6</t>
        </is>
      </c>
      <c r="L1873" s="12" t="inlineStr">
        <is>
          <t>3/C+G</t>
        </is>
      </c>
      <c r="M1873" s="12" t="inlineStr">
        <is>
          <t>6</t>
        </is>
      </c>
      <c r="N1873" s="12" t="n">
        <v>1</v>
      </c>
      <c r="O1873" s="12" t="n">
        <v>1</v>
      </c>
      <c r="P1873" s="12" t="n">
        <v>480</v>
      </c>
      <c r="Q1873" s="12" t="n">
        <v>15</v>
      </c>
      <c r="R1873" s="12" t="n">
        <v>21.2</v>
      </c>
      <c r="S1873" s="12" t="inlineStr">
        <is>
          <t>Tray</t>
        </is>
      </c>
      <c r="T1873" s="15" t="n">
        <v>409</v>
      </c>
      <c r="U1873" s="15" t="n">
        <v>117</v>
      </c>
      <c r="V1873" s="15">
        <f>ROUNDUP((T1873+U1873+2*'Read Me'!$B$13)*(1+'Read Me'!$B$12),-1)</f>
        <v/>
      </c>
      <c r="W1873" s="15">
        <f>V1873*N1873*O1873</f>
        <v/>
      </c>
      <c r="X1873" s="12">
        <f>IF(LEFT(I1873,2)="MV",2*N1873*IF(L1873="1/C",O1873,1),0)</f>
        <v/>
      </c>
      <c r="Y1873" s="12">
        <f>IF(OR(LEFT(K1873,4)="LVAX",LEFT(K1873,6)="MV15AX",LEFT(K1873,4)="CTAX",LEFT(K1873,2)="W|"),2*N1873*O1873,0)</f>
        <v/>
      </c>
      <c r="Z1873" s="12" t="inlineStr">
        <is>
          <t>VD 2.2 %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5" t="n">
        <v>426</v>
      </c>
      <c r="U1874" s="15" t="n">
        <v>135</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5" t="n">
        <v>604</v>
      </c>
      <c r="U1875" s="15" t="n">
        <v>133</v>
      </c>
      <c r="V1875" s="15">
        <f>ROUNDUP((T1875+U1875+2*'Read Me'!$B$13)*(1+'Read Me'!$B$12),-1)</f>
        <v/>
      </c>
      <c r="W1875" s="15">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5" t="n">
        <v>465</v>
      </c>
      <c r="U1876" s="15" t="n">
        <v>103</v>
      </c>
      <c r="V1876" s="15">
        <f>ROUNDUP((T1876+U1876+2*'Read Me'!$B$13)*(1+'Read Me'!$B$12),-1)</f>
        <v/>
      </c>
      <c r="W1876" s="15">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5" t="n">
        <v>538</v>
      </c>
      <c r="U1877" s="15" t="n">
        <v>92</v>
      </c>
      <c r="V1877" s="15">
        <f>ROUNDUP((T1877+U1877+2*'Read Me'!$B$13)*(1+'Read Me'!$B$12),-1)</f>
        <v/>
      </c>
      <c r="W1877" s="15">
        <f>V1877*N1877*O1877</f>
        <v/>
      </c>
      <c r="X1877" s="12">
        <f>IF(LEFT(I1877,2)="MV",2*N1877*IF(L1877="1/C",O1877,1),0)</f>
        <v/>
      </c>
      <c r="Y1877" s="12">
        <f>IF(OR(LEFT(K1877,4)="LVAX",LEFT(K1877,6)="MV15AX",LEFT(K1877,4)="CTAX",LEFT(K1877,2)="W|"),2*N1877*O1877,0)</f>
        <v/>
      </c>
      <c r="Z1877" s="12" t="inlineStr">
        <is>
          <t>VD 2.9 %</t>
        </is>
      </c>
      <c r="AA1877" s="12">
        <f>N1877*O1877</f>
        <v/>
      </c>
    </row>
    <row r="1878">
      <c r="A1878" s="12" t="inlineStr">
        <is>
          <t>A-P-0511</t>
        </is>
      </c>
      <c r="B1878" s="12" t="inlineStr">
        <is>
          <t>A</t>
        </is>
      </c>
      <c r="C1878" s="12" t="inlineStr">
        <is>
          <t>Power block</t>
        </is>
      </c>
      <c r="D1878" s="12" t="inlineStr">
        <is>
          <t>Motor 1 of 6, 2 kW</t>
        </is>
      </c>
      <c r="E1878" s="12" t="inlineStr">
        <is>
          <t>R2B</t>
        </is>
      </c>
      <c r="F1878" s="12" t="inlineStr">
        <is>
          <t>R2B: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5" t="n">
        <v>581</v>
      </c>
      <c r="U1878" s="15" t="n">
        <v>79</v>
      </c>
      <c r="V1878" s="15">
        <f>ROUNDUP((T1878+U1878+2*'Read Me'!$B$13)*(1+'Read Me'!$B$12),-1)</f>
        <v/>
      </c>
      <c r="W1878" s="15">
        <f>V1878*N1878*O1878</f>
        <v/>
      </c>
      <c r="X1878" s="12">
        <f>IF(LEFT(I1878,2)="MV",2*N1878*IF(L1878="1/C",O1878,1),0)</f>
        <v/>
      </c>
      <c r="Y1878" s="12">
        <f>IF(OR(LEFT(K1878,4)="LVAX",LEFT(K1878,6)="MV15AX",LEFT(K1878,4)="CTAX",LEFT(K1878,2)="W|"),2*N1878*O1878,0)</f>
        <v/>
      </c>
      <c r="Z1878" s="12" t="inlineStr">
        <is>
          <t>VD 0.9 %</t>
        </is>
      </c>
      <c r="AA1878" s="12">
        <f>N1878*O1878</f>
        <v/>
      </c>
    </row>
    <row r="1879">
      <c r="A1879" s="12" t="inlineStr">
        <is>
          <t>A-P-0512</t>
        </is>
      </c>
      <c r="B1879" s="12" t="inlineStr">
        <is>
          <t>A</t>
        </is>
      </c>
      <c r="C1879" s="12" t="inlineStr">
        <is>
          <t>Power block</t>
        </is>
      </c>
      <c r="D1879" s="12" t="inlineStr">
        <is>
          <t>Motor 2 of 6, 2 kW</t>
        </is>
      </c>
      <c r="E1879" s="12" t="inlineStr">
        <is>
          <t>R2B</t>
        </is>
      </c>
      <c r="F1879" s="12" t="inlineStr">
        <is>
          <t>R2B: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5" t="n">
        <v>581</v>
      </c>
      <c r="U1879" s="15" t="n">
        <v>79</v>
      </c>
      <c r="V1879" s="15">
        <f>ROUNDUP((T1879+U1879+2*'Read Me'!$B$13)*(1+'Read Me'!$B$12),-1)</f>
        <v/>
      </c>
      <c r="W1879" s="15">
        <f>V1879*N1879*O1879</f>
        <v/>
      </c>
      <c r="X1879" s="12">
        <f>IF(LEFT(I1879,2)="MV",2*N1879*IF(L1879="1/C",O1879,1),0)</f>
        <v/>
      </c>
      <c r="Y1879" s="12">
        <f>IF(OR(LEFT(K1879,4)="LVAX",LEFT(K1879,6)="MV15AX",LEFT(K1879,4)="CTAX",LEFT(K1879,2)="W|"),2*N1879*O1879,0)</f>
        <v/>
      </c>
      <c r="Z1879" s="12" t="inlineStr">
        <is>
          <t>VD 0.9 %</t>
        </is>
      </c>
      <c r="AA1879" s="12">
        <f>N1879*O1879</f>
        <v/>
      </c>
    </row>
    <row r="1880">
      <c r="A1880" s="12" t="inlineStr">
        <is>
          <t>A-P-0513</t>
        </is>
      </c>
      <c r="B1880" s="12" t="inlineStr">
        <is>
          <t>A</t>
        </is>
      </c>
      <c r="C1880" s="12" t="inlineStr">
        <is>
          <t>Power block</t>
        </is>
      </c>
      <c r="D1880" s="12" t="inlineStr">
        <is>
          <t>Motor 3 of 6, 2 kW</t>
        </is>
      </c>
      <c r="E1880" s="12" t="inlineStr">
        <is>
          <t>R2B</t>
        </is>
      </c>
      <c r="F1880" s="12" t="inlineStr">
        <is>
          <t>R2B: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5" t="n">
        <v>581</v>
      </c>
      <c r="U1880" s="15" t="n">
        <v>79</v>
      </c>
      <c r="V1880" s="15">
        <f>ROUNDUP((T1880+U1880+2*'Read Me'!$B$13)*(1+'Read Me'!$B$12),-1)</f>
        <v/>
      </c>
      <c r="W1880" s="15">
        <f>V1880*N1880*O1880</f>
        <v/>
      </c>
      <c r="X1880" s="12">
        <f>IF(LEFT(I1880,2)="MV",2*N1880*IF(L1880="1/C",O1880,1),0)</f>
        <v/>
      </c>
      <c r="Y1880" s="12">
        <f>IF(OR(LEFT(K1880,4)="LVAX",LEFT(K1880,6)="MV15AX",LEFT(K1880,4)="CTAX",LEFT(K1880,2)="W|"),2*N1880*O1880,0)</f>
        <v/>
      </c>
      <c r="Z1880" s="12" t="inlineStr">
        <is>
          <t>VD 0.9 %</t>
        </is>
      </c>
      <c r="AA1880" s="12">
        <f>N1880*O1880</f>
        <v/>
      </c>
    </row>
    <row r="1881">
      <c r="A1881" s="12" t="inlineStr">
        <is>
          <t>A-P-0514</t>
        </is>
      </c>
      <c r="B1881" s="12" t="inlineStr">
        <is>
          <t>A</t>
        </is>
      </c>
      <c r="C1881" s="12" t="inlineStr">
        <is>
          <t>Power block</t>
        </is>
      </c>
      <c r="D1881" s="12" t="inlineStr">
        <is>
          <t>Motor 4 of 6, 2 kW</t>
        </is>
      </c>
      <c r="E1881" s="12" t="inlineStr">
        <is>
          <t>R2B</t>
        </is>
      </c>
      <c r="F1881" s="12" t="inlineStr">
        <is>
          <t>R2B: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5" t="n">
        <v>581</v>
      </c>
      <c r="U1881" s="15" t="n">
        <v>79</v>
      </c>
      <c r="V1881" s="15">
        <f>ROUNDUP((T1881+U1881+2*'Read Me'!$B$13)*(1+'Read Me'!$B$12),-1)</f>
        <v/>
      </c>
      <c r="W1881" s="15">
        <f>V1881*N1881*O1881</f>
        <v/>
      </c>
      <c r="X1881" s="12">
        <f>IF(LEFT(I1881,2)="MV",2*N1881*IF(L1881="1/C",O1881,1),0)</f>
        <v/>
      </c>
      <c r="Y1881" s="12">
        <f>IF(OR(LEFT(K1881,4)="LVAX",LEFT(K1881,6)="MV15AX",LEFT(K1881,4)="CTAX",LEFT(K1881,2)="W|"),2*N1881*O1881,0)</f>
        <v/>
      </c>
      <c r="Z1881" s="12" t="inlineStr">
        <is>
          <t>VD 0.9 %</t>
        </is>
      </c>
      <c r="AA1881" s="12">
        <f>N1881*O1881</f>
        <v/>
      </c>
    </row>
    <row r="1882">
      <c r="A1882" s="12" t="inlineStr">
        <is>
          <t>A-P-0515</t>
        </is>
      </c>
      <c r="B1882" s="12" t="inlineStr">
        <is>
          <t>A</t>
        </is>
      </c>
      <c r="C1882" s="12" t="inlineStr">
        <is>
          <t>Power block</t>
        </is>
      </c>
      <c r="D1882" s="12" t="inlineStr">
        <is>
          <t>Motor 5 of 6, 2 kW</t>
        </is>
      </c>
      <c r="E1882" s="12" t="inlineStr">
        <is>
          <t>R2B</t>
        </is>
      </c>
      <c r="F1882" s="12" t="inlineStr">
        <is>
          <t>R2B: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5" t="n">
        <v>581</v>
      </c>
      <c r="U1882" s="15" t="n">
        <v>79</v>
      </c>
      <c r="V1882" s="15">
        <f>ROUNDUP((T1882+U1882+2*'Read Me'!$B$13)*(1+'Read Me'!$B$12),-1)</f>
        <v/>
      </c>
      <c r="W1882" s="15">
        <f>V1882*N1882*O1882</f>
        <v/>
      </c>
      <c r="X1882" s="12">
        <f>IF(LEFT(I1882,2)="MV",2*N1882*IF(L1882="1/C",O1882,1),0)</f>
        <v/>
      </c>
      <c r="Y1882" s="12">
        <f>IF(OR(LEFT(K1882,4)="LVAX",LEFT(K1882,6)="MV15AX",LEFT(K1882,4)="CTAX",LEFT(K1882,2)="W|"),2*N1882*O1882,0)</f>
        <v/>
      </c>
      <c r="Z1882" s="12" t="inlineStr">
        <is>
          <t>VD 0.9 %</t>
        </is>
      </c>
      <c r="AA1882" s="12">
        <f>N1882*O1882</f>
        <v/>
      </c>
    </row>
    <row r="1883">
      <c r="A1883" s="12" t="inlineStr">
        <is>
          <t>A-P-0516</t>
        </is>
      </c>
      <c r="B1883" s="12" t="inlineStr">
        <is>
          <t>A</t>
        </is>
      </c>
      <c r="C1883" s="12" t="inlineStr">
        <is>
          <t>Power block</t>
        </is>
      </c>
      <c r="D1883" s="12" t="inlineStr">
        <is>
          <t>Motor 6 of 6, 2 kW</t>
        </is>
      </c>
      <c r="E1883" s="12" t="inlineStr">
        <is>
          <t>R2B</t>
        </is>
      </c>
      <c r="F1883" s="12" t="inlineStr">
        <is>
          <t>R2B: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5" t="n">
        <v>581</v>
      </c>
      <c r="U1883" s="15" t="n">
        <v>79</v>
      </c>
      <c r="V1883" s="15">
        <f>ROUNDUP((T1883+U1883+2*'Read Me'!$B$13)*(1+'Read Me'!$B$12),-1)</f>
        <v/>
      </c>
      <c r="W1883" s="15">
        <f>V1883*N1883*O1883</f>
        <v/>
      </c>
      <c r="X1883" s="12">
        <f>IF(LEFT(I1883,2)="MV",2*N1883*IF(L1883="1/C",O1883,1),0)</f>
        <v/>
      </c>
      <c r="Y1883" s="12">
        <f>IF(OR(LEFT(K1883,4)="LVAX",LEFT(K1883,6)="MV15AX",LEFT(K1883,4)="CTAX",LEFT(K1883,2)="W|"),2*N1883*O1883,0)</f>
        <v/>
      </c>
      <c r="Z1883" s="12" t="inlineStr">
        <is>
          <t>VD 0.9 %</t>
        </is>
      </c>
      <c r="AA1883" s="12">
        <f>N1883*O1883</f>
        <v/>
      </c>
    </row>
    <row r="1884">
      <c r="A1884" s="12" t="inlineStr">
        <is>
          <t>A-P-0517</t>
        </is>
      </c>
      <c r="B1884" s="12" t="inlineStr">
        <is>
          <t>A</t>
        </is>
      </c>
      <c r="C1884" s="12" t="inlineStr">
        <is>
          <t>Power block</t>
        </is>
      </c>
      <c r="D1884" s="12" t="inlineStr">
        <is>
          <t>Motor 1 of 6, 2 kW</t>
        </is>
      </c>
      <c r="E1884" s="12" t="inlineStr">
        <is>
          <t>R2C</t>
        </is>
      </c>
      <c r="F1884" s="12" t="inlineStr">
        <is>
          <t>R2C: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5" t="n">
        <v>581</v>
      </c>
      <c r="U1884" s="15" t="n">
        <v>79</v>
      </c>
      <c r="V1884" s="15">
        <f>ROUNDUP((T1884+U1884+2*'Read Me'!$B$13)*(1+'Read Me'!$B$12),-1)</f>
        <v/>
      </c>
      <c r="W1884" s="15">
        <f>V1884*N1884*O1884</f>
        <v/>
      </c>
      <c r="X1884" s="12">
        <f>IF(LEFT(I1884,2)="MV",2*N1884*IF(L1884="1/C",O1884,1),0)</f>
        <v/>
      </c>
      <c r="Y1884" s="12">
        <f>IF(OR(LEFT(K1884,4)="LVAX",LEFT(K1884,6)="MV15AX",LEFT(K1884,4)="CTAX",LEFT(K1884,2)="W|"),2*N1884*O1884,0)</f>
        <v/>
      </c>
      <c r="Z1884" s="12" t="inlineStr">
        <is>
          <t>VD 0.9 %</t>
        </is>
      </c>
      <c r="AA1884" s="12">
        <f>N1884*O1884</f>
        <v/>
      </c>
    </row>
    <row r="1885">
      <c r="A1885" s="12" t="inlineStr">
        <is>
          <t>A-P-0518</t>
        </is>
      </c>
      <c r="B1885" s="12" t="inlineStr">
        <is>
          <t>A</t>
        </is>
      </c>
      <c r="C1885" s="12" t="inlineStr">
        <is>
          <t>Power block</t>
        </is>
      </c>
      <c r="D1885" s="12" t="inlineStr">
        <is>
          <t>Motor 2 of 6, 2 kW</t>
        </is>
      </c>
      <c r="E1885" s="12" t="inlineStr">
        <is>
          <t>R2C</t>
        </is>
      </c>
      <c r="F1885" s="12" t="inlineStr">
        <is>
          <t>R2C: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5" t="n">
        <v>581</v>
      </c>
      <c r="U1885" s="15" t="n">
        <v>79</v>
      </c>
      <c r="V1885" s="15">
        <f>ROUNDUP((T1885+U1885+2*'Read Me'!$B$13)*(1+'Read Me'!$B$12),-1)</f>
        <v/>
      </c>
      <c r="W1885" s="15">
        <f>V1885*N1885*O1885</f>
        <v/>
      </c>
      <c r="X1885" s="12">
        <f>IF(LEFT(I1885,2)="MV",2*N1885*IF(L1885="1/C",O1885,1),0)</f>
        <v/>
      </c>
      <c r="Y1885" s="12">
        <f>IF(OR(LEFT(K1885,4)="LVAX",LEFT(K1885,6)="MV15AX",LEFT(K1885,4)="CTAX",LEFT(K1885,2)="W|"),2*N1885*O1885,0)</f>
        <v/>
      </c>
      <c r="Z1885" s="12" t="inlineStr">
        <is>
          <t>VD 0.9 %</t>
        </is>
      </c>
      <c r="AA1885" s="12">
        <f>N1885*O1885</f>
        <v/>
      </c>
    </row>
    <row r="1886">
      <c r="A1886" s="12" t="inlineStr">
        <is>
          <t>A-P-0519</t>
        </is>
      </c>
      <c r="B1886" s="12" t="inlineStr">
        <is>
          <t>A</t>
        </is>
      </c>
      <c r="C1886" s="12" t="inlineStr">
        <is>
          <t>Power block</t>
        </is>
      </c>
      <c r="D1886" s="12" t="inlineStr">
        <is>
          <t>Motor 3 of 6, 2 kW</t>
        </is>
      </c>
      <c r="E1886" s="12" t="inlineStr">
        <is>
          <t>R2C</t>
        </is>
      </c>
      <c r="F1886" s="12" t="inlineStr">
        <is>
          <t>R2C: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Tray</t>
        </is>
      </c>
      <c r="T1886" s="15" t="n">
        <v>581</v>
      </c>
      <c r="U1886" s="15" t="n">
        <v>79</v>
      </c>
      <c r="V1886" s="15">
        <f>ROUNDUP((T1886+U1886+2*'Read Me'!$B$13)*(1+'Read Me'!$B$12),-1)</f>
        <v/>
      </c>
      <c r="W1886" s="15">
        <f>V1886*N1886*O1886</f>
        <v/>
      </c>
      <c r="X1886" s="12">
        <f>IF(LEFT(I1886,2)="MV",2*N1886*IF(L1886="1/C",O1886,1),0)</f>
        <v/>
      </c>
      <c r="Y1886" s="12">
        <f>IF(OR(LEFT(K1886,4)="LVAX",LEFT(K1886,6)="MV15AX",LEFT(K1886,4)="CTAX",LEFT(K1886,2)="W|"),2*N1886*O1886,0)</f>
        <v/>
      </c>
      <c r="Z1886" s="12" t="inlineStr">
        <is>
          <t>VD 0.9 %</t>
        </is>
      </c>
      <c r="AA1886" s="12">
        <f>N1886*O1886</f>
        <v/>
      </c>
    </row>
    <row r="1887">
      <c r="A1887" s="12" t="inlineStr">
        <is>
          <t>A-P-0520</t>
        </is>
      </c>
      <c r="B1887" s="12" t="inlineStr">
        <is>
          <t>A</t>
        </is>
      </c>
      <c r="C1887" s="12" t="inlineStr">
        <is>
          <t>Power block</t>
        </is>
      </c>
      <c r="D1887" s="12" t="inlineStr">
        <is>
          <t>Motor 4 of 6, 2 kW</t>
        </is>
      </c>
      <c r="E1887" s="12" t="inlineStr">
        <is>
          <t>R2C</t>
        </is>
      </c>
      <c r="F1887" s="12" t="inlineStr">
        <is>
          <t>R2C: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Tray</t>
        </is>
      </c>
      <c r="T1887" s="15" t="n">
        <v>581</v>
      </c>
      <c r="U1887" s="15" t="n">
        <v>79</v>
      </c>
      <c r="V1887" s="15">
        <f>ROUNDUP((T1887+U1887+2*'Read Me'!$B$13)*(1+'Read Me'!$B$12),-1)</f>
        <v/>
      </c>
      <c r="W1887" s="15">
        <f>V1887*N1887*O1887</f>
        <v/>
      </c>
      <c r="X1887" s="12">
        <f>IF(LEFT(I1887,2)="MV",2*N1887*IF(L1887="1/C",O1887,1),0)</f>
        <v/>
      </c>
      <c r="Y1887" s="12">
        <f>IF(OR(LEFT(K1887,4)="LVAX",LEFT(K1887,6)="MV15AX",LEFT(K1887,4)="CTAX",LEFT(K1887,2)="W|"),2*N1887*O1887,0)</f>
        <v/>
      </c>
      <c r="Z1887" s="12" t="inlineStr">
        <is>
          <t>VD 0.9 %</t>
        </is>
      </c>
      <c r="AA1887" s="12">
        <f>N1887*O1887</f>
        <v/>
      </c>
    </row>
    <row r="1888">
      <c r="A1888" s="12" t="inlineStr">
        <is>
          <t>A-P-0521</t>
        </is>
      </c>
      <c r="B1888" s="12" t="inlineStr">
        <is>
          <t>A</t>
        </is>
      </c>
      <c r="C1888" s="12" t="inlineStr">
        <is>
          <t>Power block</t>
        </is>
      </c>
      <c r="D1888" s="12" t="inlineStr">
        <is>
          <t>Motor 5 of 6, 2 kW</t>
        </is>
      </c>
      <c r="E1888" s="12" t="inlineStr">
        <is>
          <t>R2C</t>
        </is>
      </c>
      <c r="F1888" s="12" t="inlineStr">
        <is>
          <t>R2C: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Tray</t>
        </is>
      </c>
      <c r="T1888" s="15" t="n">
        <v>581</v>
      </c>
      <c r="U1888" s="15" t="n">
        <v>79</v>
      </c>
      <c r="V1888" s="15">
        <f>ROUNDUP((T1888+U1888+2*'Read Me'!$B$13)*(1+'Read Me'!$B$12),-1)</f>
        <v/>
      </c>
      <c r="W1888" s="15">
        <f>V1888*N1888*O1888</f>
        <v/>
      </c>
      <c r="X1888" s="12">
        <f>IF(LEFT(I1888,2)="MV",2*N1888*IF(L1888="1/C",O1888,1),0)</f>
        <v/>
      </c>
      <c r="Y1888" s="12">
        <f>IF(OR(LEFT(K1888,4)="LVAX",LEFT(K1888,6)="MV15AX",LEFT(K1888,4)="CTAX",LEFT(K1888,2)="W|"),2*N1888*O1888,0)</f>
        <v/>
      </c>
      <c r="Z1888" s="12" t="inlineStr">
        <is>
          <t>VD 0.9 %</t>
        </is>
      </c>
      <c r="AA1888" s="12">
        <f>N1888*O1888</f>
        <v/>
      </c>
    </row>
    <row r="1889">
      <c r="A1889" s="12" t="inlineStr">
        <is>
          <t>A-P-0522</t>
        </is>
      </c>
      <c r="B1889" s="12" t="inlineStr">
        <is>
          <t>A</t>
        </is>
      </c>
      <c r="C1889" s="12" t="inlineStr">
        <is>
          <t>Power block</t>
        </is>
      </c>
      <c r="D1889" s="12" t="inlineStr">
        <is>
          <t>Motor 6 of 6, 2 kW</t>
        </is>
      </c>
      <c r="E1889" s="12" t="inlineStr">
        <is>
          <t>R2C</t>
        </is>
      </c>
      <c r="F1889" s="12" t="inlineStr">
        <is>
          <t>R2C: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Tray</t>
        </is>
      </c>
      <c r="T1889" s="15" t="n">
        <v>581</v>
      </c>
      <c r="U1889" s="15" t="n">
        <v>79</v>
      </c>
      <c r="V1889" s="15">
        <f>ROUNDUP((T1889+U1889+2*'Read Me'!$B$13)*(1+'Read Me'!$B$12),-1)</f>
        <v/>
      </c>
      <c r="W1889" s="15">
        <f>V1889*N1889*O1889</f>
        <v/>
      </c>
      <c r="X1889" s="12">
        <f>IF(LEFT(I1889,2)="MV",2*N1889*IF(L1889="1/C",O1889,1),0)</f>
        <v/>
      </c>
      <c r="Y1889" s="12">
        <f>IF(OR(LEFT(K1889,4)="LVAX",LEFT(K1889,6)="MV15AX",LEFT(K1889,4)="CTAX",LEFT(K1889,2)="W|"),2*N1889*O1889,0)</f>
        <v/>
      </c>
      <c r="Z1889" s="12" t="inlineStr">
        <is>
          <t>VD 0.9 %</t>
        </is>
      </c>
      <c r="AA1889" s="12">
        <f>N1889*O1889</f>
        <v/>
      </c>
    </row>
    <row r="1890">
      <c r="A1890" s="12" t="inlineStr">
        <is>
          <t>A-P-0523</t>
        </is>
      </c>
      <c r="B1890" s="12" t="inlineStr">
        <is>
          <t>A</t>
        </is>
      </c>
      <c r="C1890" s="12" t="inlineStr">
        <is>
          <t>Power block</t>
        </is>
      </c>
      <c r="D1890" s="12" t="inlineStr">
        <is>
          <t>Motor 1 of 6, 2 kW</t>
        </is>
      </c>
      <c r="E1890" s="12" t="inlineStr">
        <is>
          <t>R3</t>
        </is>
      </c>
      <c r="F1890" s="12" t="inlineStr">
        <is>
          <t>R3: ST auxiliary electrical e-house (40 x 65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5" t="n">
        <v>452</v>
      </c>
      <c r="U1890" s="15" t="n">
        <v>50</v>
      </c>
      <c r="V1890" s="15">
        <f>ROUNDUP((T1890+U1890+2*'Read Me'!$B$13)*(1+'Read Me'!$B$12),-1)</f>
        <v/>
      </c>
      <c r="W1890" s="15">
        <f>V1890*N1890*O1890</f>
        <v/>
      </c>
      <c r="X1890" s="12">
        <f>IF(LEFT(I1890,2)="MV",2*N1890*IF(L1890="1/C",O1890,1),0)</f>
        <v/>
      </c>
      <c r="Y1890" s="12">
        <f>IF(OR(LEFT(K1890,4)="LVAX",LEFT(K1890,6)="MV15AX",LEFT(K1890,4)="CTAX",LEFT(K1890,2)="W|"),2*N1890*O1890,0)</f>
        <v/>
      </c>
      <c r="Z1890" s="12" t="inlineStr">
        <is>
          <t>VD 0.7 %</t>
        </is>
      </c>
      <c r="AA1890" s="12">
        <f>N1890*O1890</f>
        <v/>
      </c>
    </row>
    <row r="1891">
      <c r="A1891" s="12" t="inlineStr">
        <is>
          <t>A-P-0524</t>
        </is>
      </c>
      <c r="B1891" s="12" t="inlineStr">
        <is>
          <t>A</t>
        </is>
      </c>
      <c r="C1891" s="12" t="inlineStr">
        <is>
          <t>Power block</t>
        </is>
      </c>
      <c r="D1891" s="12" t="inlineStr">
        <is>
          <t>Motor 2 of 6, 2 kW</t>
        </is>
      </c>
      <c r="E1891" s="12" t="inlineStr">
        <is>
          <t>R3</t>
        </is>
      </c>
      <c r="F1891" s="12" t="inlineStr">
        <is>
          <t>R3: ST auxiliary electrical e-house (40 x 65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5" t="n">
        <v>452</v>
      </c>
      <c r="U1891" s="15" t="n">
        <v>50</v>
      </c>
      <c r="V1891" s="15">
        <f>ROUNDUP((T1891+U1891+2*'Read Me'!$B$13)*(1+'Read Me'!$B$12),-1)</f>
        <v/>
      </c>
      <c r="W1891" s="15">
        <f>V1891*N1891*O1891</f>
        <v/>
      </c>
      <c r="X1891" s="12">
        <f>IF(LEFT(I1891,2)="MV",2*N1891*IF(L1891="1/C",O1891,1),0)</f>
        <v/>
      </c>
      <c r="Y1891" s="12">
        <f>IF(OR(LEFT(K1891,4)="LVAX",LEFT(K1891,6)="MV15AX",LEFT(K1891,4)="CTAX",LEFT(K1891,2)="W|"),2*N1891*O1891,0)</f>
        <v/>
      </c>
      <c r="Z1891" s="12" t="inlineStr">
        <is>
          <t>VD 0.7 %</t>
        </is>
      </c>
      <c r="AA1891" s="12">
        <f>N1891*O1891</f>
        <v/>
      </c>
    </row>
    <row r="1892">
      <c r="A1892" s="12" t="inlineStr">
        <is>
          <t>A-P-0525</t>
        </is>
      </c>
      <c r="B1892" s="12" t="inlineStr">
        <is>
          <t>A</t>
        </is>
      </c>
      <c r="C1892" s="12" t="inlineStr">
        <is>
          <t>Power block</t>
        </is>
      </c>
      <c r="D1892" s="12" t="inlineStr">
        <is>
          <t>Motor 3 of 6, 2 kW</t>
        </is>
      </c>
      <c r="E1892" s="12" t="inlineStr">
        <is>
          <t>R3</t>
        </is>
      </c>
      <c r="F1892" s="12" t="inlineStr">
        <is>
          <t>R3: ST auxiliary electrical e-house (40 x 65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5" t="n">
        <v>452</v>
      </c>
      <c r="U1892" s="15" t="n">
        <v>50</v>
      </c>
      <c r="V1892" s="15">
        <f>ROUNDUP((T1892+U1892+2*'Read Me'!$B$13)*(1+'Read Me'!$B$12),-1)</f>
        <v/>
      </c>
      <c r="W1892" s="15">
        <f>V1892*N1892*O1892</f>
        <v/>
      </c>
      <c r="X1892" s="12">
        <f>IF(LEFT(I1892,2)="MV",2*N1892*IF(L1892="1/C",O1892,1),0)</f>
        <v/>
      </c>
      <c r="Y1892" s="12">
        <f>IF(OR(LEFT(K1892,4)="LVAX",LEFT(K1892,6)="MV15AX",LEFT(K1892,4)="CTAX",LEFT(K1892,2)="W|"),2*N1892*O1892,0)</f>
        <v/>
      </c>
      <c r="Z1892" s="12" t="inlineStr">
        <is>
          <t>VD 0.7 %</t>
        </is>
      </c>
      <c r="AA1892" s="12">
        <f>N1892*O1892</f>
        <v/>
      </c>
    </row>
    <row r="1893">
      <c r="A1893" s="12" t="inlineStr">
        <is>
          <t>A-P-0526</t>
        </is>
      </c>
      <c r="B1893" s="12" t="inlineStr">
        <is>
          <t>A</t>
        </is>
      </c>
      <c r="C1893" s="12" t="inlineStr">
        <is>
          <t>Power block</t>
        </is>
      </c>
      <c r="D1893" s="12" t="inlineStr">
        <is>
          <t>Motor 4 of 6, 2 kW</t>
        </is>
      </c>
      <c r="E1893" s="12" t="inlineStr">
        <is>
          <t>R3</t>
        </is>
      </c>
      <c r="F1893" s="12" t="inlineStr">
        <is>
          <t>R3: ST auxiliary electrical e-house (40 x 65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5" t="n">
        <v>452</v>
      </c>
      <c r="U1893" s="15" t="n">
        <v>50</v>
      </c>
      <c r="V1893" s="15">
        <f>ROUNDUP((T1893+U1893+2*'Read Me'!$B$13)*(1+'Read Me'!$B$12),-1)</f>
        <v/>
      </c>
      <c r="W1893" s="15">
        <f>V1893*N1893*O1893</f>
        <v/>
      </c>
      <c r="X1893" s="12">
        <f>IF(LEFT(I1893,2)="MV",2*N1893*IF(L1893="1/C",O1893,1),0)</f>
        <v/>
      </c>
      <c r="Y1893" s="12">
        <f>IF(OR(LEFT(K1893,4)="LVAX",LEFT(K1893,6)="MV15AX",LEFT(K1893,4)="CTAX",LEFT(K1893,2)="W|"),2*N1893*O1893,0)</f>
        <v/>
      </c>
      <c r="Z1893" s="12" t="inlineStr">
        <is>
          <t>VD 0.7 %</t>
        </is>
      </c>
      <c r="AA1893" s="12">
        <f>N1893*O1893</f>
        <v/>
      </c>
    </row>
    <row r="1894">
      <c r="A1894" s="12" t="inlineStr">
        <is>
          <t>A-P-0527</t>
        </is>
      </c>
      <c r="B1894" s="12" t="inlineStr">
        <is>
          <t>A</t>
        </is>
      </c>
      <c r="C1894" s="12" t="inlineStr">
        <is>
          <t>Power block</t>
        </is>
      </c>
      <c r="D1894" s="12" t="inlineStr">
        <is>
          <t>Motor 5 of 6, 2 kW</t>
        </is>
      </c>
      <c r="E1894" s="12" t="inlineStr">
        <is>
          <t>R3</t>
        </is>
      </c>
      <c r="F1894" s="12" t="inlineStr">
        <is>
          <t>R3: ST auxiliary electrical e-house (40 x 65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5" t="n">
        <v>452</v>
      </c>
      <c r="U1894" s="15" t="n">
        <v>50</v>
      </c>
      <c r="V1894" s="15">
        <f>ROUNDUP((T1894+U1894+2*'Read Me'!$B$13)*(1+'Read Me'!$B$12),-1)</f>
        <v/>
      </c>
      <c r="W1894" s="15">
        <f>V1894*N1894*O1894</f>
        <v/>
      </c>
      <c r="X1894" s="12">
        <f>IF(LEFT(I1894,2)="MV",2*N1894*IF(L1894="1/C",O1894,1),0)</f>
        <v/>
      </c>
      <c r="Y1894" s="12">
        <f>IF(OR(LEFT(K1894,4)="LVAX",LEFT(K1894,6)="MV15AX",LEFT(K1894,4)="CTAX",LEFT(K1894,2)="W|"),2*N1894*O1894,0)</f>
        <v/>
      </c>
      <c r="Z1894" s="12" t="inlineStr">
        <is>
          <t>VD 0.7 %</t>
        </is>
      </c>
      <c r="AA1894" s="12">
        <f>N1894*O1894</f>
        <v/>
      </c>
    </row>
    <row r="1895">
      <c r="A1895" s="12" t="inlineStr">
        <is>
          <t>A-P-0528</t>
        </is>
      </c>
      <c r="B1895" s="12" t="inlineStr">
        <is>
          <t>A</t>
        </is>
      </c>
      <c r="C1895" s="12" t="inlineStr">
        <is>
          <t>Power block</t>
        </is>
      </c>
      <c r="D1895" s="12" t="inlineStr">
        <is>
          <t>Motor 6 of 6, 2 kW</t>
        </is>
      </c>
      <c r="E1895" s="12" t="inlineStr">
        <is>
          <t>R3</t>
        </is>
      </c>
      <c r="F1895" s="12" t="inlineStr">
        <is>
          <t>R3: ST auxiliary electrical e-house (40 x 65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5" t="n">
        <v>452</v>
      </c>
      <c r="U1895" s="15" t="n">
        <v>50</v>
      </c>
      <c r="V1895" s="15">
        <f>ROUNDUP((T1895+U1895+2*'Read Me'!$B$13)*(1+'Read Me'!$B$12),-1)</f>
        <v/>
      </c>
      <c r="W1895" s="15">
        <f>V1895*N1895*O1895</f>
        <v/>
      </c>
      <c r="X1895" s="12">
        <f>IF(LEFT(I1895,2)="MV",2*N1895*IF(L1895="1/C",O1895,1),0)</f>
        <v/>
      </c>
      <c r="Y1895" s="12">
        <f>IF(OR(LEFT(K1895,4)="LVAX",LEFT(K1895,6)="MV15AX",LEFT(K1895,4)="CTAX",LEFT(K1895,2)="W|"),2*N1895*O1895,0)</f>
        <v/>
      </c>
      <c r="Z1895" s="12" t="inlineStr">
        <is>
          <t>VD 0.7 %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LVAX|3/C+G|4</t>
        </is>
      </c>
      <c r="L1896" s="12" t="inlineStr">
        <is>
          <t>3/C+G</t>
        </is>
      </c>
      <c r="M1896" s="12" t="inlineStr">
        <is>
          <t>4</t>
        </is>
      </c>
      <c r="N1896" s="12" t="n">
        <v>1</v>
      </c>
      <c r="O1896" s="12" t="n">
        <v>1</v>
      </c>
      <c r="P1896" s="12" t="n">
        <v>480</v>
      </c>
      <c r="Q1896" s="12" t="n">
        <v>22</v>
      </c>
      <c r="R1896" s="12" t="n">
        <v>31.1</v>
      </c>
      <c r="S1896" s="12" t="inlineStr">
        <is>
          <t>Tray</t>
        </is>
      </c>
      <c r="T1896" s="15" t="n">
        <v>414</v>
      </c>
      <c r="U1896" s="15" t="n">
        <v>117</v>
      </c>
      <c r="V1896" s="15">
        <f>ROUNDUP((T1896+U1896+2*'Read Me'!$B$13)*(1+'Read Me'!$B$12),-1)</f>
        <v/>
      </c>
      <c r="W1896" s="15">
        <f>V1896*N1896*O1896</f>
        <v/>
      </c>
      <c r="X1896" s="12">
        <f>IF(LEFT(I1896,2)="MV",2*N1896*IF(L1896="1/C",O1896,1),0)</f>
        <v/>
      </c>
      <c r="Y1896" s="12">
        <f>IF(OR(LEFT(K1896,4)="LVAX",LEFT(K1896,6)="MV15AX",LEFT(K1896,4)="CTAX",LEFT(K1896,2)="W|"),2*N1896*O1896,0)</f>
        <v/>
      </c>
      <c r="Z1896" s="12" t="inlineStr">
        <is>
          <t>VD 2.0 %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LVAX|3/C+G|4</t>
        </is>
      </c>
      <c r="L1897" s="12" t="inlineStr">
        <is>
          <t>3/C+G</t>
        </is>
      </c>
      <c r="M1897" s="12" t="inlineStr">
        <is>
          <t>4</t>
        </is>
      </c>
      <c r="N1897" s="12" t="n">
        <v>1</v>
      </c>
      <c r="O1897" s="12" t="n">
        <v>1</v>
      </c>
      <c r="P1897" s="12" t="n">
        <v>480</v>
      </c>
      <c r="Q1897" s="12" t="n">
        <v>22</v>
      </c>
      <c r="R1897" s="12" t="n">
        <v>31.1</v>
      </c>
      <c r="S1897" s="12" t="inlineStr">
        <is>
          <t>Tray</t>
        </is>
      </c>
      <c r="T1897" s="15" t="n">
        <v>414</v>
      </c>
      <c r="U1897" s="15" t="n">
        <v>117</v>
      </c>
      <c r="V1897" s="15">
        <f>ROUNDUP((T1897+U1897+2*'Read Me'!$B$13)*(1+'Read Me'!$B$12),-1)</f>
        <v/>
      </c>
      <c r="W1897" s="15">
        <f>V1897*N1897*O1897</f>
        <v/>
      </c>
      <c r="X1897" s="12">
        <f>IF(LEFT(I1897,2)="MV",2*N1897*IF(L1897="1/C",O1897,1),0)</f>
        <v/>
      </c>
      <c r="Y1897" s="12">
        <f>IF(OR(LEFT(K1897,4)="LVAX",LEFT(K1897,6)="MV15AX",LEFT(K1897,4)="CTAX",LEFT(K1897,2)="W|"),2*N1897*O1897,0)</f>
        <v/>
      </c>
      <c r="Z1897" s="12" t="inlineStr">
        <is>
          <t>VD 2.0 %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5" t="n">
        <v>431</v>
      </c>
      <c r="U1898" s="15" t="n">
        <v>135</v>
      </c>
      <c r="V1898" s="15">
        <f>ROUNDUP((T1898+U1898+2*'Read Me'!$B$13)*(1+'Read Me'!$B$12),-1)</f>
        <v/>
      </c>
      <c r="W1898" s="15">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5" t="n">
        <v>431</v>
      </c>
      <c r="U1899" s="15" t="n">
        <v>135</v>
      </c>
      <c r="V1899" s="15">
        <f>ROUNDUP((T1899+U1899+2*'Read Me'!$B$13)*(1+'Read Me'!$B$12),-1)</f>
        <v/>
      </c>
      <c r="W1899" s="15">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5" t="n">
        <v>609</v>
      </c>
      <c r="U1900" s="15" t="n">
        <v>133</v>
      </c>
      <c r="V1900" s="15">
        <f>ROUNDUP((T1900+U1900+2*'Read Me'!$B$13)*(1+'Read Me'!$B$12),-1)</f>
        <v/>
      </c>
      <c r="W1900" s="15">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5" t="n">
        <v>609</v>
      </c>
      <c r="U1901" s="15" t="n">
        <v>133</v>
      </c>
      <c r="V1901" s="15">
        <f>ROUNDUP((T1901+U1901+2*'Read Me'!$B$13)*(1+'Read Me'!$B$12),-1)</f>
        <v/>
      </c>
      <c r="W1901" s="15">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5" t="n">
        <v>637</v>
      </c>
      <c r="U1902" s="15" t="n">
        <v>102</v>
      </c>
      <c r="V1902" s="15">
        <f>ROUNDUP((T1902+U1902+2*'Read Me'!$B$13)*(1+'Read Me'!$B$12),-1)</f>
        <v/>
      </c>
      <c r="W1902" s="15">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5" t="n">
        <v>637</v>
      </c>
      <c r="U1903" s="15" t="n">
        <v>102</v>
      </c>
      <c r="V1903" s="15">
        <f>ROUNDUP((T1903+U1903+2*'Read Me'!$B$13)*(1+'Read Me'!$B$12),-1)</f>
        <v/>
      </c>
      <c r="W1903" s="15">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5" t="n">
        <v>662</v>
      </c>
      <c r="U1904" s="15" t="n">
        <v>141</v>
      </c>
      <c r="V1904" s="15">
        <f>ROUNDUP((T1904+U1904+2*'Read Me'!$B$13)*(1+'Read Me'!$B$12),-1)</f>
        <v/>
      </c>
      <c r="W1904" s="15">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5" t="n">
        <v>662</v>
      </c>
      <c r="U1905" s="15" t="n">
        <v>141</v>
      </c>
      <c r="V1905" s="15">
        <f>ROUNDUP((T1905+U1905+2*'Read Me'!$B$13)*(1+'Read Me'!$B$12),-1)</f>
        <v/>
      </c>
      <c r="W1905" s="15">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5" t="n">
        <v>836</v>
      </c>
      <c r="U1906" s="15" t="n">
        <v>68</v>
      </c>
      <c r="V1906" s="15">
        <f>ROUNDUP((T1906+U1906+2*'Read Me'!$B$13)*(1+'Read Me'!$B$12),-1)</f>
        <v/>
      </c>
      <c r="W1906" s="15">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5" t="n">
        <v>836</v>
      </c>
      <c r="U1907" s="15" t="n">
        <v>68</v>
      </c>
      <c r="V1907" s="15">
        <f>ROUNDUP((T1907+U1907+2*'Read Me'!$B$13)*(1+'Read Me'!$B$12),-1)</f>
        <v/>
      </c>
      <c r="W1907" s="15">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5" t="n">
        <v>684</v>
      </c>
      <c r="U1908" s="15" t="n">
        <v>68</v>
      </c>
      <c r="V1908" s="15">
        <f>ROUNDUP((T1908+U1908+2*'Read Me'!$B$13)*(1+'Read Me'!$B$12),-1)</f>
        <v/>
      </c>
      <c r="W1908" s="15">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5" t="n">
        <v>67</v>
      </c>
      <c r="U1909" s="15" t="n">
        <v>58</v>
      </c>
      <c r="V1909" s="15">
        <f>ROUNDUP((T1909+U1909+2*'Read Me'!$B$13)*(1+'Read Me'!$B$12),-1)</f>
        <v/>
      </c>
      <c r="W1909" s="15">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5" t="n">
        <v>610</v>
      </c>
      <c r="U1910" s="15" t="n">
        <v>74</v>
      </c>
      <c r="V1910" s="15">
        <f>ROUNDUP((T1910+U1910+2*'Read Me'!$B$13)*(1+'Read Me'!$B$12),-1)</f>
        <v/>
      </c>
      <c r="W1910" s="15">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5" t="n">
        <v>780</v>
      </c>
      <c r="U1911" s="15" t="n">
        <v>97</v>
      </c>
      <c r="V1911" s="15">
        <f>ROUNDUP((T1911+U1911+2*'Read Me'!$B$13)*(1+'Read Me'!$B$12),-1)</f>
        <v/>
      </c>
      <c r="W1911" s="15">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5" t="n">
        <v>1057</v>
      </c>
      <c r="U1912" s="15" t="n">
        <v>36</v>
      </c>
      <c r="V1912" s="15">
        <f>ROUNDUP((T1912+U1912+2*'Read Me'!$B$13)*(1+'Read Me'!$B$12),-1)</f>
        <v/>
      </c>
      <c r="W1912" s="15">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Conduit link</t>
        </is>
      </c>
      <c r="T1913" s="15" t="n">
        <v>159</v>
      </c>
      <c r="U1913" s="15" t="n">
        <v>111</v>
      </c>
      <c r="V1913" s="15">
        <f>ROUNDUP((T1913+U1913+2*'Read Me'!$B$13)*(1+'Read Me'!$B$12),-1)</f>
        <v/>
      </c>
      <c r="W1913" s="15">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Duct bank</t>
        </is>
      </c>
      <c r="T1914" s="15" t="n">
        <v>16</v>
      </c>
      <c r="U1914" s="15" t="n">
        <v>116</v>
      </c>
      <c r="V1914" s="15">
        <f>ROUNDUP((T1914+U1914+2*'Read Me'!$B$13)*(1+'Read Me'!$B$12),-1)</f>
        <v/>
      </c>
      <c r="W1914" s="15">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5" t="n">
        <v>16</v>
      </c>
      <c r="U1915" s="15" t="n">
        <v>56</v>
      </c>
      <c r="V1915" s="15">
        <f>ROUNDUP((T1915+U1915+2*'Read Me'!$B$13)*(1+'Read Me'!$B$12),-1)</f>
        <v/>
      </c>
      <c r="W1915" s="15">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5" t="n">
        <v>84</v>
      </c>
      <c r="U1916" s="15" t="n">
        <v>92</v>
      </c>
      <c r="V1916" s="15">
        <f>ROUNDUP((T1916+U1916+2*'Read Me'!$B$13)*(1+'Read Me'!$B$12),-1)</f>
        <v/>
      </c>
      <c r="W1916" s="15">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5" t="n">
        <v>512</v>
      </c>
      <c r="U1917" s="15" t="n">
        <v>141</v>
      </c>
      <c r="V1917" s="15">
        <f>ROUNDUP((T1917+U1917+2*'Read Me'!$B$13)*(1+'Read Me'!$B$12),-1)</f>
        <v/>
      </c>
      <c r="W1917" s="15">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5" t="n">
        <v>684</v>
      </c>
      <c r="U1918" s="15" t="n">
        <v>68</v>
      </c>
      <c r="V1918" s="15">
        <f>ROUNDUP((T1918+U1918+2*'Read Me'!$B$13)*(1+'Read Me'!$B$12),-1)</f>
        <v/>
      </c>
      <c r="W1918" s="15">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5" t="n">
        <v>816</v>
      </c>
      <c r="U1919" s="15" t="n">
        <v>152</v>
      </c>
      <c r="V1919" s="15">
        <f>ROUNDUP((T1919+U1919+2*'Read Me'!$B$13)*(1+'Read Me'!$B$12),-1)</f>
        <v/>
      </c>
      <c r="W1919" s="15">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5" t="n">
        <v>696</v>
      </c>
      <c r="U1920" s="15" t="n">
        <v>68</v>
      </c>
      <c r="V1920" s="15">
        <f>ROUNDUP((T1920+U1920+2*'Read Me'!$B$13)*(1+'Read Me'!$B$12),-1)</f>
        <v/>
      </c>
      <c r="W1920" s="15">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5" t="n">
        <v>101</v>
      </c>
      <c r="U1921" s="15" t="n">
        <v>36</v>
      </c>
      <c r="V1921" s="15">
        <f>ROUNDUP((T1921+U1921+2*'Read Me'!$B$13)*(1+'Read Me'!$B$12),-1)</f>
        <v/>
      </c>
      <c r="W1921" s="15">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Tray</t>
        </is>
      </c>
      <c r="T1922" s="15" t="n">
        <v>24</v>
      </c>
      <c r="U1922" s="15" t="n">
        <v>57</v>
      </c>
      <c r="V1922" s="15">
        <f>ROUNDUP((T1922+U1922+2*'Read Me'!$B$13)*(1+'Read Me'!$B$12),-1)</f>
        <v/>
      </c>
      <c r="W1922" s="15">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Tray</t>
        </is>
      </c>
      <c r="T1923" s="15" t="n">
        <v>24</v>
      </c>
      <c r="U1923" s="15" t="n">
        <v>57</v>
      </c>
      <c r="V1923" s="15">
        <f>ROUNDUP((T1923+U1923+2*'Read Me'!$B$13)*(1+'Read Me'!$B$12),-1)</f>
        <v/>
      </c>
      <c r="W1923" s="15">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Tray</t>
        </is>
      </c>
      <c r="T1924" s="15" t="n">
        <v>24</v>
      </c>
      <c r="U1924" s="15" t="n">
        <v>57</v>
      </c>
      <c r="V1924" s="15">
        <f>ROUNDUP((T1924+U1924+2*'Read Me'!$B$13)*(1+'Read Me'!$B$12),-1)</f>
        <v/>
      </c>
      <c r="W1924" s="15">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5" t="n">
        <v>690</v>
      </c>
      <c r="U1925" s="15" t="n">
        <v>90</v>
      </c>
      <c r="V1925" s="15">
        <f>ROUNDUP((T1925+U1925+2*'Read Me'!$B$13)*(1+'Read Me'!$B$12),-1)</f>
        <v/>
      </c>
      <c r="W1925" s="15">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5" t="n">
        <v>85</v>
      </c>
      <c r="U1926" s="15" t="n">
        <v>79</v>
      </c>
      <c r="V1926" s="15">
        <f>ROUNDUP((T1926+U1926+2*'Read Me'!$B$13)*(1+'Read Me'!$B$12),-1)</f>
        <v/>
      </c>
      <c r="W1926" s="15">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5" t="n">
        <v>11520</v>
      </c>
      <c r="U1927" s="15" t="n">
        <v>0</v>
      </c>
      <c r="V1927" s="15">
        <f>ROUNDUP((T1927+U1927+2*'Read Me'!$B$13)*(1+'Read Me'!$B$12),-1)</f>
        <v/>
      </c>
      <c r="W1927" s="15">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5" t="n">
        <v>623</v>
      </c>
      <c r="U1928" s="15" t="n">
        <v>72</v>
      </c>
      <c r="V1928" s="15">
        <f>ROUNDUP((T1928+U1928+2*'Read Me'!$B$13)*(1+'Read Me'!$B$12),-1)</f>
        <v/>
      </c>
      <c r="W1928" s="15">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5" t="n">
        <v>591</v>
      </c>
      <c r="U1929" s="15" t="n">
        <v>72</v>
      </c>
      <c r="V1929" s="15">
        <f>ROUNDUP((T1929+U1929+2*'Read Me'!$B$13)*(1+'Read Me'!$B$12),-1)</f>
        <v/>
      </c>
      <c r="W1929" s="15">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5" t="n">
        <v>559</v>
      </c>
      <c r="U1930" s="15" t="n">
        <v>72</v>
      </c>
      <c r="V1930" s="15">
        <f>ROUNDUP((T1930+U1930+2*'Read Me'!$B$13)*(1+'Read Me'!$B$12),-1)</f>
        <v/>
      </c>
      <c r="W1930" s="15">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5" t="n">
        <v>527</v>
      </c>
      <c r="U1931" s="15" t="n">
        <v>72</v>
      </c>
      <c r="V1931" s="15">
        <f>ROUNDUP((T1931+U1931+2*'Read Me'!$B$13)*(1+'Read Me'!$B$12),-1)</f>
        <v/>
      </c>
      <c r="W1931" s="15">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5" t="n">
        <v>495</v>
      </c>
      <c r="U1932" s="15" t="n">
        <v>72</v>
      </c>
      <c r="V1932" s="15">
        <f>ROUNDUP((T1932+U1932+2*'Read Me'!$B$13)*(1+'Read Me'!$B$12),-1)</f>
        <v/>
      </c>
      <c r="W1932" s="15">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5" t="n">
        <v>495</v>
      </c>
      <c r="U1933" s="15" t="n">
        <v>72</v>
      </c>
      <c r="V1933" s="15">
        <f>ROUNDUP((T1933+U1933+2*'Read Me'!$B$13)*(1+'Read Me'!$B$12),-1)</f>
        <v/>
      </c>
      <c r="W1933" s="15">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5" t="n">
        <v>527</v>
      </c>
      <c r="U1934" s="15" t="n">
        <v>72</v>
      </c>
      <c r="V1934" s="15">
        <f>ROUNDUP((T1934+U1934+2*'Read Me'!$B$13)*(1+'Read Me'!$B$12),-1)</f>
        <v/>
      </c>
      <c r="W1934" s="15">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5" t="n">
        <v>559</v>
      </c>
      <c r="U1935" s="15" t="n">
        <v>72</v>
      </c>
      <c r="V1935" s="15">
        <f>ROUNDUP((T1935+U1935+2*'Read Me'!$B$13)*(1+'Read Me'!$B$12),-1)</f>
        <v/>
      </c>
      <c r="W1935" s="15">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5" t="n">
        <v>591</v>
      </c>
      <c r="U1936" s="15" t="n">
        <v>72</v>
      </c>
      <c r="V1936" s="15">
        <f>ROUNDUP((T1936+U1936+2*'Read Me'!$B$13)*(1+'Read Me'!$B$12),-1)</f>
        <v/>
      </c>
      <c r="W1936" s="15">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5" t="n">
        <v>623</v>
      </c>
      <c r="U1937" s="15" t="n">
        <v>72</v>
      </c>
      <c r="V1937" s="15">
        <f>ROUNDUP((T1937+U1937+2*'Read Me'!$B$13)*(1+'Read Me'!$B$12),-1)</f>
        <v/>
      </c>
      <c r="W1937" s="15">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5" t="n">
        <v>573</v>
      </c>
      <c r="U1938" s="15" t="n">
        <v>72</v>
      </c>
      <c r="V1938" s="15">
        <f>ROUNDUP((T1938+U1938+2*'Read Me'!$B$13)*(1+'Read Me'!$B$12),-1)</f>
        <v/>
      </c>
      <c r="W1938" s="15">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5" t="n">
        <v>541</v>
      </c>
      <c r="U1939" s="15" t="n">
        <v>72</v>
      </c>
      <c r="V1939" s="15">
        <f>ROUNDUP((T1939+U1939+2*'Read Me'!$B$13)*(1+'Read Me'!$B$12),-1)</f>
        <v/>
      </c>
      <c r="W1939" s="15">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5" t="n">
        <v>509</v>
      </c>
      <c r="U1940" s="15" t="n">
        <v>72</v>
      </c>
      <c r="V1940" s="15">
        <f>ROUNDUP((T1940+U1940+2*'Read Me'!$B$13)*(1+'Read Me'!$B$12),-1)</f>
        <v/>
      </c>
      <c r="W1940" s="15">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5" t="n">
        <v>477</v>
      </c>
      <c r="U1941" s="15" t="n">
        <v>72</v>
      </c>
      <c r="V1941" s="15">
        <f>ROUNDUP((T1941+U1941+2*'Read Me'!$B$13)*(1+'Read Me'!$B$12),-1)</f>
        <v/>
      </c>
      <c r="W1941" s="15">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5" t="n">
        <v>445</v>
      </c>
      <c r="U1942" s="15" t="n">
        <v>72</v>
      </c>
      <c r="V1942" s="15">
        <f>ROUNDUP((T1942+U1942+2*'Read Me'!$B$13)*(1+'Read Me'!$B$12),-1)</f>
        <v/>
      </c>
      <c r="W1942" s="15">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5" t="n">
        <v>445</v>
      </c>
      <c r="U1943" s="15" t="n">
        <v>72</v>
      </c>
      <c r="V1943" s="15">
        <f>ROUNDUP((T1943+U1943+2*'Read Me'!$B$13)*(1+'Read Me'!$B$12),-1)</f>
        <v/>
      </c>
      <c r="W1943" s="15">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5" t="n">
        <v>477</v>
      </c>
      <c r="U1944" s="15" t="n">
        <v>72</v>
      </c>
      <c r="V1944" s="15">
        <f>ROUNDUP((T1944+U1944+2*'Read Me'!$B$13)*(1+'Read Me'!$B$12),-1)</f>
        <v/>
      </c>
      <c r="W1944" s="15">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5" t="n">
        <v>509</v>
      </c>
      <c r="U1945" s="15" t="n">
        <v>72</v>
      </c>
      <c r="V1945" s="15">
        <f>ROUNDUP((T1945+U1945+2*'Read Me'!$B$13)*(1+'Read Me'!$B$12),-1)</f>
        <v/>
      </c>
      <c r="W1945" s="15">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5" t="n">
        <v>541</v>
      </c>
      <c r="U1946" s="15" t="n">
        <v>72</v>
      </c>
      <c r="V1946" s="15">
        <f>ROUNDUP((T1946+U1946+2*'Read Me'!$B$13)*(1+'Read Me'!$B$12),-1)</f>
        <v/>
      </c>
      <c r="W1946" s="15">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5" t="n">
        <v>573</v>
      </c>
      <c r="U1947" s="15" t="n">
        <v>72</v>
      </c>
      <c r="V1947" s="15">
        <f>ROUNDUP((T1947+U1947+2*'Read Me'!$B$13)*(1+'Read Me'!$B$12),-1)</f>
        <v/>
      </c>
      <c r="W1947" s="15">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5" t="n">
        <v>523</v>
      </c>
      <c r="U1948" s="15" t="n">
        <v>72</v>
      </c>
      <c r="V1948" s="15">
        <f>ROUNDUP((T1948+U1948+2*'Read Me'!$B$13)*(1+'Read Me'!$B$12),-1)</f>
        <v/>
      </c>
      <c r="W1948" s="15">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5" t="n">
        <v>491</v>
      </c>
      <c r="U1949" s="15" t="n">
        <v>72</v>
      </c>
      <c r="V1949" s="15">
        <f>ROUNDUP((T1949+U1949+2*'Read Me'!$B$13)*(1+'Read Me'!$B$12),-1)</f>
        <v/>
      </c>
      <c r="W1949" s="15">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5" t="n">
        <v>459</v>
      </c>
      <c r="U1950" s="15" t="n">
        <v>72</v>
      </c>
      <c r="V1950" s="15">
        <f>ROUNDUP((T1950+U1950+2*'Read Me'!$B$13)*(1+'Read Me'!$B$12),-1)</f>
        <v/>
      </c>
      <c r="W1950" s="15">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5" t="n">
        <v>427</v>
      </c>
      <c r="U1951" s="15" t="n">
        <v>72</v>
      </c>
      <c r="V1951" s="15">
        <f>ROUNDUP((T1951+U1951+2*'Read Me'!$B$13)*(1+'Read Me'!$B$12),-1)</f>
        <v/>
      </c>
      <c r="W1951" s="15">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5" t="n">
        <v>395</v>
      </c>
      <c r="U1952" s="15" t="n">
        <v>72</v>
      </c>
      <c r="V1952" s="15">
        <f>ROUNDUP((T1952+U1952+2*'Read Me'!$B$13)*(1+'Read Me'!$B$12),-1)</f>
        <v/>
      </c>
      <c r="W1952" s="15">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5" t="n">
        <v>395</v>
      </c>
      <c r="U1953" s="15" t="n">
        <v>72</v>
      </c>
      <c r="V1953" s="15">
        <f>ROUNDUP((T1953+U1953+2*'Read Me'!$B$13)*(1+'Read Me'!$B$12),-1)</f>
        <v/>
      </c>
      <c r="W1953" s="15">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5" t="n">
        <v>427</v>
      </c>
      <c r="U1954" s="15" t="n">
        <v>72</v>
      </c>
      <c r="V1954" s="15">
        <f>ROUNDUP((T1954+U1954+2*'Read Me'!$B$13)*(1+'Read Me'!$B$12),-1)</f>
        <v/>
      </c>
      <c r="W1954" s="15">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5" t="n">
        <v>459</v>
      </c>
      <c r="U1955" s="15" t="n">
        <v>72</v>
      </c>
      <c r="V1955" s="15">
        <f>ROUNDUP((T1955+U1955+2*'Read Me'!$B$13)*(1+'Read Me'!$B$12),-1)</f>
        <v/>
      </c>
      <c r="W1955" s="15">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5" t="n">
        <v>491</v>
      </c>
      <c r="U1956" s="15" t="n">
        <v>72</v>
      </c>
      <c r="V1956" s="15">
        <f>ROUNDUP((T1956+U1956+2*'Read Me'!$B$13)*(1+'Read Me'!$B$12),-1)</f>
        <v/>
      </c>
      <c r="W1956" s="15">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5" t="n">
        <v>523</v>
      </c>
      <c r="U1957" s="15" t="n">
        <v>72</v>
      </c>
      <c r="V1957" s="15">
        <f>ROUNDUP((T1957+U1957+2*'Read Me'!$B$13)*(1+'Read Me'!$B$12),-1)</f>
        <v/>
      </c>
      <c r="W1957" s="15">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5" t="n">
        <v>473</v>
      </c>
      <c r="U1958" s="15" t="n">
        <v>72</v>
      </c>
      <c r="V1958" s="15">
        <f>ROUNDUP((T1958+U1958+2*'Read Me'!$B$13)*(1+'Read Me'!$B$12),-1)</f>
        <v/>
      </c>
      <c r="W1958" s="15">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5" t="n">
        <v>441</v>
      </c>
      <c r="U1959" s="15" t="n">
        <v>72</v>
      </c>
      <c r="V1959" s="15">
        <f>ROUNDUP((T1959+U1959+2*'Read Me'!$B$13)*(1+'Read Me'!$B$12),-1)</f>
        <v/>
      </c>
      <c r="W1959" s="15">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5" t="n">
        <v>409</v>
      </c>
      <c r="U1960" s="15" t="n">
        <v>72</v>
      </c>
      <c r="V1960" s="15">
        <f>ROUNDUP((T1960+U1960+2*'Read Me'!$B$13)*(1+'Read Me'!$B$12),-1)</f>
        <v/>
      </c>
      <c r="W1960" s="15">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5" t="n">
        <v>377</v>
      </c>
      <c r="U1961" s="15" t="n">
        <v>72</v>
      </c>
      <c r="V1961" s="15">
        <f>ROUNDUP((T1961+U1961+2*'Read Me'!$B$13)*(1+'Read Me'!$B$12),-1)</f>
        <v/>
      </c>
      <c r="W1961" s="15">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5" t="n">
        <v>345</v>
      </c>
      <c r="U1962" s="15" t="n">
        <v>72</v>
      </c>
      <c r="V1962" s="15">
        <f>ROUNDUP((T1962+U1962+2*'Read Me'!$B$13)*(1+'Read Me'!$B$12),-1)</f>
        <v/>
      </c>
      <c r="W1962" s="15">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5" t="n">
        <v>345</v>
      </c>
      <c r="U1963" s="15" t="n">
        <v>72</v>
      </c>
      <c r="V1963" s="15">
        <f>ROUNDUP((T1963+U1963+2*'Read Me'!$B$13)*(1+'Read Me'!$B$12),-1)</f>
        <v/>
      </c>
      <c r="W1963" s="15">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5" t="n">
        <v>377</v>
      </c>
      <c r="U1964" s="15" t="n">
        <v>72</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5" t="n">
        <v>409</v>
      </c>
      <c r="U1965" s="15" t="n">
        <v>72</v>
      </c>
      <c r="V1965" s="15">
        <f>ROUNDUP((T1965+U1965+2*'Read Me'!$B$13)*(1+'Read Me'!$B$12),-1)</f>
        <v/>
      </c>
      <c r="W1965" s="15">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5" t="n">
        <v>441</v>
      </c>
      <c r="U1966" s="15" t="n">
        <v>72</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5" t="n">
        <v>473</v>
      </c>
      <c r="U1967" s="15" t="n">
        <v>72</v>
      </c>
      <c r="V1967" s="15">
        <f>ROUNDUP((T1967+U1967+2*'Read Me'!$B$13)*(1+'Read Me'!$B$12),-1)</f>
        <v/>
      </c>
      <c r="W1967" s="15">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5" t="n">
        <v>473</v>
      </c>
      <c r="U1968" s="15" t="n">
        <v>72</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5" t="n">
        <v>441</v>
      </c>
      <c r="U1969" s="15" t="n">
        <v>72</v>
      </c>
      <c r="V1969" s="15">
        <f>ROUNDUP((T1969+U1969+2*'Read Me'!$B$13)*(1+'Read Me'!$B$12),-1)</f>
        <v/>
      </c>
      <c r="W1969" s="15">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5" t="n">
        <v>409</v>
      </c>
      <c r="U1970" s="15" t="n">
        <v>72</v>
      </c>
      <c r="V1970" s="15">
        <f>ROUNDUP((T1970+U1970+2*'Read Me'!$B$13)*(1+'Read Me'!$B$12),-1)</f>
        <v/>
      </c>
      <c r="W1970" s="15">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5" t="n">
        <v>377</v>
      </c>
      <c r="U1971" s="15" t="n">
        <v>72</v>
      </c>
      <c r="V1971" s="15">
        <f>ROUNDUP((T1971+U1971+2*'Read Me'!$B$13)*(1+'Read Me'!$B$12),-1)</f>
        <v/>
      </c>
      <c r="W1971" s="15">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5" t="n">
        <v>345</v>
      </c>
      <c r="U1972" s="15" t="n">
        <v>72</v>
      </c>
      <c r="V1972" s="15">
        <f>ROUNDUP((T1972+U1972+2*'Read Me'!$B$13)*(1+'Read Me'!$B$12),-1)</f>
        <v/>
      </c>
      <c r="W1972" s="15">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5" t="n">
        <v>345</v>
      </c>
      <c r="U1973" s="15" t="n">
        <v>72</v>
      </c>
      <c r="V1973" s="15">
        <f>ROUNDUP((T1973+U1973+2*'Read Me'!$B$13)*(1+'Read Me'!$B$12),-1)</f>
        <v/>
      </c>
      <c r="W1973" s="15">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5" t="n">
        <v>377</v>
      </c>
      <c r="U1974" s="15" t="n">
        <v>72</v>
      </c>
      <c r="V1974" s="15">
        <f>ROUNDUP((T1974+U1974+2*'Read Me'!$B$13)*(1+'Read Me'!$B$12),-1)</f>
        <v/>
      </c>
      <c r="W1974" s="15">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5" t="n">
        <v>409</v>
      </c>
      <c r="U1975" s="15" t="n">
        <v>72</v>
      </c>
      <c r="V1975" s="15">
        <f>ROUNDUP((T1975+U1975+2*'Read Me'!$B$13)*(1+'Read Me'!$B$12),-1)</f>
        <v/>
      </c>
      <c r="W1975" s="15">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5" t="n">
        <v>441</v>
      </c>
      <c r="U1976" s="15" t="n">
        <v>72</v>
      </c>
      <c r="V1976" s="15">
        <f>ROUNDUP((T1976+U1976+2*'Read Me'!$B$13)*(1+'Read Me'!$B$12),-1)</f>
        <v/>
      </c>
      <c r="W1976" s="15">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5" t="n">
        <v>473</v>
      </c>
      <c r="U1977" s="15" t="n">
        <v>72</v>
      </c>
      <c r="V1977" s="15">
        <f>ROUNDUP((T1977+U1977+2*'Read Me'!$B$13)*(1+'Read Me'!$B$12),-1)</f>
        <v/>
      </c>
      <c r="W1977" s="15">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5" t="n">
        <v>523</v>
      </c>
      <c r="U1978" s="15" t="n">
        <v>72</v>
      </c>
      <c r="V1978" s="15">
        <f>ROUNDUP((T1978+U1978+2*'Read Me'!$B$13)*(1+'Read Me'!$B$12),-1)</f>
        <v/>
      </c>
      <c r="W1978" s="15">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5" t="n">
        <v>491</v>
      </c>
      <c r="U1979" s="15" t="n">
        <v>72</v>
      </c>
      <c r="V1979" s="15">
        <f>ROUNDUP((T1979+U1979+2*'Read Me'!$B$13)*(1+'Read Me'!$B$12),-1)</f>
        <v/>
      </c>
      <c r="W1979" s="15">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5" t="n">
        <v>459</v>
      </c>
      <c r="U1980" s="15" t="n">
        <v>72</v>
      </c>
      <c r="V1980" s="15">
        <f>ROUNDUP((T1980+U1980+2*'Read Me'!$B$13)*(1+'Read Me'!$B$12),-1)</f>
        <v/>
      </c>
      <c r="W1980" s="15">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5" t="n">
        <v>427</v>
      </c>
      <c r="U1981" s="15" t="n">
        <v>72</v>
      </c>
      <c r="V1981" s="15">
        <f>ROUNDUP((T1981+U1981+2*'Read Me'!$B$13)*(1+'Read Me'!$B$12),-1)</f>
        <v/>
      </c>
      <c r="W1981" s="15">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5" t="n">
        <v>395</v>
      </c>
      <c r="U1982" s="15" t="n">
        <v>72</v>
      </c>
      <c r="V1982" s="15">
        <f>ROUNDUP((T1982+U1982+2*'Read Me'!$B$13)*(1+'Read Me'!$B$12),-1)</f>
        <v/>
      </c>
      <c r="W1982" s="15">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5" t="n">
        <v>395</v>
      </c>
      <c r="U1983" s="15" t="n">
        <v>72</v>
      </c>
      <c r="V1983" s="15">
        <f>ROUNDUP((T1983+U1983+2*'Read Me'!$B$13)*(1+'Read Me'!$B$12),-1)</f>
        <v/>
      </c>
      <c r="W1983" s="15">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5" t="n">
        <v>427</v>
      </c>
      <c r="U1984" s="15" t="n">
        <v>72</v>
      </c>
      <c r="V1984" s="15">
        <f>ROUNDUP((T1984+U1984+2*'Read Me'!$B$13)*(1+'Read Me'!$B$12),-1)</f>
        <v/>
      </c>
      <c r="W1984" s="15">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5" t="n">
        <v>459</v>
      </c>
      <c r="U1985" s="15" t="n">
        <v>72</v>
      </c>
      <c r="V1985" s="15">
        <f>ROUNDUP((T1985+U1985+2*'Read Me'!$B$13)*(1+'Read Me'!$B$12),-1)</f>
        <v/>
      </c>
      <c r="W1985" s="15">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5" t="n">
        <v>491</v>
      </c>
      <c r="U1986" s="15" t="n">
        <v>72</v>
      </c>
      <c r="V1986" s="15">
        <f>ROUNDUP((T1986+U1986+2*'Read Me'!$B$13)*(1+'Read Me'!$B$12),-1)</f>
        <v/>
      </c>
      <c r="W1986" s="15">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5" t="n">
        <v>523</v>
      </c>
      <c r="U1987" s="15" t="n">
        <v>72</v>
      </c>
      <c r="V1987" s="15">
        <f>ROUNDUP((T1987+U1987+2*'Read Me'!$B$13)*(1+'Read Me'!$B$12),-1)</f>
        <v/>
      </c>
      <c r="W1987" s="15">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5" t="n">
        <v>573</v>
      </c>
      <c r="U1988" s="15" t="n">
        <v>72</v>
      </c>
      <c r="V1988" s="15">
        <f>ROUNDUP((T1988+U1988+2*'Read Me'!$B$13)*(1+'Read Me'!$B$12),-1)</f>
        <v/>
      </c>
      <c r="W1988" s="15">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5" t="n">
        <v>541</v>
      </c>
      <c r="U1989" s="15" t="n">
        <v>72</v>
      </c>
      <c r="V1989" s="15">
        <f>ROUNDUP((T1989+U1989+2*'Read Me'!$B$13)*(1+'Read Me'!$B$12),-1)</f>
        <v/>
      </c>
      <c r="W1989" s="15">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5" t="n">
        <v>509</v>
      </c>
      <c r="U1990" s="15" t="n">
        <v>72</v>
      </c>
      <c r="V1990" s="15">
        <f>ROUNDUP((T1990+U1990+2*'Read Me'!$B$13)*(1+'Read Me'!$B$12),-1)</f>
        <v/>
      </c>
      <c r="W1990" s="15">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5" t="n">
        <v>477</v>
      </c>
      <c r="U1991" s="15" t="n">
        <v>72</v>
      </c>
      <c r="V1991" s="15">
        <f>ROUNDUP((T1991+U1991+2*'Read Me'!$B$13)*(1+'Read Me'!$B$12),-1)</f>
        <v/>
      </c>
      <c r="W1991" s="15">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5" t="n">
        <v>445</v>
      </c>
      <c r="U1992" s="15" t="n">
        <v>72</v>
      </c>
      <c r="V1992" s="15">
        <f>ROUNDUP((T1992+U1992+2*'Read Me'!$B$13)*(1+'Read Me'!$B$12),-1)</f>
        <v/>
      </c>
      <c r="W1992" s="15">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5" t="n">
        <v>445</v>
      </c>
      <c r="U1993" s="15" t="n">
        <v>72</v>
      </c>
      <c r="V1993" s="15">
        <f>ROUNDUP((T1993+U1993+2*'Read Me'!$B$13)*(1+'Read Me'!$B$12),-1)</f>
        <v/>
      </c>
      <c r="W1993" s="15">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5" t="n">
        <v>477</v>
      </c>
      <c r="U1994" s="15" t="n">
        <v>72</v>
      </c>
      <c r="V1994" s="15">
        <f>ROUNDUP((T1994+U1994+2*'Read Me'!$B$13)*(1+'Read Me'!$B$12),-1)</f>
        <v/>
      </c>
      <c r="W1994" s="15">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5" t="n">
        <v>509</v>
      </c>
      <c r="U1995" s="15" t="n">
        <v>72</v>
      </c>
      <c r="V1995" s="15">
        <f>ROUNDUP((T1995+U1995+2*'Read Me'!$B$13)*(1+'Read Me'!$B$12),-1)</f>
        <v/>
      </c>
      <c r="W1995" s="15">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5" t="n">
        <v>541</v>
      </c>
      <c r="U1996" s="15" t="n">
        <v>72</v>
      </c>
      <c r="V1996" s="15">
        <f>ROUNDUP((T1996+U1996+2*'Read Me'!$B$13)*(1+'Read Me'!$B$12),-1)</f>
        <v/>
      </c>
      <c r="W1996" s="15">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5" t="n">
        <v>573</v>
      </c>
      <c r="U1997" s="15" t="n">
        <v>72</v>
      </c>
      <c r="V1997" s="15">
        <f>ROUNDUP((T1997+U1997+2*'Read Me'!$B$13)*(1+'Read Me'!$B$12),-1)</f>
        <v/>
      </c>
      <c r="W1997" s="15">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5" t="n">
        <v>623</v>
      </c>
      <c r="U1998" s="15" t="n">
        <v>72</v>
      </c>
      <c r="V1998" s="15">
        <f>ROUNDUP((T1998+U1998+2*'Read Me'!$B$13)*(1+'Read Me'!$B$12),-1)</f>
        <v/>
      </c>
      <c r="W1998" s="15">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5" t="n">
        <v>591</v>
      </c>
      <c r="U1999" s="15" t="n">
        <v>72</v>
      </c>
      <c r="V1999" s="15">
        <f>ROUNDUP((T1999+U1999+2*'Read Me'!$B$13)*(1+'Read Me'!$B$12),-1)</f>
        <v/>
      </c>
      <c r="W1999" s="15">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5" t="n">
        <v>559</v>
      </c>
      <c r="U2000" s="15" t="n">
        <v>72</v>
      </c>
      <c r="V2000" s="15">
        <f>ROUNDUP((T2000+U2000+2*'Read Me'!$B$13)*(1+'Read Me'!$B$12),-1)</f>
        <v/>
      </c>
      <c r="W2000" s="15">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5" t="n">
        <v>527</v>
      </c>
      <c r="U2001" s="15" t="n">
        <v>72</v>
      </c>
      <c r="V2001" s="15">
        <f>ROUNDUP((T2001+U2001+2*'Read Me'!$B$13)*(1+'Read Me'!$B$12),-1)</f>
        <v/>
      </c>
      <c r="W2001" s="15">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5" t="n">
        <v>495</v>
      </c>
      <c r="U2002" s="15" t="n">
        <v>72</v>
      </c>
      <c r="V2002" s="15">
        <f>ROUNDUP((T2002+U2002+2*'Read Me'!$B$13)*(1+'Read Me'!$B$12),-1)</f>
        <v/>
      </c>
      <c r="W2002" s="15">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5" t="n">
        <v>495</v>
      </c>
      <c r="U2003" s="15" t="n">
        <v>72</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5" t="n">
        <v>527</v>
      </c>
      <c r="U2004" s="15" t="n">
        <v>72</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5" t="n">
        <v>559</v>
      </c>
      <c r="U2005" s="15" t="n">
        <v>72</v>
      </c>
      <c r="V2005" s="15">
        <f>ROUNDUP((T2005+U2005+2*'Read Me'!$B$13)*(1+'Read Me'!$B$12),-1)</f>
        <v/>
      </c>
      <c r="W2005" s="15">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5" t="n">
        <v>591</v>
      </c>
      <c r="U2006" s="15" t="n">
        <v>72</v>
      </c>
      <c r="V2006" s="15">
        <f>ROUNDUP((T2006+U2006+2*'Read Me'!$B$13)*(1+'Read Me'!$B$12),-1)</f>
        <v/>
      </c>
      <c r="W2006" s="15">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5" t="n">
        <v>623</v>
      </c>
      <c r="U2007" s="15" t="n">
        <v>72</v>
      </c>
      <c r="V2007" s="15">
        <f>ROUNDUP((T2007+U2007+2*'Read Me'!$B$13)*(1+'Read Me'!$B$12),-1)</f>
        <v/>
      </c>
      <c r="W2007" s="15">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5" t="n">
        <v>225</v>
      </c>
      <c r="U2008" s="15" t="n">
        <v>86</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5" t="n">
        <v>225</v>
      </c>
      <c r="U2009" s="15" t="n">
        <v>86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5" t="n">
        <v>225</v>
      </c>
      <c r="U2010" s="15" t="n">
        <v>86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5" t="n">
        <v>225</v>
      </c>
      <c r="U2011" s="15" t="n">
        <v>86</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5" t="n">
        <v>225</v>
      </c>
      <c r="U2012" s="15" t="n">
        <v>86</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5" t="n">
        <v>225</v>
      </c>
      <c r="U2013" s="15" t="n">
        <v>86</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5" t="n">
        <v>225</v>
      </c>
      <c r="U2014" s="15" t="n">
        <v>86</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5" t="n">
        <v>225</v>
      </c>
      <c r="U2015" s="15" t="n">
        <v>86</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5" t="n">
        <v>225</v>
      </c>
      <c r="U2016" s="15" t="n">
        <v>86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5" t="n">
        <v>225</v>
      </c>
      <c r="U2017" s="15" t="n">
        <v>86</v>
      </c>
      <c r="V2017" s="15">
        <f>ROUNDUP((T2017+U2017+2*'Read Me'!$B$13)*(1+'Read Me'!$B$12),-1)</f>
        <v/>
      </c>
      <c r="W2017" s="15">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5" t="n">
        <v>225</v>
      </c>
      <c r="U2018" s="15" t="n">
        <v>86</v>
      </c>
      <c r="V2018" s="15">
        <f>ROUNDUP((T2018+U2018+2*'Read Me'!$B$13)*(1+'Read Me'!$B$12),-1)</f>
        <v/>
      </c>
      <c r="W2018" s="15">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5" t="n">
        <v>225</v>
      </c>
      <c r="U2019" s="15" t="n">
        <v>86</v>
      </c>
      <c r="V2019" s="15">
        <f>ROUNDUP((T2019+U2019+2*'Read Me'!$B$13)*(1+'Read Me'!$B$12),-1)</f>
        <v/>
      </c>
      <c r="W2019" s="15">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5" t="n">
        <v>225</v>
      </c>
      <c r="U2020" s="15" t="n">
        <v>86</v>
      </c>
      <c r="V2020" s="15">
        <f>ROUNDUP((T2020+U2020+2*'Read Me'!$B$13)*(1+'Read Me'!$B$12),-1)</f>
        <v/>
      </c>
      <c r="W2020" s="15">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5" t="n">
        <v>225</v>
      </c>
      <c r="U2021" s="15" t="n">
        <v>86</v>
      </c>
      <c r="V2021" s="15">
        <f>ROUNDUP((T2021+U2021+2*'Read Me'!$B$13)*(1+'Read Me'!$B$12),-1)</f>
        <v/>
      </c>
      <c r="W2021" s="15">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5" t="n">
        <v>225</v>
      </c>
      <c r="U2022" s="15" t="n">
        <v>86</v>
      </c>
      <c r="V2022" s="15">
        <f>ROUNDUP((T2022+U2022+2*'Read Me'!$B$13)*(1+'Read Me'!$B$12),-1)</f>
        <v/>
      </c>
      <c r="W2022" s="15">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5" t="n">
        <v>225</v>
      </c>
      <c r="U2023" s="15" t="n">
        <v>86</v>
      </c>
      <c r="V2023" s="15">
        <f>ROUNDUP((T2023+U2023+2*'Read Me'!$B$13)*(1+'Read Me'!$B$12),-1)</f>
        <v/>
      </c>
      <c r="W2023" s="15">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5" t="n">
        <v>225</v>
      </c>
      <c r="U2024" s="15" t="n">
        <v>86</v>
      </c>
      <c r="V2024" s="15">
        <f>ROUNDUP((T2024+U2024+2*'Read Me'!$B$13)*(1+'Read Me'!$B$12),-1)</f>
        <v/>
      </c>
      <c r="W2024" s="15">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5" t="n">
        <v>225</v>
      </c>
      <c r="U2025" s="15" t="n">
        <v>86</v>
      </c>
      <c r="V2025" s="15">
        <f>ROUNDUP((T2025+U2025+2*'Read Me'!$B$13)*(1+'Read Me'!$B$12),-1)</f>
        <v/>
      </c>
      <c r="W2025" s="15">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5" t="n">
        <v>225</v>
      </c>
      <c r="U2026" s="15" t="n">
        <v>86</v>
      </c>
      <c r="V2026" s="15">
        <f>ROUNDUP((T2026+U2026+2*'Read Me'!$B$13)*(1+'Read Me'!$B$12),-1)</f>
        <v/>
      </c>
      <c r="W2026" s="15">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5" t="n">
        <v>225</v>
      </c>
      <c r="U2027" s="15" t="n">
        <v>86</v>
      </c>
      <c r="V2027" s="15">
        <f>ROUNDUP((T2027+U2027+2*'Read Me'!$B$13)*(1+'Read Me'!$B$12),-1)</f>
        <v/>
      </c>
      <c r="W2027" s="15">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5" t="n">
        <v>225</v>
      </c>
      <c r="U2028" s="15" t="n">
        <v>86</v>
      </c>
      <c r="V2028" s="15">
        <f>ROUNDUP((T2028+U2028+2*'Read Me'!$B$13)*(1+'Read Me'!$B$12),-1)</f>
        <v/>
      </c>
      <c r="W2028" s="15">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5" t="n">
        <v>225</v>
      </c>
      <c r="U2029" s="15" t="n">
        <v>86</v>
      </c>
      <c r="V2029" s="15">
        <f>ROUNDUP((T2029+U2029+2*'Read Me'!$B$13)*(1+'Read Me'!$B$12),-1)</f>
        <v/>
      </c>
      <c r="W2029" s="15">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5" t="n">
        <v>225</v>
      </c>
      <c r="U2030" s="15" t="n">
        <v>86</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5" t="n">
        <v>225</v>
      </c>
      <c r="U2031" s="15" t="n">
        <v>86</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5" t="n">
        <v>225</v>
      </c>
      <c r="U2032" s="15" t="n">
        <v>86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5" t="n">
        <v>225</v>
      </c>
      <c r="U2033" s="15" t="n">
        <v>86</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5" t="n">
        <v>225</v>
      </c>
      <c r="U2034" s="15" t="n">
        <v>86</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5" t="n">
        <v>225</v>
      </c>
      <c r="U2035" s="15" t="n">
        <v>86</v>
      </c>
      <c r="V2035" s="15">
        <f>ROUNDUP((T2035+U2035+2*'Read Me'!$B$13)*(1+'Read Me'!$B$12),-1)</f>
        <v/>
      </c>
      <c r="W2035" s="15">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5" t="n">
        <v>225</v>
      </c>
      <c r="U2036" s="15" t="n">
        <v>86</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5" t="n">
        <v>225</v>
      </c>
      <c r="U2037" s="15" t="n">
        <v>86</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681</v>
      </c>
      <c r="U2038" s="15" t="n">
        <v>128</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681</v>
      </c>
      <c r="U2039" s="15" t="n">
        <v>128</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681</v>
      </c>
      <c r="U2040" s="15" t="n">
        <v>128</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681</v>
      </c>
      <c r="U2041" s="15" t="n">
        <v>128</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681</v>
      </c>
      <c r="U2042" s="15" t="n">
        <v>128</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681</v>
      </c>
      <c r="U2043" s="15" t="n">
        <v>128</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681</v>
      </c>
      <c r="U2044" s="15" t="n">
        <v>128</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681</v>
      </c>
      <c r="U2045" s="15" t="n">
        <v>128</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681</v>
      </c>
      <c r="U2046" s="15" t="n">
        <v>128</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681</v>
      </c>
      <c r="U2047" s="15" t="n">
        <v>128</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681</v>
      </c>
      <c r="U2048" s="15" t="n">
        <v>128</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681</v>
      </c>
      <c r="U2049" s="15" t="n">
        <v>128</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690</v>
      </c>
      <c r="U2050" s="15" t="n">
        <v>92</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690</v>
      </c>
      <c r="U2051" s="15" t="n">
        <v>92</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5</v>
      </c>
      <c r="U2052" s="15" t="n">
        <v>94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5" t="n">
        <v>5</v>
      </c>
      <c r="U2053" s="15" t="n">
        <v>94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5" t="n">
        <v>5</v>
      </c>
      <c r="U2054" s="15" t="n">
        <v>94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5" t="n">
        <v>5</v>
      </c>
      <c r="U2055" s="15" t="n">
        <v>94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5</v>
      </c>
      <c r="U2056" s="15" t="n">
        <v>106</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5" t="n">
        <v>5</v>
      </c>
      <c r="U2057" s="15" t="n">
        <v>106</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5" t="n">
        <v>5</v>
      </c>
      <c r="U2058" s="15" t="n">
        <v>106</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5" t="n">
        <v>5</v>
      </c>
      <c r="U2059" s="15" t="n">
        <v>106</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0</v>
      </c>
      <c r="U2060" s="15" t="n">
        <v>93</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5" t="n">
        <v>0</v>
      </c>
      <c r="U2061" s="15" t="n">
        <v>93</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5" t="n">
        <v>0</v>
      </c>
      <c r="U2062" s="15" t="n">
        <v>93</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5" t="n">
        <v>0</v>
      </c>
      <c r="U2063" s="15" t="n">
        <v>93</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0</v>
      </c>
      <c r="U2064" s="15" t="n">
        <v>81</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5" t="n">
        <v>0</v>
      </c>
      <c r="U2065" s="15" t="n">
        <v>81</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5" t="n">
        <v>0</v>
      </c>
      <c r="U2066" s="15" t="n">
        <v>81</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5" t="n">
        <v>0</v>
      </c>
      <c r="U2067" s="15" t="n">
        <v>81</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0</v>
      </c>
      <c r="U2068" s="15" t="n">
        <v>72</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0</v>
      </c>
      <c r="U2069" s="15" t="n">
        <v>72</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5" t="n">
        <v>0</v>
      </c>
      <c r="U2070" s="15" t="n">
        <v>72</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5" t="n">
        <v>0</v>
      </c>
      <c r="U2071" s="15" t="n">
        <v>72</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5" t="n">
        <v>0</v>
      </c>
      <c r="U2072" s="15" t="n">
        <v>72</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5" t="n">
        <v>0</v>
      </c>
      <c r="U2073" s="15" t="n">
        <v>72</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5" t="n">
        <v>0</v>
      </c>
      <c r="U2074" s="15" t="n">
        <v>72</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5" t="n">
        <v>0</v>
      </c>
      <c r="U2075" s="15" t="n">
        <v>72</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5" t="n">
        <v>141</v>
      </c>
      <c r="U2076" s="15" t="n">
        <v>83</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5" t="n">
        <v>141</v>
      </c>
      <c r="U2077" s="15" t="n">
        <v>83</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5" t="n">
        <v>141</v>
      </c>
      <c r="U2078" s="15" t="n">
        <v>83</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5" t="n">
        <v>141</v>
      </c>
      <c r="U2079" s="15" t="n">
        <v>83</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5" t="n">
        <v>141</v>
      </c>
      <c r="U2080" s="15" t="n">
        <v>83</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5" t="n">
        <v>141</v>
      </c>
      <c r="U2081" s="15" t="n">
        <v>83</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5" t="n">
        <v>167</v>
      </c>
      <c r="U2082" s="15" t="n">
        <v>83</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5" t="n">
        <v>167</v>
      </c>
      <c r="U2083" s="15" t="n">
        <v>83</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5" t="n">
        <v>167</v>
      </c>
      <c r="U2084" s="15" t="n">
        <v>83</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5" t="n">
        <v>167</v>
      </c>
      <c r="U2085" s="15" t="n">
        <v>83</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5" t="n">
        <v>167</v>
      </c>
      <c r="U2086" s="15" t="n">
        <v>83</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5" t="n">
        <v>167</v>
      </c>
      <c r="U2087" s="15" t="n">
        <v>83</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5" t="n">
        <v>196</v>
      </c>
      <c r="U2088" s="15" t="n">
        <v>70</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5" t="n">
        <v>196</v>
      </c>
      <c r="U2089" s="15" t="n">
        <v>70</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5" t="n">
        <v>196</v>
      </c>
      <c r="U2090" s="15" t="n">
        <v>70</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5" t="n">
        <v>196</v>
      </c>
      <c r="U2091" s="15" t="n">
        <v>70</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5" t="n">
        <v>196</v>
      </c>
      <c r="U2092" s="15" t="n">
        <v>70</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5" t="n">
        <v>196</v>
      </c>
      <c r="U2093" s="15" t="n">
        <v>70</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5" t="n">
        <v>190</v>
      </c>
      <c r="U2094" s="15" t="n">
        <v>96</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5" t="n">
        <v>190</v>
      </c>
      <c r="U2095" s="15" t="n">
        <v>96</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5" t="n">
        <v>190</v>
      </c>
      <c r="U2096" s="15" t="n">
        <v>96</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5" t="n">
        <v>190</v>
      </c>
      <c r="U2097" s="15" t="n">
        <v>96</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5" t="n">
        <v>190</v>
      </c>
      <c r="U2098" s="15" t="n">
        <v>96</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5" t="n">
        <v>190</v>
      </c>
      <c r="U2099" s="15" t="n">
        <v>96</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533</v>
      </c>
      <c r="U2100" s="15" t="n">
        <v>86</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533</v>
      </c>
      <c r="U2101" s="15" t="n">
        <v>86</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5" t="n">
        <v>1373</v>
      </c>
      <c r="U2102" s="15" t="n">
        <v>57</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5" t="n">
        <v>5</v>
      </c>
      <c r="U2103" s="15" t="n">
        <v>86</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5" t="n">
        <v>0</v>
      </c>
      <c r="U2104" s="15" t="n">
        <v>72</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5" t="n">
        <v>250</v>
      </c>
      <c r="U2105" s="15" t="n">
        <v>10</v>
      </c>
      <c r="V2105" s="15">
        <f>ROUNDUP((T2105+U2105+2*'Read Me'!$B$13)*(1+'Read Me'!$B$12),-1)</f>
        <v/>
      </c>
      <c r="W2105" s="15">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5" t="n">
        <v>234</v>
      </c>
      <c r="U2106" s="15" t="n">
        <v>72</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5" t="n">
        <v>250</v>
      </c>
      <c r="U2107" s="15" t="n">
        <v>10</v>
      </c>
      <c r="V2107" s="15">
        <f>ROUNDUP((T2107+U2107+2*'Read Me'!$B$13)*(1+'Read Me'!$B$12),-1)</f>
        <v/>
      </c>
      <c r="W2107" s="15">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5" t="n">
        <v>234</v>
      </c>
      <c r="U2108" s="15" t="n">
        <v>72</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5" t="n">
        <v>250</v>
      </c>
      <c r="U2109" s="15" t="n">
        <v>10</v>
      </c>
      <c r="V2109" s="15">
        <f>ROUNDUP((T2109+U2109+2*'Read Me'!$B$13)*(1+'Read Me'!$B$12),-1)</f>
        <v/>
      </c>
      <c r="W2109" s="15">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5" t="n">
        <v>234</v>
      </c>
      <c r="U2110" s="15" t="n">
        <v>72</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5" t="n">
        <v>250</v>
      </c>
      <c r="U2111" s="15" t="n">
        <v>10</v>
      </c>
      <c r="V2111" s="15">
        <f>ROUNDUP((T2111+U2111+2*'Read Me'!$B$13)*(1+'Read Me'!$B$12),-1)</f>
        <v/>
      </c>
      <c r="W2111" s="15">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5" t="n">
        <v>234</v>
      </c>
      <c r="U2112" s="15" t="n">
        <v>72</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5" t="n">
        <v>250</v>
      </c>
      <c r="U2113" s="15" t="n">
        <v>10</v>
      </c>
      <c r="V2113" s="15">
        <f>ROUNDUP((T2113+U2113+2*'Read Me'!$B$13)*(1+'Read Me'!$B$12),-1)</f>
        <v/>
      </c>
      <c r="W2113" s="15">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5" t="n">
        <v>234</v>
      </c>
      <c r="U2114" s="15" t="n">
        <v>72</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5" t="n">
        <v>250</v>
      </c>
      <c r="U2115" s="15" t="n">
        <v>10</v>
      </c>
      <c r="V2115" s="15">
        <f>ROUNDUP((T2115+U2115+2*'Read Me'!$B$13)*(1+'Read Me'!$B$12),-1)</f>
        <v/>
      </c>
      <c r="W2115" s="15">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5" t="n">
        <v>234</v>
      </c>
      <c r="U2116" s="15" t="n">
        <v>72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5" t="n">
        <v>250</v>
      </c>
      <c r="U2117" s="15" t="n">
        <v>10</v>
      </c>
      <c r="V2117" s="15">
        <f>ROUNDUP((T2117+U2117+2*'Read Me'!$B$13)*(1+'Read Me'!$B$12),-1)</f>
        <v/>
      </c>
      <c r="W2117" s="15">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5" t="n">
        <v>234</v>
      </c>
      <c r="U2118" s="15" t="n">
        <v>72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5" t="n">
        <v>250</v>
      </c>
      <c r="U2119" s="15" t="n">
        <v>10</v>
      </c>
      <c r="V2119" s="15">
        <f>ROUNDUP((T2119+U2119+2*'Read Me'!$B$13)*(1+'Read Me'!$B$12),-1)</f>
        <v/>
      </c>
      <c r="W2119" s="15">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5" t="n">
        <v>234</v>
      </c>
      <c r="U2120" s="15" t="n">
        <v>72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5" t="n">
        <v>250</v>
      </c>
      <c r="U2121" s="15" t="n">
        <v>10</v>
      </c>
      <c r="V2121" s="15">
        <f>ROUNDUP((T2121+U2121+2*'Read Me'!$B$13)*(1+'Read Me'!$B$12),-1)</f>
        <v/>
      </c>
      <c r="W2121" s="15">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5" t="n">
        <v>234</v>
      </c>
      <c r="U2122" s="15" t="n">
        <v>72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5" t="n">
        <v>250</v>
      </c>
      <c r="U2123" s="15" t="n">
        <v>10</v>
      </c>
      <c r="V2123" s="15">
        <f>ROUNDUP((T2123+U2123+2*'Read Me'!$B$13)*(1+'Read Me'!$B$12),-1)</f>
        <v/>
      </c>
      <c r="W2123" s="15">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5" t="n">
        <v>234</v>
      </c>
      <c r="U2124" s="15" t="n">
        <v>72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5" t="n">
        <v>250</v>
      </c>
      <c r="U2125" s="15" t="n">
        <v>10</v>
      </c>
      <c r="V2125" s="15">
        <f>ROUNDUP((T2125+U2125+2*'Read Me'!$B$13)*(1+'Read Me'!$B$12),-1)</f>
        <v/>
      </c>
      <c r="W2125" s="15">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5" t="n">
        <v>234</v>
      </c>
      <c r="U2126" s="15" t="n">
        <v>72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5" t="n">
        <v>250</v>
      </c>
      <c r="U2127" s="15" t="n">
        <v>10</v>
      </c>
      <c r="V2127" s="15">
        <f>ROUNDUP((T2127+U2127+2*'Read Me'!$B$13)*(1+'Read Me'!$B$12),-1)</f>
        <v/>
      </c>
      <c r="W2127" s="15">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5" t="n">
        <v>234</v>
      </c>
      <c r="U2128" s="15" t="n">
        <v>72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5" t="n">
        <v>250</v>
      </c>
      <c r="U2129" s="15" t="n">
        <v>10</v>
      </c>
      <c r="V2129" s="15">
        <f>ROUNDUP((T2129+U2129+2*'Read Me'!$B$13)*(1+'Read Me'!$B$12),-1)</f>
        <v/>
      </c>
      <c r="W2129" s="15">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5" t="n">
        <v>234</v>
      </c>
      <c r="U2130" s="15" t="n">
        <v>72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5" t="n">
        <v>110</v>
      </c>
      <c r="U2131" s="15" t="n">
        <v>10</v>
      </c>
      <c r="V2131" s="15">
        <f>ROUNDUP((T2131+U2131+2*'Read Me'!$B$13)*(1+'Read Me'!$B$12),-1)</f>
        <v/>
      </c>
      <c r="W2131" s="15">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5" t="n">
        <v>687</v>
      </c>
      <c r="U2132" s="15" t="n">
        <v>114</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5" t="n">
        <v>110</v>
      </c>
      <c r="U2133" s="15" t="n">
        <v>10</v>
      </c>
      <c r="V2133" s="15">
        <f>ROUNDUP((T2133+U2133+2*'Read Me'!$B$13)*(1+'Read Me'!$B$12),-1)</f>
        <v/>
      </c>
      <c r="W2133" s="15">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5" t="n">
        <v>687</v>
      </c>
      <c r="U2134" s="15" t="n">
        <v>114</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5" t="n">
        <v>110</v>
      </c>
      <c r="U2135" s="15" t="n">
        <v>10</v>
      </c>
      <c r="V2135" s="15">
        <f>ROUNDUP((T2135+U2135+2*'Read Me'!$B$13)*(1+'Read Me'!$B$12),-1)</f>
        <v/>
      </c>
      <c r="W2135" s="15">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5" t="n">
        <v>687</v>
      </c>
      <c r="U2136" s="15" t="n">
        <v>114</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5" t="n">
        <v>53</v>
      </c>
      <c r="U2137" s="15" t="n">
        <v>10</v>
      </c>
      <c r="V2137" s="15">
        <f>ROUNDUP((T2137+U2137+2*'Read Me'!$B$13)*(1+'Read Me'!$B$12),-1)</f>
        <v/>
      </c>
      <c r="W2137" s="15">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5" t="n">
        <v>696</v>
      </c>
      <c r="U2138" s="15" t="n">
        <v>78</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5" t="n">
        <v>53</v>
      </c>
      <c r="U2139" s="15" t="n">
        <v>10</v>
      </c>
      <c r="V2139" s="15">
        <f>ROUNDUP((T2139+U2139+2*'Read Me'!$B$13)*(1+'Read Me'!$B$12),-1)</f>
        <v/>
      </c>
      <c r="W2139" s="15">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5" t="n">
        <v>696</v>
      </c>
      <c r="U2140" s="15" t="n">
        <v>78</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5" t="n">
        <v>55</v>
      </c>
      <c r="U2141" s="15" t="n">
        <v>10</v>
      </c>
      <c r="V2141" s="15">
        <f>ROUNDUP((T2141+U2141+2*'Read Me'!$B$13)*(1+'Read Me'!$B$12),-1)</f>
        <v/>
      </c>
      <c r="W2141" s="15">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5" t="n">
        <v>539</v>
      </c>
      <c r="U2142" s="15" t="n">
        <v>116</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5" t="n">
        <v>55</v>
      </c>
      <c r="U2143" s="15" t="n">
        <v>10</v>
      </c>
      <c r="V2143" s="15">
        <f>ROUNDUP((T2143+U2143+2*'Read Me'!$B$13)*(1+'Read Me'!$B$12),-1)</f>
        <v/>
      </c>
      <c r="W2143" s="15">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5" t="n">
        <v>539</v>
      </c>
      <c r="U2144" s="15" t="n">
        <v>116</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5" t="n">
        <v>55</v>
      </c>
      <c r="U2145" s="15" t="n">
        <v>10</v>
      </c>
      <c r="V2145" s="15">
        <f>ROUNDUP((T2145+U2145+2*'Read Me'!$B$13)*(1+'Read Me'!$B$12),-1)</f>
        <v/>
      </c>
      <c r="W2145" s="15">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5" t="n">
        <v>539</v>
      </c>
      <c r="U2146" s="15" t="n">
        <v>116</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5" t="n">
        <v>55</v>
      </c>
      <c r="U2147" s="15" t="n">
        <v>10</v>
      </c>
      <c r="V2147" s="15">
        <f>ROUNDUP((T2147+U2147+2*'Read Me'!$B$13)*(1+'Read Me'!$B$12),-1)</f>
        <v/>
      </c>
      <c r="W2147" s="15">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5" t="n">
        <v>539</v>
      </c>
      <c r="U2148" s="15" t="n">
        <v>116</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5" t="n">
        <v>66</v>
      </c>
      <c r="U2149" s="15" t="n">
        <v>10</v>
      </c>
      <c r="V2149" s="15">
        <f>ROUNDUP((T2149+U2149+2*'Read Me'!$B$13)*(1+'Read Me'!$B$12),-1)</f>
        <v/>
      </c>
      <c r="W2149" s="15">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5" t="n">
        <v>417</v>
      </c>
      <c r="U2150" s="15" t="n">
        <v>86</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5" t="n">
        <v>66</v>
      </c>
      <c r="U2151" s="15" t="n">
        <v>10</v>
      </c>
      <c r="V2151" s="15">
        <f>ROUNDUP((T2151+U2151+2*'Read Me'!$B$13)*(1+'Read Me'!$B$12),-1)</f>
        <v/>
      </c>
      <c r="W2151" s="15">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5" t="n">
        <v>417</v>
      </c>
      <c r="U2152" s="15" t="n">
        <v>86</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5" t="n">
        <v>5</v>
      </c>
      <c r="U2153" s="15" t="n">
        <v>94</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5" t="n">
        <v>5</v>
      </c>
      <c r="U2154" s="15" t="n">
        <v>106</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5" t="n">
        <v>0</v>
      </c>
      <c r="U2155" s="15" t="n">
        <v>93</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5" t="n">
        <v>0</v>
      </c>
      <c r="U2156" s="15" t="n">
        <v>81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5" t="n">
        <v>42</v>
      </c>
      <c r="U2157" s="15" t="n">
        <v>10</v>
      </c>
      <c r="V2157" s="15">
        <f>ROUNDUP((T2157+U2157+2*'Read Me'!$B$13)*(1+'Read Me'!$B$12),-1)</f>
        <v/>
      </c>
      <c r="W2157" s="15">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5" t="n">
        <v>146</v>
      </c>
      <c r="U2158" s="15" t="n">
        <v>69</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5" t="n">
        <v>42</v>
      </c>
      <c r="U2159" s="15" t="n">
        <v>10</v>
      </c>
      <c r="V2159" s="15">
        <f>ROUNDUP((T2159+U2159+2*'Read Me'!$B$13)*(1+'Read Me'!$B$12),-1)</f>
        <v/>
      </c>
      <c r="W2159" s="15">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5" t="n">
        <v>146</v>
      </c>
      <c r="U2160" s="15" t="n">
        <v>69</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5" t="n">
        <v>42</v>
      </c>
      <c r="U2161" s="15" t="n">
        <v>10</v>
      </c>
      <c r="V2161" s="15">
        <f>ROUNDUP((T2161+U2161+2*'Read Me'!$B$13)*(1+'Read Me'!$B$12),-1)</f>
        <v/>
      </c>
      <c r="W2161" s="15">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5" t="n">
        <v>172</v>
      </c>
      <c r="U2162" s="15" t="n">
        <v>69</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5" t="n">
        <v>42</v>
      </c>
      <c r="U2163" s="15" t="n">
        <v>10</v>
      </c>
      <c r="V2163" s="15">
        <f>ROUNDUP((T2163+U2163+2*'Read Me'!$B$13)*(1+'Read Me'!$B$12),-1)</f>
        <v/>
      </c>
      <c r="W2163" s="15">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5" t="n">
        <v>172</v>
      </c>
      <c r="U2164" s="15" t="n">
        <v>69</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5" t="n">
        <v>42</v>
      </c>
      <c r="U2165" s="15" t="n">
        <v>10</v>
      </c>
      <c r="V2165" s="15">
        <f>ROUNDUP((T2165+U2165+2*'Read Me'!$B$13)*(1+'Read Me'!$B$12),-1)</f>
        <v/>
      </c>
      <c r="W2165" s="15">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5" t="n">
        <v>201</v>
      </c>
      <c r="U2166" s="15" t="n">
        <v>56</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5" t="n">
        <v>42</v>
      </c>
      <c r="U2167" s="15" t="n">
        <v>10</v>
      </c>
      <c r="V2167" s="15">
        <f>ROUNDUP((T2167+U2167+2*'Read Me'!$B$13)*(1+'Read Me'!$B$12),-1)</f>
        <v/>
      </c>
      <c r="W2167" s="15">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5" t="n">
        <v>201</v>
      </c>
      <c r="U2168" s="15" t="n">
        <v>56</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5" t="n">
        <v>42</v>
      </c>
      <c r="U2169" s="15" t="n">
        <v>10</v>
      </c>
      <c r="V2169" s="15">
        <f>ROUNDUP((T2169+U2169+2*'Read Me'!$B$13)*(1+'Read Me'!$B$12),-1)</f>
        <v/>
      </c>
      <c r="W2169" s="15">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5" t="n">
        <v>195</v>
      </c>
      <c r="U2170" s="15" t="n">
        <v>82</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5" t="n">
        <v>42</v>
      </c>
      <c r="U2171" s="15" t="n">
        <v>10</v>
      </c>
      <c r="V2171" s="15">
        <f>ROUNDUP((T2171+U2171+2*'Read Me'!$B$13)*(1+'Read Me'!$B$12),-1)</f>
        <v/>
      </c>
      <c r="W2171" s="15">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5" t="n">
        <v>195</v>
      </c>
      <c r="U2172" s="15" t="n">
        <v>82</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5" t="n">
        <v>53</v>
      </c>
      <c r="U2173" s="15" t="n">
        <v>10</v>
      </c>
      <c r="V2173" s="15">
        <f>ROUNDUP((T2173+U2173+2*'Read Me'!$B$13)*(1+'Read Me'!$B$12),-1)</f>
        <v/>
      </c>
      <c r="W2173" s="15">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5" t="n">
        <v>539</v>
      </c>
      <c r="U2174" s="15" t="n">
        <v>72</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5" t="n">
        <v>53</v>
      </c>
      <c r="U2175" s="15" t="n">
        <v>10</v>
      </c>
      <c r="V2175" s="15">
        <f>ROUNDUP((T2175+U2175+2*'Read Me'!$B$13)*(1+'Read Me'!$B$12),-1)</f>
        <v/>
      </c>
      <c r="W2175" s="15">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5" t="n">
        <v>539</v>
      </c>
      <c r="U2176" s="15" t="n">
        <v>72</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5" t="n">
        <v>623</v>
      </c>
      <c r="U2177" s="15" t="n">
        <v>72</v>
      </c>
      <c r="V2177" s="15">
        <f>ROUNDUP((T2177+U2177+2*'Read Me'!$B$13)*(1+'Read Me'!$B$12),-1)</f>
        <v/>
      </c>
      <c r="W2177" s="15">
        <f>V2177*N2177*O2177</f>
        <v/>
      </c>
      <c r="X2177" s="12">
        <f>IF(LEFT(I2177,2)="MV",2*N2177*IF(L2177="1/C",O2177,1),0)</f>
        <v/>
      </c>
      <c r="Y2177" s="12">
        <f>IF(OR(LEFT(K2177,4)="LVAX",LEFT(K2177,6)="MV15AX",LEFT(K2177,4)="CTAX",LEFT(K2177,2)="W|"),2*N2177*O2177,0)</f>
        <v/>
      </c>
      <c r="Z2177" s="12" t="inlineStr">
        <is>
          <t>VD 2.1 %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5" t="n">
        <v>591</v>
      </c>
      <c r="U2178" s="15" t="n">
        <v>72</v>
      </c>
      <c r="V2178" s="15">
        <f>ROUNDUP((T2178+U2178+2*'Read Me'!$B$13)*(1+'Read Me'!$B$12),-1)</f>
        <v/>
      </c>
      <c r="W2178" s="15">
        <f>V2178*N2178*O2178</f>
        <v/>
      </c>
      <c r="X2178" s="12">
        <f>IF(LEFT(I2178,2)="MV",2*N2178*IF(L2178="1/C",O2178,1),0)</f>
        <v/>
      </c>
      <c r="Y2178" s="12">
        <f>IF(OR(LEFT(K2178,4)="LVAX",LEFT(K2178,6)="MV15AX",LEFT(K2178,4)="CTAX",LEFT(K2178,2)="W|"),2*N2178*O2178,0)</f>
        <v/>
      </c>
      <c r="Z2178" s="12" t="inlineStr">
        <is>
          <t>VD 2.1 %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5" t="n">
        <v>559</v>
      </c>
      <c r="U2179" s="15" t="n">
        <v>72</v>
      </c>
      <c r="V2179" s="15">
        <f>ROUNDUP((T2179+U2179+2*'Read Me'!$B$13)*(1+'Read Me'!$B$12),-1)</f>
        <v/>
      </c>
      <c r="W2179" s="15">
        <f>V2179*N2179*O2179</f>
        <v/>
      </c>
      <c r="X2179" s="12">
        <f>IF(LEFT(I2179,2)="MV",2*N2179*IF(L2179="1/C",O2179,1),0)</f>
        <v/>
      </c>
      <c r="Y2179" s="12">
        <f>IF(OR(LEFT(K2179,4)="LVAX",LEFT(K2179,6)="MV15AX",LEFT(K2179,4)="CTAX",LEFT(K2179,2)="W|"),2*N2179*O2179,0)</f>
        <v/>
      </c>
      <c r="Z2179" s="12" t="inlineStr">
        <is>
          <t>VD 2.0 %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5" t="n">
        <v>527</v>
      </c>
      <c r="U2180" s="15" t="n">
        <v>72</v>
      </c>
      <c r="V2180" s="15">
        <f>ROUNDUP((T2180+U2180+2*'Read Me'!$B$13)*(1+'Read Me'!$B$12),-1)</f>
        <v/>
      </c>
      <c r="W2180" s="15">
        <f>V2180*N2180*O2180</f>
        <v/>
      </c>
      <c r="X2180" s="12">
        <f>IF(LEFT(I2180,2)="MV",2*N2180*IF(L2180="1/C",O2180,1),0)</f>
        <v/>
      </c>
      <c r="Y2180" s="12">
        <f>IF(OR(LEFT(K2180,4)="LVAX",LEFT(K2180,6)="MV15AX",LEFT(K2180,4)="CTAX",LEFT(K2180,2)="W|"),2*N2180*O2180,0)</f>
        <v/>
      </c>
      <c r="Z2180" s="12" t="inlineStr">
        <is>
          <t>VD 1.9 %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5" t="n">
        <v>495</v>
      </c>
      <c r="U2181" s="15" t="n">
        <v>72</v>
      </c>
      <c r="V2181" s="15">
        <f>ROUNDUP((T2181+U2181+2*'Read Me'!$B$13)*(1+'Read Me'!$B$12),-1)</f>
        <v/>
      </c>
      <c r="W2181" s="15">
        <f>V2181*N2181*O2181</f>
        <v/>
      </c>
      <c r="X2181" s="12">
        <f>IF(LEFT(I2181,2)="MV",2*N2181*IF(L2181="1/C",O2181,1),0)</f>
        <v/>
      </c>
      <c r="Y2181" s="12">
        <f>IF(OR(LEFT(K2181,4)="LVAX",LEFT(K2181,6)="MV15AX",LEFT(K2181,4)="CTAX",LEFT(K2181,2)="W|"),2*N2181*O2181,0)</f>
        <v/>
      </c>
      <c r="Z2181" s="12" t="inlineStr">
        <is>
          <t>VD 1.8 %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5" t="n">
        <v>495</v>
      </c>
      <c r="U2182" s="15" t="n">
        <v>72</v>
      </c>
      <c r="V2182" s="15">
        <f>ROUNDUP((T2182+U2182+2*'Read Me'!$B$13)*(1+'Read Me'!$B$12),-1)</f>
        <v/>
      </c>
      <c r="W2182" s="15">
        <f>V2182*N2182*O2182</f>
        <v/>
      </c>
      <c r="X2182" s="12">
        <f>IF(LEFT(I2182,2)="MV",2*N2182*IF(L2182="1/C",O2182,1),0)</f>
        <v/>
      </c>
      <c r="Y2182" s="12">
        <f>IF(OR(LEFT(K2182,4)="LVAX",LEFT(K2182,6)="MV15AX",LEFT(K2182,4)="CTAX",LEFT(K2182,2)="W|"),2*N2182*O2182,0)</f>
        <v/>
      </c>
      <c r="Z2182" s="12" t="inlineStr">
        <is>
          <t>VD 1.8 %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5" t="n">
        <v>527</v>
      </c>
      <c r="U2183" s="15" t="n">
        <v>72</v>
      </c>
      <c r="V2183" s="15">
        <f>ROUNDUP((T2183+U2183+2*'Read Me'!$B$13)*(1+'Read Me'!$B$12),-1)</f>
        <v/>
      </c>
      <c r="W2183" s="15">
        <f>V2183*N2183*O2183</f>
        <v/>
      </c>
      <c r="X2183" s="12">
        <f>IF(LEFT(I2183,2)="MV",2*N2183*IF(L2183="1/C",O2183,1),0)</f>
        <v/>
      </c>
      <c r="Y2183" s="12">
        <f>IF(OR(LEFT(K2183,4)="LVAX",LEFT(K2183,6)="MV15AX",LEFT(K2183,4)="CTAX",LEFT(K2183,2)="W|"),2*N2183*O2183,0)</f>
        <v/>
      </c>
      <c r="Z2183" s="12" t="inlineStr">
        <is>
          <t>VD 1.9 %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5" t="n">
        <v>559</v>
      </c>
      <c r="U2184" s="15" t="n">
        <v>72</v>
      </c>
      <c r="V2184" s="15">
        <f>ROUNDUP((T2184+U2184+2*'Read Me'!$B$13)*(1+'Read Me'!$B$12),-1)</f>
        <v/>
      </c>
      <c r="W2184" s="15">
        <f>V2184*N2184*O2184</f>
        <v/>
      </c>
      <c r="X2184" s="12">
        <f>IF(LEFT(I2184,2)="MV",2*N2184*IF(L2184="1/C",O2184,1),0)</f>
        <v/>
      </c>
      <c r="Y2184" s="12">
        <f>IF(OR(LEFT(K2184,4)="LVAX",LEFT(K2184,6)="MV15AX",LEFT(K2184,4)="CTAX",LEFT(K2184,2)="W|"),2*N2184*O2184,0)</f>
        <v/>
      </c>
      <c r="Z2184" s="12" t="inlineStr">
        <is>
          <t>VD 2.0 %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5" t="n">
        <v>591</v>
      </c>
      <c r="U2185" s="15" t="n">
        <v>72</v>
      </c>
      <c r="V2185" s="15">
        <f>ROUNDUP((T2185+U2185+2*'Read Me'!$B$13)*(1+'Read Me'!$B$12),-1)</f>
        <v/>
      </c>
      <c r="W2185" s="15">
        <f>V2185*N2185*O2185</f>
        <v/>
      </c>
      <c r="X2185" s="12">
        <f>IF(LEFT(I2185,2)="MV",2*N2185*IF(L2185="1/C",O2185,1),0)</f>
        <v/>
      </c>
      <c r="Y2185" s="12">
        <f>IF(OR(LEFT(K2185,4)="LVAX",LEFT(K2185,6)="MV15AX",LEFT(K2185,4)="CTAX",LEFT(K2185,2)="W|"),2*N2185*O2185,0)</f>
        <v/>
      </c>
      <c r="Z2185" s="12" t="inlineStr">
        <is>
          <t>VD 2.1 %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5" t="n">
        <v>623</v>
      </c>
      <c r="U2186" s="15" t="n">
        <v>72</v>
      </c>
      <c r="V2186" s="15">
        <f>ROUNDUP((T2186+U2186+2*'Read Me'!$B$13)*(1+'Read Me'!$B$12),-1)</f>
        <v/>
      </c>
      <c r="W2186" s="15">
        <f>V2186*N2186*O2186</f>
        <v/>
      </c>
      <c r="X2186" s="12">
        <f>IF(LEFT(I2186,2)="MV",2*N2186*IF(L2186="1/C",O2186,1),0)</f>
        <v/>
      </c>
      <c r="Y2186" s="12">
        <f>IF(OR(LEFT(K2186,4)="LVAX",LEFT(K2186,6)="MV15AX",LEFT(K2186,4)="CTAX",LEFT(K2186,2)="W|"),2*N2186*O2186,0)</f>
        <v/>
      </c>
      <c r="Z2186" s="12" t="inlineStr">
        <is>
          <t>VD 2.1 %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5" t="n">
        <v>573</v>
      </c>
      <c r="U2187" s="15" t="n">
        <v>72</v>
      </c>
      <c r="V2187" s="15">
        <f>ROUNDUP((T2187+U2187+2*'Read Me'!$B$13)*(1+'Read Me'!$B$12),-1)</f>
        <v/>
      </c>
      <c r="W2187" s="15">
        <f>V2187*N2187*O2187</f>
        <v/>
      </c>
      <c r="X2187" s="12">
        <f>IF(LEFT(I2187,2)="MV",2*N2187*IF(L2187="1/C",O2187,1),0)</f>
        <v/>
      </c>
      <c r="Y2187" s="12">
        <f>IF(OR(LEFT(K2187,4)="LVAX",LEFT(K2187,6)="MV15AX",LEFT(K2187,4)="CTAX",LEFT(K2187,2)="W|"),2*N2187*O2187,0)</f>
        <v/>
      </c>
      <c r="Z2187" s="12" t="inlineStr">
        <is>
          <t>VD 2.0 %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5" t="n">
        <v>541</v>
      </c>
      <c r="U2188" s="15" t="n">
        <v>72</v>
      </c>
      <c r="V2188" s="15">
        <f>ROUNDUP((T2188+U2188+2*'Read Me'!$B$13)*(1+'Read Me'!$B$12),-1)</f>
        <v/>
      </c>
      <c r="W2188" s="15">
        <f>V2188*N2188*O2188</f>
        <v/>
      </c>
      <c r="X2188" s="12">
        <f>IF(LEFT(I2188,2)="MV",2*N2188*IF(L2188="1/C",O2188,1),0)</f>
        <v/>
      </c>
      <c r="Y2188" s="12">
        <f>IF(OR(LEFT(K2188,4)="LVAX",LEFT(K2188,6)="MV15AX",LEFT(K2188,4)="CTAX",LEFT(K2188,2)="W|"),2*N2188*O2188,0)</f>
        <v/>
      </c>
      <c r="Z2188" s="12" t="inlineStr">
        <is>
          <t>VD 1.9 %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5" t="n">
        <v>509</v>
      </c>
      <c r="U2189" s="15" t="n">
        <v>72</v>
      </c>
      <c r="V2189" s="15">
        <f>ROUNDUP((T2189+U2189+2*'Read Me'!$B$13)*(1+'Read Me'!$B$12),-1)</f>
        <v/>
      </c>
      <c r="W2189" s="15">
        <f>V2189*N2189*O2189</f>
        <v/>
      </c>
      <c r="X2189" s="12">
        <f>IF(LEFT(I2189,2)="MV",2*N2189*IF(L2189="1/C",O2189,1),0)</f>
        <v/>
      </c>
      <c r="Y2189" s="12">
        <f>IF(OR(LEFT(K2189,4)="LVAX",LEFT(K2189,6)="MV15AX",LEFT(K2189,4)="CTAX",LEFT(K2189,2)="W|"),2*N2189*O2189,0)</f>
        <v/>
      </c>
      <c r="Z2189" s="12" t="inlineStr">
        <is>
          <t>VD 1.8 %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5" t="n">
        <v>477</v>
      </c>
      <c r="U2190" s="15" t="n">
        <v>72</v>
      </c>
      <c r="V2190" s="15">
        <f>ROUNDUP((T2190+U2190+2*'Read Me'!$B$13)*(1+'Read Me'!$B$12),-1)</f>
        <v/>
      </c>
      <c r="W2190" s="15">
        <f>V2190*N2190*O2190</f>
        <v/>
      </c>
      <c r="X2190" s="12">
        <f>IF(LEFT(I2190,2)="MV",2*N2190*IF(L2190="1/C",O2190,1),0)</f>
        <v/>
      </c>
      <c r="Y2190" s="12">
        <f>IF(OR(LEFT(K2190,4)="LVAX",LEFT(K2190,6)="MV15AX",LEFT(K2190,4)="CTAX",LEFT(K2190,2)="W|"),2*N2190*O2190,0)</f>
        <v/>
      </c>
      <c r="Z2190" s="12" t="inlineStr">
        <is>
          <t>VD 1.7 %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5" t="n">
        <v>445</v>
      </c>
      <c r="U2191" s="15" t="n">
        <v>72</v>
      </c>
      <c r="V2191" s="15">
        <f>ROUNDUP((T2191+U2191+2*'Read Me'!$B$13)*(1+'Read Me'!$B$12),-1)</f>
        <v/>
      </c>
      <c r="W2191" s="15">
        <f>V2191*N2191*O2191</f>
        <v/>
      </c>
      <c r="X2191" s="12">
        <f>IF(LEFT(I2191,2)="MV",2*N2191*IF(L2191="1/C",O2191,1),0)</f>
        <v/>
      </c>
      <c r="Y2191" s="12">
        <f>IF(OR(LEFT(K2191,4)="LVAX",LEFT(K2191,6)="MV15AX",LEFT(K2191,4)="CTAX",LEFT(K2191,2)="W|"),2*N2191*O2191,0)</f>
        <v/>
      </c>
      <c r="Z2191" s="12" t="inlineStr">
        <is>
          <t>VD 1.6 %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5" t="n">
        <v>445</v>
      </c>
      <c r="U2192" s="15" t="n">
        <v>72</v>
      </c>
      <c r="V2192" s="15">
        <f>ROUNDUP((T2192+U2192+2*'Read Me'!$B$13)*(1+'Read Me'!$B$12),-1)</f>
        <v/>
      </c>
      <c r="W2192" s="15">
        <f>V2192*N2192*O2192</f>
        <v/>
      </c>
      <c r="X2192" s="12">
        <f>IF(LEFT(I2192,2)="MV",2*N2192*IF(L2192="1/C",O2192,1),0)</f>
        <v/>
      </c>
      <c r="Y2192" s="12">
        <f>IF(OR(LEFT(K2192,4)="LVAX",LEFT(K2192,6)="MV15AX",LEFT(K2192,4)="CTAX",LEFT(K2192,2)="W|"),2*N2192*O2192,0)</f>
        <v/>
      </c>
      <c r="Z2192" s="12" t="inlineStr">
        <is>
          <t>VD 1.6 %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5" t="n">
        <v>477</v>
      </c>
      <c r="U2193" s="15" t="n">
        <v>72</v>
      </c>
      <c r="V2193" s="15">
        <f>ROUNDUP((T2193+U2193+2*'Read Me'!$B$13)*(1+'Read Me'!$B$12),-1)</f>
        <v/>
      </c>
      <c r="W2193" s="15">
        <f>V2193*N2193*O2193</f>
        <v/>
      </c>
      <c r="X2193" s="12">
        <f>IF(LEFT(I2193,2)="MV",2*N2193*IF(L2193="1/C",O2193,1),0)</f>
        <v/>
      </c>
      <c r="Y2193" s="12">
        <f>IF(OR(LEFT(K2193,4)="LVAX",LEFT(K2193,6)="MV15AX",LEFT(K2193,4)="CTAX",LEFT(K2193,2)="W|"),2*N2193*O2193,0)</f>
        <v/>
      </c>
      <c r="Z2193" s="12" t="inlineStr">
        <is>
          <t>VD 1.7 %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5" t="n">
        <v>509</v>
      </c>
      <c r="U2194" s="15" t="n">
        <v>72</v>
      </c>
      <c r="V2194" s="15">
        <f>ROUNDUP((T2194+U2194+2*'Read Me'!$B$13)*(1+'Read Me'!$B$12),-1)</f>
        <v/>
      </c>
      <c r="W2194" s="15">
        <f>V2194*N2194*O2194</f>
        <v/>
      </c>
      <c r="X2194" s="12">
        <f>IF(LEFT(I2194,2)="MV",2*N2194*IF(L2194="1/C",O2194,1),0)</f>
        <v/>
      </c>
      <c r="Y2194" s="12">
        <f>IF(OR(LEFT(K2194,4)="LVAX",LEFT(K2194,6)="MV15AX",LEFT(K2194,4)="CTAX",LEFT(K2194,2)="W|"),2*N2194*O2194,0)</f>
        <v/>
      </c>
      <c r="Z2194" s="12" t="inlineStr">
        <is>
          <t>VD 1.8 %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5" t="n">
        <v>541</v>
      </c>
      <c r="U2195" s="15" t="n">
        <v>72</v>
      </c>
      <c r="V2195" s="15">
        <f>ROUNDUP((T2195+U2195+2*'Read Me'!$B$13)*(1+'Read Me'!$B$12),-1)</f>
        <v/>
      </c>
      <c r="W2195" s="15">
        <f>V2195*N2195*O2195</f>
        <v/>
      </c>
      <c r="X2195" s="12">
        <f>IF(LEFT(I2195,2)="MV",2*N2195*IF(L2195="1/C",O2195,1),0)</f>
        <v/>
      </c>
      <c r="Y2195" s="12">
        <f>IF(OR(LEFT(K2195,4)="LVAX",LEFT(K2195,6)="MV15AX",LEFT(K2195,4)="CTAX",LEFT(K2195,2)="W|"),2*N2195*O2195,0)</f>
        <v/>
      </c>
      <c r="Z2195" s="12" t="inlineStr">
        <is>
          <t>VD 1.9 %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5" t="n">
        <v>573</v>
      </c>
      <c r="U2196" s="15" t="n">
        <v>72</v>
      </c>
      <c r="V2196" s="15">
        <f>ROUNDUP((T2196+U2196+2*'Read Me'!$B$13)*(1+'Read Me'!$B$12),-1)</f>
        <v/>
      </c>
      <c r="W2196" s="15">
        <f>V2196*N2196*O2196</f>
        <v/>
      </c>
      <c r="X2196" s="12">
        <f>IF(LEFT(I2196,2)="MV",2*N2196*IF(L2196="1/C",O2196,1),0)</f>
        <v/>
      </c>
      <c r="Y2196" s="12">
        <f>IF(OR(LEFT(K2196,4)="LVAX",LEFT(K2196,6)="MV15AX",LEFT(K2196,4)="CTAX",LEFT(K2196,2)="W|"),2*N2196*O2196,0)</f>
        <v/>
      </c>
      <c r="Z2196" s="12" t="inlineStr">
        <is>
          <t>VD 2.0 %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5" t="n">
        <v>523</v>
      </c>
      <c r="U2197" s="15" t="n">
        <v>72</v>
      </c>
      <c r="V2197" s="15">
        <f>ROUNDUP((T2197+U2197+2*'Read Me'!$B$13)*(1+'Read Me'!$B$12),-1)</f>
        <v/>
      </c>
      <c r="W2197" s="15">
        <f>V2197*N2197*O2197</f>
        <v/>
      </c>
      <c r="X2197" s="12">
        <f>IF(LEFT(I2197,2)="MV",2*N2197*IF(L2197="1/C",O2197,1),0)</f>
        <v/>
      </c>
      <c r="Y2197" s="12">
        <f>IF(OR(LEFT(K2197,4)="LVAX",LEFT(K2197,6)="MV15AX",LEFT(K2197,4)="CTAX",LEFT(K2197,2)="W|"),2*N2197*O2197,0)</f>
        <v/>
      </c>
      <c r="Z2197" s="12" t="inlineStr">
        <is>
          <t>VD 1.8 %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5" t="n">
        <v>491</v>
      </c>
      <c r="U2198" s="15" t="n">
        <v>72</v>
      </c>
      <c r="V2198" s="15">
        <f>ROUNDUP((T2198+U2198+2*'Read Me'!$B$13)*(1+'Read Me'!$B$12),-1)</f>
        <v/>
      </c>
      <c r="W2198" s="15">
        <f>V2198*N2198*O2198</f>
        <v/>
      </c>
      <c r="X2198" s="12">
        <f>IF(LEFT(I2198,2)="MV",2*N2198*IF(L2198="1/C",O2198,1),0)</f>
        <v/>
      </c>
      <c r="Y2198" s="12">
        <f>IF(OR(LEFT(K2198,4)="LVAX",LEFT(K2198,6)="MV15AX",LEFT(K2198,4)="CTAX",LEFT(K2198,2)="W|"),2*N2198*O2198,0)</f>
        <v/>
      </c>
      <c r="Z2198" s="12" t="inlineStr">
        <is>
          <t>VD 1.7 %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5" t="n">
        <v>459</v>
      </c>
      <c r="U2199" s="15" t="n">
        <v>72</v>
      </c>
      <c r="V2199" s="15">
        <f>ROUNDUP((T2199+U2199+2*'Read Me'!$B$13)*(1+'Read Me'!$B$12),-1)</f>
        <v/>
      </c>
      <c r="W2199" s="15">
        <f>V2199*N2199*O2199</f>
        <v/>
      </c>
      <c r="X2199" s="12">
        <f>IF(LEFT(I2199,2)="MV",2*N2199*IF(L2199="1/C",O2199,1),0)</f>
        <v/>
      </c>
      <c r="Y2199" s="12">
        <f>IF(OR(LEFT(K2199,4)="LVAX",LEFT(K2199,6)="MV15AX",LEFT(K2199,4)="CTAX",LEFT(K2199,2)="W|"),2*N2199*O2199,0)</f>
        <v/>
      </c>
      <c r="Z2199" s="12" t="inlineStr">
        <is>
          <t>VD 1.6 %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5" t="n">
        <v>427</v>
      </c>
      <c r="U2200" s="15" t="n">
        <v>72</v>
      </c>
      <c r="V2200" s="15">
        <f>ROUNDUP((T2200+U2200+2*'Read Me'!$B$13)*(1+'Read Me'!$B$12),-1)</f>
        <v/>
      </c>
      <c r="W2200" s="15">
        <f>V2200*N2200*O2200</f>
        <v/>
      </c>
      <c r="X2200" s="12">
        <f>IF(LEFT(I2200,2)="MV",2*N2200*IF(L2200="1/C",O2200,1),0)</f>
        <v/>
      </c>
      <c r="Y2200" s="12">
        <f>IF(OR(LEFT(K2200,4)="LVAX",LEFT(K2200,6)="MV15AX",LEFT(K2200,4)="CTAX",LEFT(K2200,2)="W|"),2*N2200*O2200,0)</f>
        <v/>
      </c>
      <c r="Z2200" s="12" t="inlineStr">
        <is>
          <t>VD 1.5 %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5" t="n">
        <v>395</v>
      </c>
      <c r="U2201" s="15" t="n">
        <v>72</v>
      </c>
      <c r="V2201" s="15">
        <f>ROUNDUP((T2201+U2201+2*'Read Me'!$B$13)*(1+'Read Me'!$B$12),-1)</f>
        <v/>
      </c>
      <c r="W2201" s="15">
        <f>V2201*N2201*O2201</f>
        <v/>
      </c>
      <c r="X2201" s="12">
        <f>IF(LEFT(I2201,2)="MV",2*N2201*IF(L2201="1/C",O2201,1),0)</f>
        <v/>
      </c>
      <c r="Y2201" s="12">
        <f>IF(OR(LEFT(K2201,4)="LVAX",LEFT(K2201,6)="MV15AX",LEFT(K2201,4)="CTAX",LEFT(K2201,2)="W|"),2*N2201*O2201,0)</f>
        <v/>
      </c>
      <c r="Z2201" s="12" t="inlineStr">
        <is>
          <t>VD 1.4 %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5" t="n">
        <v>395</v>
      </c>
      <c r="U2202" s="15" t="n">
        <v>72</v>
      </c>
      <c r="V2202" s="15">
        <f>ROUNDUP((T2202+U2202+2*'Read Me'!$B$13)*(1+'Read Me'!$B$12),-1)</f>
        <v/>
      </c>
      <c r="W2202" s="15">
        <f>V2202*N2202*O2202</f>
        <v/>
      </c>
      <c r="X2202" s="12">
        <f>IF(LEFT(I2202,2)="MV",2*N2202*IF(L2202="1/C",O2202,1),0)</f>
        <v/>
      </c>
      <c r="Y2202" s="12">
        <f>IF(OR(LEFT(K2202,4)="LVAX",LEFT(K2202,6)="MV15AX",LEFT(K2202,4)="CTAX",LEFT(K2202,2)="W|"),2*N2202*O2202,0)</f>
        <v/>
      </c>
      <c r="Z2202" s="12" t="inlineStr">
        <is>
          <t>VD 1.4 %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5" t="n">
        <v>427</v>
      </c>
      <c r="U2203" s="15" t="n">
        <v>72</v>
      </c>
      <c r="V2203" s="15">
        <f>ROUNDUP((T2203+U2203+2*'Read Me'!$B$13)*(1+'Read Me'!$B$12),-1)</f>
        <v/>
      </c>
      <c r="W2203" s="15">
        <f>V2203*N2203*O2203</f>
        <v/>
      </c>
      <c r="X2203" s="12">
        <f>IF(LEFT(I2203,2)="MV",2*N2203*IF(L2203="1/C",O2203,1),0)</f>
        <v/>
      </c>
      <c r="Y2203" s="12">
        <f>IF(OR(LEFT(K2203,4)="LVAX",LEFT(K2203,6)="MV15AX",LEFT(K2203,4)="CTAX",LEFT(K2203,2)="W|"),2*N2203*O2203,0)</f>
        <v/>
      </c>
      <c r="Z2203" s="12" t="inlineStr">
        <is>
          <t>VD 1.5 %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5" t="n">
        <v>459</v>
      </c>
      <c r="U2204" s="15" t="n">
        <v>72</v>
      </c>
      <c r="V2204" s="15">
        <f>ROUNDUP((T2204+U2204+2*'Read Me'!$B$13)*(1+'Read Me'!$B$12),-1)</f>
        <v/>
      </c>
      <c r="W2204" s="15">
        <f>V2204*N2204*O2204</f>
        <v/>
      </c>
      <c r="X2204" s="12">
        <f>IF(LEFT(I2204,2)="MV",2*N2204*IF(L2204="1/C",O2204,1),0)</f>
        <v/>
      </c>
      <c r="Y2204" s="12">
        <f>IF(OR(LEFT(K2204,4)="LVAX",LEFT(K2204,6)="MV15AX",LEFT(K2204,4)="CTAX",LEFT(K2204,2)="W|"),2*N2204*O2204,0)</f>
        <v/>
      </c>
      <c r="Z2204" s="12" t="inlineStr">
        <is>
          <t>VD 1.6 %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5" t="n">
        <v>491</v>
      </c>
      <c r="U2205" s="15" t="n">
        <v>72</v>
      </c>
      <c r="V2205" s="15">
        <f>ROUNDUP((T2205+U2205+2*'Read Me'!$B$13)*(1+'Read Me'!$B$12),-1)</f>
        <v/>
      </c>
      <c r="W2205" s="15">
        <f>V2205*N2205*O2205</f>
        <v/>
      </c>
      <c r="X2205" s="12">
        <f>IF(LEFT(I2205,2)="MV",2*N2205*IF(L2205="1/C",O2205,1),0)</f>
        <v/>
      </c>
      <c r="Y2205" s="12">
        <f>IF(OR(LEFT(K2205,4)="LVAX",LEFT(K2205,6)="MV15AX",LEFT(K2205,4)="CTAX",LEFT(K2205,2)="W|"),2*N2205*O2205,0)</f>
        <v/>
      </c>
      <c r="Z2205" s="12" t="inlineStr">
        <is>
          <t>VD 1.7 %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5" t="n">
        <v>523</v>
      </c>
      <c r="U2206" s="15" t="n">
        <v>72</v>
      </c>
      <c r="V2206" s="15">
        <f>ROUNDUP((T2206+U2206+2*'Read Me'!$B$13)*(1+'Read Me'!$B$12),-1)</f>
        <v/>
      </c>
      <c r="W2206" s="15">
        <f>V2206*N2206*O2206</f>
        <v/>
      </c>
      <c r="X2206" s="12">
        <f>IF(LEFT(I2206,2)="MV",2*N2206*IF(L2206="1/C",O2206,1),0)</f>
        <v/>
      </c>
      <c r="Y2206" s="12">
        <f>IF(OR(LEFT(K2206,4)="LVAX",LEFT(K2206,6)="MV15AX",LEFT(K2206,4)="CTAX",LEFT(K2206,2)="W|"),2*N2206*O2206,0)</f>
        <v/>
      </c>
      <c r="Z2206" s="12" t="inlineStr">
        <is>
          <t>VD 1.8 %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5" t="n">
        <v>473</v>
      </c>
      <c r="U2207" s="15" t="n">
        <v>72</v>
      </c>
      <c r="V2207" s="15">
        <f>ROUNDUP((T2207+U2207+2*'Read Me'!$B$13)*(1+'Read Me'!$B$12),-1)</f>
        <v/>
      </c>
      <c r="W2207" s="15">
        <f>V2207*N2207*O2207</f>
        <v/>
      </c>
      <c r="X2207" s="12">
        <f>IF(LEFT(I2207,2)="MV",2*N2207*IF(L2207="1/C",O2207,1),0)</f>
        <v/>
      </c>
      <c r="Y2207" s="12">
        <f>IF(OR(LEFT(K2207,4)="LVAX",LEFT(K2207,6)="MV15AX",LEFT(K2207,4)="CTAX",LEFT(K2207,2)="W|"),2*N2207*O2207,0)</f>
        <v/>
      </c>
      <c r="Z2207" s="12" t="inlineStr">
        <is>
          <t>VD 1.7 %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5" t="n">
        <v>441</v>
      </c>
      <c r="U2208" s="15" t="n">
        <v>72</v>
      </c>
      <c r="V2208" s="15">
        <f>ROUNDUP((T2208+U2208+2*'Read Me'!$B$13)*(1+'Read Me'!$B$12),-1)</f>
        <v/>
      </c>
      <c r="W2208" s="15">
        <f>V2208*N2208*O2208</f>
        <v/>
      </c>
      <c r="X2208" s="12">
        <f>IF(LEFT(I2208,2)="MV",2*N2208*IF(L2208="1/C",O2208,1),0)</f>
        <v/>
      </c>
      <c r="Y2208" s="12">
        <f>IF(OR(LEFT(K2208,4)="LVAX",LEFT(K2208,6)="MV15AX",LEFT(K2208,4)="CTAX",LEFT(K2208,2)="W|"),2*N2208*O2208,0)</f>
        <v/>
      </c>
      <c r="Z2208" s="12" t="inlineStr">
        <is>
          <t>VD 1.6 %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5" t="n">
        <v>409</v>
      </c>
      <c r="U2209" s="15" t="n">
        <v>72</v>
      </c>
      <c r="V2209" s="15">
        <f>ROUNDUP((T2209+U2209+2*'Read Me'!$B$13)*(1+'Read Me'!$B$12),-1)</f>
        <v/>
      </c>
      <c r="W2209" s="15">
        <f>V2209*N2209*O2209</f>
        <v/>
      </c>
      <c r="X2209" s="12">
        <f>IF(LEFT(I2209,2)="MV",2*N2209*IF(L2209="1/C",O2209,1),0)</f>
        <v/>
      </c>
      <c r="Y2209" s="12">
        <f>IF(OR(LEFT(K2209,4)="LVAX",LEFT(K2209,6)="MV15AX",LEFT(K2209,4)="CTAX",LEFT(K2209,2)="W|"),2*N2209*O2209,0)</f>
        <v/>
      </c>
      <c r="Z2209" s="12" t="inlineStr">
        <is>
          <t>VD 1.5 %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5" t="n">
        <v>377</v>
      </c>
      <c r="U2210" s="15" t="n">
        <v>72</v>
      </c>
      <c r="V2210" s="15">
        <f>ROUNDUP((T2210+U2210+2*'Read Me'!$B$13)*(1+'Read Me'!$B$12),-1)</f>
        <v/>
      </c>
      <c r="W2210" s="15">
        <f>V2210*N2210*O2210</f>
        <v/>
      </c>
      <c r="X2210" s="12">
        <f>IF(LEFT(I2210,2)="MV",2*N2210*IF(L2210="1/C",O2210,1),0)</f>
        <v/>
      </c>
      <c r="Y2210" s="12">
        <f>IF(OR(LEFT(K2210,4)="LVAX",LEFT(K2210,6)="MV15AX",LEFT(K2210,4)="CTAX",LEFT(K2210,2)="W|"),2*N2210*O2210,0)</f>
        <v/>
      </c>
      <c r="Z2210" s="12" t="inlineStr">
        <is>
          <t>VD 1.4 %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5" t="n">
        <v>345</v>
      </c>
      <c r="U2211" s="15" t="n">
        <v>72</v>
      </c>
      <c r="V2211" s="15">
        <f>ROUNDUP((T2211+U2211+2*'Read Me'!$B$13)*(1+'Read Me'!$B$12),-1)</f>
        <v/>
      </c>
      <c r="W2211" s="15">
        <f>V2211*N2211*O2211</f>
        <v/>
      </c>
      <c r="X2211" s="12">
        <f>IF(LEFT(I2211,2)="MV",2*N2211*IF(L2211="1/C",O2211,1),0)</f>
        <v/>
      </c>
      <c r="Y2211" s="12">
        <f>IF(OR(LEFT(K2211,4)="LVAX",LEFT(K2211,6)="MV15AX",LEFT(K2211,4)="CTAX",LEFT(K2211,2)="W|"),2*N2211*O2211,0)</f>
        <v/>
      </c>
      <c r="Z2211" s="12" t="inlineStr">
        <is>
          <t>VD 1.3 %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5" t="n">
        <v>345</v>
      </c>
      <c r="U2212" s="15" t="n">
        <v>72</v>
      </c>
      <c r="V2212" s="15">
        <f>ROUNDUP((T2212+U2212+2*'Read Me'!$B$13)*(1+'Read Me'!$B$12),-1)</f>
        <v/>
      </c>
      <c r="W2212" s="15">
        <f>V2212*N2212*O2212</f>
        <v/>
      </c>
      <c r="X2212" s="12">
        <f>IF(LEFT(I2212,2)="MV",2*N2212*IF(L2212="1/C",O2212,1),0)</f>
        <v/>
      </c>
      <c r="Y2212" s="12">
        <f>IF(OR(LEFT(K2212,4)="LVAX",LEFT(K2212,6)="MV15AX",LEFT(K2212,4)="CTAX",LEFT(K2212,2)="W|"),2*N2212*O2212,0)</f>
        <v/>
      </c>
      <c r="Z2212" s="12" t="inlineStr">
        <is>
          <t>VD 1.3 %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5" t="n">
        <v>377</v>
      </c>
      <c r="U2213" s="15" t="n">
        <v>72</v>
      </c>
      <c r="V2213" s="15">
        <f>ROUNDUP((T2213+U2213+2*'Read Me'!$B$13)*(1+'Read Me'!$B$12),-1)</f>
        <v/>
      </c>
      <c r="W2213" s="15">
        <f>V2213*N2213*O2213</f>
        <v/>
      </c>
      <c r="X2213" s="12">
        <f>IF(LEFT(I2213,2)="MV",2*N2213*IF(L2213="1/C",O2213,1),0)</f>
        <v/>
      </c>
      <c r="Y2213" s="12">
        <f>IF(OR(LEFT(K2213,4)="LVAX",LEFT(K2213,6)="MV15AX",LEFT(K2213,4)="CTAX",LEFT(K2213,2)="W|"),2*N2213*O2213,0)</f>
        <v/>
      </c>
      <c r="Z2213" s="12" t="inlineStr">
        <is>
          <t>VD 1.4 %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5" t="n">
        <v>409</v>
      </c>
      <c r="U2214" s="15" t="n">
        <v>72</v>
      </c>
      <c r="V2214" s="15">
        <f>ROUNDUP((T2214+U2214+2*'Read Me'!$B$13)*(1+'Read Me'!$B$12),-1)</f>
        <v/>
      </c>
      <c r="W2214" s="15">
        <f>V2214*N2214*O2214</f>
        <v/>
      </c>
      <c r="X2214" s="12">
        <f>IF(LEFT(I2214,2)="MV",2*N2214*IF(L2214="1/C",O2214,1),0)</f>
        <v/>
      </c>
      <c r="Y2214" s="12">
        <f>IF(OR(LEFT(K2214,4)="LVAX",LEFT(K2214,6)="MV15AX",LEFT(K2214,4)="CTAX",LEFT(K2214,2)="W|"),2*N2214*O2214,0)</f>
        <v/>
      </c>
      <c r="Z2214" s="12" t="inlineStr">
        <is>
          <t>VD 1.5 %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5" t="n">
        <v>441</v>
      </c>
      <c r="U2215" s="15" t="n">
        <v>72</v>
      </c>
      <c r="V2215" s="15">
        <f>ROUNDUP((T2215+U2215+2*'Read Me'!$B$13)*(1+'Read Me'!$B$12),-1)</f>
        <v/>
      </c>
      <c r="W2215" s="15">
        <f>V2215*N2215*O2215</f>
        <v/>
      </c>
      <c r="X2215" s="12">
        <f>IF(LEFT(I2215,2)="MV",2*N2215*IF(L2215="1/C",O2215,1),0)</f>
        <v/>
      </c>
      <c r="Y2215" s="12">
        <f>IF(OR(LEFT(K2215,4)="LVAX",LEFT(K2215,6)="MV15AX",LEFT(K2215,4)="CTAX",LEFT(K2215,2)="W|"),2*N2215*O2215,0)</f>
        <v/>
      </c>
      <c r="Z2215" s="12" t="inlineStr">
        <is>
          <t>VD 1.6 %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5" t="n">
        <v>473</v>
      </c>
      <c r="U2216" s="15" t="n">
        <v>72</v>
      </c>
      <c r="V2216" s="15">
        <f>ROUNDUP((T2216+U2216+2*'Read Me'!$B$13)*(1+'Read Me'!$B$12),-1)</f>
        <v/>
      </c>
      <c r="W2216" s="15">
        <f>V2216*N2216*O2216</f>
        <v/>
      </c>
      <c r="X2216" s="12">
        <f>IF(LEFT(I2216,2)="MV",2*N2216*IF(L2216="1/C",O2216,1),0)</f>
        <v/>
      </c>
      <c r="Y2216" s="12">
        <f>IF(OR(LEFT(K2216,4)="LVAX",LEFT(K2216,6)="MV15AX",LEFT(K2216,4)="CTAX",LEFT(K2216,2)="W|"),2*N2216*O2216,0)</f>
        <v/>
      </c>
      <c r="Z2216" s="12" t="inlineStr">
        <is>
          <t>VD 1.7 %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5" t="n">
        <v>473</v>
      </c>
      <c r="U2217" s="15" t="n">
        <v>72</v>
      </c>
      <c r="V2217" s="15">
        <f>ROUNDUP((T2217+U2217+2*'Read Me'!$B$13)*(1+'Read Me'!$B$12),-1)</f>
        <v/>
      </c>
      <c r="W2217" s="15">
        <f>V2217*N2217*O2217</f>
        <v/>
      </c>
      <c r="X2217" s="12">
        <f>IF(LEFT(I2217,2)="MV",2*N2217*IF(L2217="1/C",O2217,1),0)</f>
        <v/>
      </c>
      <c r="Y2217" s="12">
        <f>IF(OR(LEFT(K2217,4)="LVAX",LEFT(K2217,6)="MV15AX",LEFT(K2217,4)="CTAX",LEFT(K2217,2)="W|"),2*N2217*O2217,0)</f>
        <v/>
      </c>
      <c r="Z2217" s="12" t="inlineStr">
        <is>
          <t>VD 1.7 %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5" t="n">
        <v>441</v>
      </c>
      <c r="U2218" s="15" t="n">
        <v>72</v>
      </c>
      <c r="V2218" s="15">
        <f>ROUNDUP((T2218+U2218+2*'Read Me'!$B$13)*(1+'Read Me'!$B$12),-1)</f>
        <v/>
      </c>
      <c r="W2218" s="15">
        <f>V2218*N2218*O2218</f>
        <v/>
      </c>
      <c r="X2218" s="12">
        <f>IF(LEFT(I2218,2)="MV",2*N2218*IF(L2218="1/C",O2218,1),0)</f>
        <v/>
      </c>
      <c r="Y2218" s="12">
        <f>IF(OR(LEFT(K2218,4)="LVAX",LEFT(K2218,6)="MV15AX",LEFT(K2218,4)="CTAX",LEFT(K2218,2)="W|"),2*N2218*O2218,0)</f>
        <v/>
      </c>
      <c r="Z2218" s="12" t="inlineStr">
        <is>
          <t>VD 1.6 %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5" t="n">
        <v>409</v>
      </c>
      <c r="U2219" s="15" t="n">
        <v>72</v>
      </c>
      <c r="V2219" s="15">
        <f>ROUNDUP((T2219+U2219+2*'Read Me'!$B$13)*(1+'Read Me'!$B$12),-1)</f>
        <v/>
      </c>
      <c r="W2219" s="15">
        <f>V2219*N2219*O2219</f>
        <v/>
      </c>
      <c r="X2219" s="12">
        <f>IF(LEFT(I2219,2)="MV",2*N2219*IF(L2219="1/C",O2219,1),0)</f>
        <v/>
      </c>
      <c r="Y2219" s="12">
        <f>IF(OR(LEFT(K2219,4)="LVAX",LEFT(K2219,6)="MV15AX",LEFT(K2219,4)="CTAX",LEFT(K2219,2)="W|"),2*N2219*O2219,0)</f>
        <v/>
      </c>
      <c r="Z2219" s="12" t="inlineStr">
        <is>
          <t>VD 1.5 %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5" t="n">
        <v>377</v>
      </c>
      <c r="U2220" s="15" t="n">
        <v>72</v>
      </c>
      <c r="V2220" s="15">
        <f>ROUNDUP((T2220+U2220+2*'Read Me'!$B$13)*(1+'Read Me'!$B$12),-1)</f>
        <v/>
      </c>
      <c r="W2220" s="15">
        <f>V2220*N2220*O2220</f>
        <v/>
      </c>
      <c r="X2220" s="12">
        <f>IF(LEFT(I2220,2)="MV",2*N2220*IF(L2220="1/C",O2220,1),0)</f>
        <v/>
      </c>
      <c r="Y2220" s="12">
        <f>IF(OR(LEFT(K2220,4)="LVAX",LEFT(K2220,6)="MV15AX",LEFT(K2220,4)="CTAX",LEFT(K2220,2)="W|"),2*N2220*O2220,0)</f>
        <v/>
      </c>
      <c r="Z2220" s="12" t="inlineStr">
        <is>
          <t>VD 1.4 %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5" t="n">
        <v>345</v>
      </c>
      <c r="U2221" s="15" t="n">
        <v>72</v>
      </c>
      <c r="V2221" s="15">
        <f>ROUNDUP((T2221+U2221+2*'Read Me'!$B$13)*(1+'Read Me'!$B$12),-1)</f>
        <v/>
      </c>
      <c r="W2221" s="15">
        <f>V2221*N2221*O2221</f>
        <v/>
      </c>
      <c r="X2221" s="12">
        <f>IF(LEFT(I2221,2)="MV",2*N2221*IF(L2221="1/C",O2221,1),0)</f>
        <v/>
      </c>
      <c r="Y2221" s="12">
        <f>IF(OR(LEFT(K2221,4)="LVAX",LEFT(K2221,6)="MV15AX",LEFT(K2221,4)="CTAX",LEFT(K2221,2)="W|"),2*N2221*O2221,0)</f>
        <v/>
      </c>
      <c r="Z2221" s="12" t="inlineStr">
        <is>
          <t>VD 1.3 %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5" t="n">
        <v>345</v>
      </c>
      <c r="U2222" s="15" t="n">
        <v>72</v>
      </c>
      <c r="V2222" s="15">
        <f>ROUNDUP((T2222+U2222+2*'Read Me'!$B$13)*(1+'Read Me'!$B$12),-1)</f>
        <v/>
      </c>
      <c r="W2222" s="15">
        <f>V2222*N2222*O2222</f>
        <v/>
      </c>
      <c r="X2222" s="12">
        <f>IF(LEFT(I2222,2)="MV",2*N2222*IF(L2222="1/C",O2222,1),0)</f>
        <v/>
      </c>
      <c r="Y2222" s="12">
        <f>IF(OR(LEFT(K2222,4)="LVAX",LEFT(K2222,6)="MV15AX",LEFT(K2222,4)="CTAX",LEFT(K2222,2)="W|"),2*N2222*O2222,0)</f>
        <v/>
      </c>
      <c r="Z2222" s="12" t="inlineStr">
        <is>
          <t>VD 1.3 %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5" t="n">
        <v>377</v>
      </c>
      <c r="U2223" s="15" t="n">
        <v>72</v>
      </c>
      <c r="V2223" s="15">
        <f>ROUNDUP((T2223+U2223+2*'Read Me'!$B$13)*(1+'Read Me'!$B$12),-1)</f>
        <v/>
      </c>
      <c r="W2223" s="15">
        <f>V2223*N2223*O2223</f>
        <v/>
      </c>
      <c r="X2223" s="12">
        <f>IF(LEFT(I2223,2)="MV",2*N2223*IF(L2223="1/C",O2223,1),0)</f>
        <v/>
      </c>
      <c r="Y2223" s="12">
        <f>IF(OR(LEFT(K2223,4)="LVAX",LEFT(K2223,6)="MV15AX",LEFT(K2223,4)="CTAX",LEFT(K2223,2)="W|"),2*N2223*O2223,0)</f>
        <v/>
      </c>
      <c r="Z2223" s="12" t="inlineStr">
        <is>
          <t>VD 1.4 %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5" t="n">
        <v>409</v>
      </c>
      <c r="U2224" s="15" t="n">
        <v>72</v>
      </c>
      <c r="V2224" s="15">
        <f>ROUNDUP((T2224+U2224+2*'Read Me'!$B$13)*(1+'Read Me'!$B$12),-1)</f>
        <v/>
      </c>
      <c r="W2224" s="15">
        <f>V2224*N2224*O2224</f>
        <v/>
      </c>
      <c r="X2224" s="12">
        <f>IF(LEFT(I2224,2)="MV",2*N2224*IF(L2224="1/C",O2224,1),0)</f>
        <v/>
      </c>
      <c r="Y2224" s="12">
        <f>IF(OR(LEFT(K2224,4)="LVAX",LEFT(K2224,6)="MV15AX",LEFT(K2224,4)="CTAX",LEFT(K2224,2)="W|"),2*N2224*O2224,0)</f>
        <v/>
      </c>
      <c r="Z2224" s="12" t="inlineStr">
        <is>
          <t>VD 1.5 %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5" t="n">
        <v>441</v>
      </c>
      <c r="U2225" s="15" t="n">
        <v>72</v>
      </c>
      <c r="V2225" s="15">
        <f>ROUNDUP((T2225+U2225+2*'Read Me'!$B$13)*(1+'Read Me'!$B$12),-1)</f>
        <v/>
      </c>
      <c r="W2225" s="15">
        <f>V2225*N2225*O2225</f>
        <v/>
      </c>
      <c r="X2225" s="12">
        <f>IF(LEFT(I2225,2)="MV",2*N2225*IF(L2225="1/C",O2225,1),0)</f>
        <v/>
      </c>
      <c r="Y2225" s="12">
        <f>IF(OR(LEFT(K2225,4)="LVAX",LEFT(K2225,6)="MV15AX",LEFT(K2225,4)="CTAX",LEFT(K2225,2)="W|"),2*N2225*O2225,0)</f>
        <v/>
      </c>
      <c r="Z2225" s="12" t="inlineStr">
        <is>
          <t>VD 1.6 %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5" t="n">
        <v>473</v>
      </c>
      <c r="U2226" s="15" t="n">
        <v>72</v>
      </c>
      <c r="V2226" s="15">
        <f>ROUNDUP((T2226+U2226+2*'Read Me'!$B$13)*(1+'Read Me'!$B$12),-1)</f>
        <v/>
      </c>
      <c r="W2226" s="15">
        <f>V2226*N2226*O2226</f>
        <v/>
      </c>
      <c r="X2226" s="12">
        <f>IF(LEFT(I2226,2)="MV",2*N2226*IF(L2226="1/C",O2226,1),0)</f>
        <v/>
      </c>
      <c r="Y2226" s="12">
        <f>IF(OR(LEFT(K2226,4)="LVAX",LEFT(K2226,6)="MV15AX",LEFT(K2226,4)="CTAX",LEFT(K2226,2)="W|"),2*N2226*O2226,0)</f>
        <v/>
      </c>
      <c r="Z2226" s="12" t="inlineStr">
        <is>
          <t>VD 1.7 %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5" t="n">
        <v>523</v>
      </c>
      <c r="U2227" s="15" t="n">
        <v>72</v>
      </c>
      <c r="V2227" s="15">
        <f>ROUNDUP((T2227+U2227+2*'Read Me'!$B$13)*(1+'Read Me'!$B$12),-1)</f>
        <v/>
      </c>
      <c r="W2227" s="15">
        <f>V2227*N2227*O2227</f>
        <v/>
      </c>
      <c r="X2227" s="12">
        <f>IF(LEFT(I2227,2)="MV",2*N2227*IF(L2227="1/C",O2227,1),0)</f>
        <v/>
      </c>
      <c r="Y2227" s="12">
        <f>IF(OR(LEFT(K2227,4)="LVAX",LEFT(K2227,6)="MV15AX",LEFT(K2227,4)="CTAX",LEFT(K2227,2)="W|"),2*N2227*O2227,0)</f>
        <v/>
      </c>
      <c r="Z2227" s="12" t="inlineStr">
        <is>
          <t>VD 1.8 %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5" t="n">
        <v>491</v>
      </c>
      <c r="U2228" s="15" t="n">
        <v>72</v>
      </c>
      <c r="V2228" s="15">
        <f>ROUNDUP((T2228+U2228+2*'Read Me'!$B$13)*(1+'Read Me'!$B$12),-1)</f>
        <v/>
      </c>
      <c r="W2228" s="15">
        <f>V2228*N2228*O2228</f>
        <v/>
      </c>
      <c r="X2228" s="12">
        <f>IF(LEFT(I2228,2)="MV",2*N2228*IF(L2228="1/C",O2228,1),0)</f>
        <v/>
      </c>
      <c r="Y2228" s="12">
        <f>IF(OR(LEFT(K2228,4)="LVAX",LEFT(K2228,6)="MV15AX",LEFT(K2228,4)="CTAX",LEFT(K2228,2)="W|"),2*N2228*O2228,0)</f>
        <v/>
      </c>
      <c r="Z2228" s="12" t="inlineStr">
        <is>
          <t>VD 1.7 %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5" t="n">
        <v>459</v>
      </c>
      <c r="U2229" s="15" t="n">
        <v>72</v>
      </c>
      <c r="V2229" s="15">
        <f>ROUNDUP((T2229+U2229+2*'Read Me'!$B$13)*(1+'Read Me'!$B$12),-1)</f>
        <v/>
      </c>
      <c r="W2229" s="15">
        <f>V2229*N2229*O2229</f>
        <v/>
      </c>
      <c r="X2229" s="12">
        <f>IF(LEFT(I2229,2)="MV",2*N2229*IF(L2229="1/C",O2229,1),0)</f>
        <v/>
      </c>
      <c r="Y2229" s="12">
        <f>IF(OR(LEFT(K2229,4)="LVAX",LEFT(K2229,6)="MV15AX",LEFT(K2229,4)="CTAX",LEFT(K2229,2)="W|"),2*N2229*O2229,0)</f>
        <v/>
      </c>
      <c r="Z2229" s="12" t="inlineStr">
        <is>
          <t>VD 1.6 %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5" t="n">
        <v>427</v>
      </c>
      <c r="U2230" s="15" t="n">
        <v>72</v>
      </c>
      <c r="V2230" s="15">
        <f>ROUNDUP((T2230+U2230+2*'Read Me'!$B$13)*(1+'Read Me'!$B$12),-1)</f>
        <v/>
      </c>
      <c r="W2230" s="15">
        <f>V2230*N2230*O2230</f>
        <v/>
      </c>
      <c r="X2230" s="12">
        <f>IF(LEFT(I2230,2)="MV",2*N2230*IF(L2230="1/C",O2230,1),0)</f>
        <v/>
      </c>
      <c r="Y2230" s="12">
        <f>IF(OR(LEFT(K2230,4)="LVAX",LEFT(K2230,6)="MV15AX",LEFT(K2230,4)="CTAX",LEFT(K2230,2)="W|"),2*N2230*O2230,0)</f>
        <v/>
      </c>
      <c r="Z2230" s="12" t="inlineStr">
        <is>
          <t>VD 1.5 %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5" t="n">
        <v>395</v>
      </c>
      <c r="U2231" s="15" t="n">
        <v>72</v>
      </c>
      <c r="V2231" s="15">
        <f>ROUNDUP((T2231+U2231+2*'Read Me'!$B$13)*(1+'Read Me'!$B$12),-1)</f>
        <v/>
      </c>
      <c r="W2231" s="15">
        <f>V2231*N2231*O2231</f>
        <v/>
      </c>
      <c r="X2231" s="12">
        <f>IF(LEFT(I2231,2)="MV",2*N2231*IF(L2231="1/C",O2231,1),0)</f>
        <v/>
      </c>
      <c r="Y2231" s="12">
        <f>IF(OR(LEFT(K2231,4)="LVAX",LEFT(K2231,6)="MV15AX",LEFT(K2231,4)="CTAX",LEFT(K2231,2)="W|"),2*N2231*O2231,0)</f>
        <v/>
      </c>
      <c r="Z2231" s="12" t="inlineStr">
        <is>
          <t>VD 1.4 %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5" t="n">
        <v>395</v>
      </c>
      <c r="U2232" s="15" t="n">
        <v>72</v>
      </c>
      <c r="V2232" s="15">
        <f>ROUNDUP((T2232+U2232+2*'Read Me'!$B$13)*(1+'Read Me'!$B$12),-1)</f>
        <v/>
      </c>
      <c r="W2232" s="15">
        <f>V2232*N2232*O2232</f>
        <v/>
      </c>
      <c r="X2232" s="12">
        <f>IF(LEFT(I2232,2)="MV",2*N2232*IF(L2232="1/C",O2232,1),0)</f>
        <v/>
      </c>
      <c r="Y2232" s="12">
        <f>IF(OR(LEFT(K2232,4)="LVAX",LEFT(K2232,6)="MV15AX",LEFT(K2232,4)="CTAX",LEFT(K2232,2)="W|"),2*N2232*O2232,0)</f>
        <v/>
      </c>
      <c r="Z2232" s="12" t="inlineStr">
        <is>
          <t>VD 1.4 %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5" t="n">
        <v>427</v>
      </c>
      <c r="U2233" s="15" t="n">
        <v>72</v>
      </c>
      <c r="V2233" s="15">
        <f>ROUNDUP((T2233+U2233+2*'Read Me'!$B$13)*(1+'Read Me'!$B$12),-1)</f>
        <v/>
      </c>
      <c r="W2233" s="15">
        <f>V2233*N2233*O2233</f>
        <v/>
      </c>
      <c r="X2233" s="12">
        <f>IF(LEFT(I2233,2)="MV",2*N2233*IF(L2233="1/C",O2233,1),0)</f>
        <v/>
      </c>
      <c r="Y2233" s="12">
        <f>IF(OR(LEFT(K2233,4)="LVAX",LEFT(K2233,6)="MV15AX",LEFT(K2233,4)="CTAX",LEFT(K2233,2)="W|"),2*N2233*O2233,0)</f>
        <v/>
      </c>
      <c r="Z2233" s="12" t="inlineStr">
        <is>
          <t>VD 1.5 %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5" t="n">
        <v>459</v>
      </c>
      <c r="U2234" s="15" t="n">
        <v>72</v>
      </c>
      <c r="V2234" s="15">
        <f>ROUNDUP((T2234+U2234+2*'Read Me'!$B$13)*(1+'Read Me'!$B$12),-1)</f>
        <v/>
      </c>
      <c r="W2234" s="15">
        <f>V2234*N2234*O2234</f>
        <v/>
      </c>
      <c r="X2234" s="12">
        <f>IF(LEFT(I2234,2)="MV",2*N2234*IF(L2234="1/C",O2234,1),0)</f>
        <v/>
      </c>
      <c r="Y2234" s="12">
        <f>IF(OR(LEFT(K2234,4)="LVAX",LEFT(K2234,6)="MV15AX",LEFT(K2234,4)="CTAX",LEFT(K2234,2)="W|"),2*N2234*O2234,0)</f>
        <v/>
      </c>
      <c r="Z2234" s="12" t="inlineStr">
        <is>
          <t>VD 1.6 %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5" t="n">
        <v>491</v>
      </c>
      <c r="U2235" s="15" t="n">
        <v>72</v>
      </c>
      <c r="V2235" s="15">
        <f>ROUNDUP((T2235+U2235+2*'Read Me'!$B$13)*(1+'Read Me'!$B$12),-1)</f>
        <v/>
      </c>
      <c r="W2235" s="15">
        <f>V2235*N2235*O2235</f>
        <v/>
      </c>
      <c r="X2235" s="12">
        <f>IF(LEFT(I2235,2)="MV",2*N2235*IF(L2235="1/C",O2235,1),0)</f>
        <v/>
      </c>
      <c r="Y2235" s="12">
        <f>IF(OR(LEFT(K2235,4)="LVAX",LEFT(K2235,6)="MV15AX",LEFT(K2235,4)="CTAX",LEFT(K2235,2)="W|"),2*N2235*O2235,0)</f>
        <v/>
      </c>
      <c r="Z2235" s="12" t="inlineStr">
        <is>
          <t>VD 1.7 %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5" t="n">
        <v>523</v>
      </c>
      <c r="U2236" s="15" t="n">
        <v>72</v>
      </c>
      <c r="V2236" s="15">
        <f>ROUNDUP((T2236+U2236+2*'Read Me'!$B$13)*(1+'Read Me'!$B$12),-1)</f>
        <v/>
      </c>
      <c r="W2236" s="15">
        <f>V2236*N2236*O2236</f>
        <v/>
      </c>
      <c r="X2236" s="12">
        <f>IF(LEFT(I2236,2)="MV",2*N2236*IF(L2236="1/C",O2236,1),0)</f>
        <v/>
      </c>
      <c r="Y2236" s="12">
        <f>IF(OR(LEFT(K2236,4)="LVAX",LEFT(K2236,6)="MV15AX",LEFT(K2236,4)="CTAX",LEFT(K2236,2)="W|"),2*N2236*O2236,0)</f>
        <v/>
      </c>
      <c r="Z2236" s="12" t="inlineStr">
        <is>
          <t>VD 1.8 %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5" t="n">
        <v>573</v>
      </c>
      <c r="U2237" s="15" t="n">
        <v>72</v>
      </c>
      <c r="V2237" s="15">
        <f>ROUNDUP((T2237+U2237+2*'Read Me'!$B$13)*(1+'Read Me'!$B$12),-1)</f>
        <v/>
      </c>
      <c r="W2237" s="15">
        <f>V2237*N2237*O2237</f>
        <v/>
      </c>
      <c r="X2237" s="12">
        <f>IF(LEFT(I2237,2)="MV",2*N2237*IF(L2237="1/C",O2237,1),0)</f>
        <v/>
      </c>
      <c r="Y2237" s="12">
        <f>IF(OR(LEFT(K2237,4)="LVAX",LEFT(K2237,6)="MV15AX",LEFT(K2237,4)="CTAX",LEFT(K2237,2)="W|"),2*N2237*O2237,0)</f>
        <v/>
      </c>
      <c r="Z2237" s="12" t="inlineStr">
        <is>
          <t>VD 2.0 %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5" t="n">
        <v>541</v>
      </c>
      <c r="U2238" s="15" t="n">
        <v>72</v>
      </c>
      <c r="V2238" s="15">
        <f>ROUNDUP((T2238+U2238+2*'Read Me'!$B$13)*(1+'Read Me'!$B$12),-1)</f>
        <v/>
      </c>
      <c r="W2238" s="15">
        <f>V2238*N2238*O2238</f>
        <v/>
      </c>
      <c r="X2238" s="12">
        <f>IF(LEFT(I2238,2)="MV",2*N2238*IF(L2238="1/C",O2238,1),0)</f>
        <v/>
      </c>
      <c r="Y2238" s="12">
        <f>IF(OR(LEFT(K2238,4)="LVAX",LEFT(K2238,6)="MV15AX",LEFT(K2238,4)="CTAX",LEFT(K2238,2)="W|"),2*N2238*O2238,0)</f>
        <v/>
      </c>
      <c r="Z2238" s="12" t="inlineStr">
        <is>
          <t>VD 1.9 %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5" t="n">
        <v>509</v>
      </c>
      <c r="U2239" s="15" t="n">
        <v>72</v>
      </c>
      <c r="V2239" s="15">
        <f>ROUNDUP((T2239+U2239+2*'Read Me'!$B$13)*(1+'Read Me'!$B$12),-1)</f>
        <v/>
      </c>
      <c r="W2239" s="15">
        <f>V2239*N2239*O2239</f>
        <v/>
      </c>
      <c r="X2239" s="12">
        <f>IF(LEFT(I2239,2)="MV",2*N2239*IF(L2239="1/C",O2239,1),0)</f>
        <v/>
      </c>
      <c r="Y2239" s="12">
        <f>IF(OR(LEFT(K2239,4)="LVAX",LEFT(K2239,6)="MV15AX",LEFT(K2239,4)="CTAX",LEFT(K2239,2)="W|"),2*N2239*O2239,0)</f>
        <v/>
      </c>
      <c r="Z2239" s="12" t="inlineStr">
        <is>
          <t>VD 1.8 %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5" t="n">
        <v>477</v>
      </c>
      <c r="U2240" s="15" t="n">
        <v>72</v>
      </c>
      <c r="V2240" s="15">
        <f>ROUNDUP((T2240+U2240+2*'Read Me'!$B$13)*(1+'Read Me'!$B$12),-1)</f>
        <v/>
      </c>
      <c r="W2240" s="15">
        <f>V2240*N2240*O2240</f>
        <v/>
      </c>
      <c r="X2240" s="12">
        <f>IF(LEFT(I2240,2)="MV",2*N2240*IF(L2240="1/C",O2240,1),0)</f>
        <v/>
      </c>
      <c r="Y2240" s="12">
        <f>IF(OR(LEFT(K2240,4)="LVAX",LEFT(K2240,6)="MV15AX",LEFT(K2240,4)="CTAX",LEFT(K2240,2)="W|"),2*N2240*O2240,0)</f>
        <v/>
      </c>
      <c r="Z2240" s="12" t="inlineStr">
        <is>
          <t>VD 1.7 %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5" t="n">
        <v>445</v>
      </c>
      <c r="U2241" s="15" t="n">
        <v>72</v>
      </c>
      <c r="V2241" s="15">
        <f>ROUNDUP((T2241+U2241+2*'Read Me'!$B$13)*(1+'Read Me'!$B$12),-1)</f>
        <v/>
      </c>
      <c r="W2241" s="15">
        <f>V2241*N2241*O2241</f>
        <v/>
      </c>
      <c r="X2241" s="12">
        <f>IF(LEFT(I2241,2)="MV",2*N2241*IF(L2241="1/C",O2241,1),0)</f>
        <v/>
      </c>
      <c r="Y2241" s="12">
        <f>IF(OR(LEFT(K2241,4)="LVAX",LEFT(K2241,6)="MV15AX",LEFT(K2241,4)="CTAX",LEFT(K2241,2)="W|"),2*N2241*O2241,0)</f>
        <v/>
      </c>
      <c r="Z2241" s="12" t="inlineStr">
        <is>
          <t>VD 1.6 %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5" t="n">
        <v>445</v>
      </c>
      <c r="U2242" s="15" t="n">
        <v>72</v>
      </c>
      <c r="V2242" s="15">
        <f>ROUNDUP((T2242+U2242+2*'Read Me'!$B$13)*(1+'Read Me'!$B$12),-1)</f>
        <v/>
      </c>
      <c r="W2242" s="15">
        <f>V2242*N2242*O2242</f>
        <v/>
      </c>
      <c r="X2242" s="12">
        <f>IF(LEFT(I2242,2)="MV",2*N2242*IF(L2242="1/C",O2242,1),0)</f>
        <v/>
      </c>
      <c r="Y2242" s="12">
        <f>IF(OR(LEFT(K2242,4)="LVAX",LEFT(K2242,6)="MV15AX",LEFT(K2242,4)="CTAX",LEFT(K2242,2)="W|"),2*N2242*O2242,0)</f>
        <v/>
      </c>
      <c r="Z2242" s="12" t="inlineStr">
        <is>
          <t>VD 1.6 %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5" t="n">
        <v>477</v>
      </c>
      <c r="U2243" s="15" t="n">
        <v>72</v>
      </c>
      <c r="V2243" s="15">
        <f>ROUNDUP((T2243+U2243+2*'Read Me'!$B$13)*(1+'Read Me'!$B$12),-1)</f>
        <v/>
      </c>
      <c r="W2243" s="15">
        <f>V2243*N2243*O2243</f>
        <v/>
      </c>
      <c r="X2243" s="12">
        <f>IF(LEFT(I2243,2)="MV",2*N2243*IF(L2243="1/C",O2243,1),0)</f>
        <v/>
      </c>
      <c r="Y2243" s="12">
        <f>IF(OR(LEFT(K2243,4)="LVAX",LEFT(K2243,6)="MV15AX",LEFT(K2243,4)="CTAX",LEFT(K2243,2)="W|"),2*N2243*O2243,0)</f>
        <v/>
      </c>
      <c r="Z2243" s="12" t="inlineStr">
        <is>
          <t>VD 1.7 %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5" t="n">
        <v>509</v>
      </c>
      <c r="U2244" s="15" t="n">
        <v>72</v>
      </c>
      <c r="V2244" s="15">
        <f>ROUNDUP((T2244+U2244+2*'Read Me'!$B$13)*(1+'Read Me'!$B$12),-1)</f>
        <v/>
      </c>
      <c r="W2244" s="15">
        <f>V2244*N2244*O2244</f>
        <v/>
      </c>
      <c r="X2244" s="12">
        <f>IF(LEFT(I2244,2)="MV",2*N2244*IF(L2244="1/C",O2244,1),0)</f>
        <v/>
      </c>
      <c r="Y2244" s="12">
        <f>IF(OR(LEFT(K2244,4)="LVAX",LEFT(K2244,6)="MV15AX",LEFT(K2244,4)="CTAX",LEFT(K2244,2)="W|"),2*N2244*O2244,0)</f>
        <v/>
      </c>
      <c r="Z2244" s="12" t="inlineStr">
        <is>
          <t>VD 1.8 %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5" t="n">
        <v>541</v>
      </c>
      <c r="U2245" s="15" t="n">
        <v>72</v>
      </c>
      <c r="V2245" s="15">
        <f>ROUNDUP((T2245+U2245+2*'Read Me'!$B$13)*(1+'Read Me'!$B$12),-1)</f>
        <v/>
      </c>
      <c r="W2245" s="15">
        <f>V2245*N2245*O2245</f>
        <v/>
      </c>
      <c r="X2245" s="12">
        <f>IF(LEFT(I2245,2)="MV",2*N2245*IF(L2245="1/C",O2245,1),0)</f>
        <v/>
      </c>
      <c r="Y2245" s="12">
        <f>IF(OR(LEFT(K2245,4)="LVAX",LEFT(K2245,6)="MV15AX",LEFT(K2245,4)="CTAX",LEFT(K2245,2)="W|"),2*N2245*O2245,0)</f>
        <v/>
      </c>
      <c r="Z2245" s="12" t="inlineStr">
        <is>
          <t>VD 1.9 %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5" t="n">
        <v>573</v>
      </c>
      <c r="U2246" s="15" t="n">
        <v>72</v>
      </c>
      <c r="V2246" s="15">
        <f>ROUNDUP((T2246+U2246+2*'Read Me'!$B$13)*(1+'Read Me'!$B$12),-1)</f>
        <v/>
      </c>
      <c r="W2246" s="15">
        <f>V2246*N2246*O2246</f>
        <v/>
      </c>
      <c r="X2246" s="12">
        <f>IF(LEFT(I2246,2)="MV",2*N2246*IF(L2246="1/C",O2246,1),0)</f>
        <v/>
      </c>
      <c r="Y2246" s="12">
        <f>IF(OR(LEFT(K2246,4)="LVAX",LEFT(K2246,6)="MV15AX",LEFT(K2246,4)="CTAX",LEFT(K2246,2)="W|"),2*N2246*O2246,0)</f>
        <v/>
      </c>
      <c r="Z2246" s="12" t="inlineStr">
        <is>
          <t>VD 2.0 %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5" t="n">
        <v>623</v>
      </c>
      <c r="U2247" s="15" t="n">
        <v>72</v>
      </c>
      <c r="V2247" s="15">
        <f>ROUNDUP((T2247+U2247+2*'Read Me'!$B$13)*(1+'Read Me'!$B$12),-1)</f>
        <v/>
      </c>
      <c r="W2247" s="15">
        <f>V2247*N2247*O2247</f>
        <v/>
      </c>
      <c r="X2247" s="12">
        <f>IF(LEFT(I2247,2)="MV",2*N2247*IF(L2247="1/C",O2247,1),0)</f>
        <v/>
      </c>
      <c r="Y2247" s="12">
        <f>IF(OR(LEFT(K2247,4)="LVAX",LEFT(K2247,6)="MV15AX",LEFT(K2247,4)="CTAX",LEFT(K2247,2)="W|"),2*N2247*O2247,0)</f>
        <v/>
      </c>
      <c r="Z2247" s="12" t="inlineStr">
        <is>
          <t>VD 2.1 %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5" t="n">
        <v>591</v>
      </c>
      <c r="U2248" s="15" t="n">
        <v>72</v>
      </c>
      <c r="V2248" s="15">
        <f>ROUNDUP((T2248+U2248+2*'Read Me'!$B$13)*(1+'Read Me'!$B$12),-1)</f>
        <v/>
      </c>
      <c r="W2248" s="15">
        <f>V2248*N2248*O2248</f>
        <v/>
      </c>
      <c r="X2248" s="12">
        <f>IF(LEFT(I2248,2)="MV",2*N2248*IF(L2248="1/C",O2248,1),0)</f>
        <v/>
      </c>
      <c r="Y2248" s="12">
        <f>IF(OR(LEFT(K2248,4)="LVAX",LEFT(K2248,6)="MV15AX",LEFT(K2248,4)="CTAX",LEFT(K2248,2)="W|"),2*N2248*O2248,0)</f>
        <v/>
      </c>
      <c r="Z2248" s="12" t="inlineStr">
        <is>
          <t>VD 2.1 %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5" t="n">
        <v>559</v>
      </c>
      <c r="U2249" s="15" t="n">
        <v>72</v>
      </c>
      <c r="V2249" s="15">
        <f>ROUNDUP((T2249+U2249+2*'Read Me'!$B$13)*(1+'Read Me'!$B$12),-1)</f>
        <v/>
      </c>
      <c r="W2249" s="15">
        <f>V2249*N2249*O2249</f>
        <v/>
      </c>
      <c r="X2249" s="12">
        <f>IF(LEFT(I2249,2)="MV",2*N2249*IF(L2249="1/C",O2249,1),0)</f>
        <v/>
      </c>
      <c r="Y2249" s="12">
        <f>IF(OR(LEFT(K2249,4)="LVAX",LEFT(K2249,6)="MV15AX",LEFT(K2249,4)="CTAX",LEFT(K2249,2)="W|"),2*N2249*O2249,0)</f>
        <v/>
      </c>
      <c r="Z2249" s="12" t="inlineStr">
        <is>
          <t>VD 2.0 %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5" t="n">
        <v>527</v>
      </c>
      <c r="U2250" s="15" t="n">
        <v>72</v>
      </c>
      <c r="V2250" s="15">
        <f>ROUNDUP((T2250+U2250+2*'Read Me'!$B$13)*(1+'Read Me'!$B$12),-1)</f>
        <v/>
      </c>
      <c r="W2250" s="15">
        <f>V2250*N2250*O2250</f>
        <v/>
      </c>
      <c r="X2250" s="12">
        <f>IF(LEFT(I2250,2)="MV",2*N2250*IF(L2250="1/C",O2250,1),0)</f>
        <v/>
      </c>
      <c r="Y2250" s="12">
        <f>IF(OR(LEFT(K2250,4)="LVAX",LEFT(K2250,6)="MV15AX",LEFT(K2250,4)="CTAX",LEFT(K2250,2)="W|"),2*N2250*O2250,0)</f>
        <v/>
      </c>
      <c r="Z2250" s="12" t="inlineStr">
        <is>
          <t>VD 1.9 %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5" t="n">
        <v>495</v>
      </c>
      <c r="U2251" s="15" t="n">
        <v>72</v>
      </c>
      <c r="V2251" s="15">
        <f>ROUNDUP((T2251+U2251+2*'Read Me'!$B$13)*(1+'Read Me'!$B$12),-1)</f>
        <v/>
      </c>
      <c r="W2251" s="15">
        <f>V2251*N2251*O2251</f>
        <v/>
      </c>
      <c r="X2251" s="12">
        <f>IF(LEFT(I2251,2)="MV",2*N2251*IF(L2251="1/C",O2251,1),0)</f>
        <v/>
      </c>
      <c r="Y2251" s="12">
        <f>IF(OR(LEFT(K2251,4)="LVAX",LEFT(K2251,6)="MV15AX",LEFT(K2251,4)="CTAX",LEFT(K2251,2)="W|"),2*N2251*O2251,0)</f>
        <v/>
      </c>
      <c r="Z2251" s="12" t="inlineStr">
        <is>
          <t>VD 1.8 %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5" t="n">
        <v>495</v>
      </c>
      <c r="U2252" s="15" t="n">
        <v>72</v>
      </c>
      <c r="V2252" s="15">
        <f>ROUNDUP((T2252+U2252+2*'Read Me'!$B$13)*(1+'Read Me'!$B$12),-1)</f>
        <v/>
      </c>
      <c r="W2252" s="15">
        <f>V2252*N2252*O2252</f>
        <v/>
      </c>
      <c r="X2252" s="12">
        <f>IF(LEFT(I2252,2)="MV",2*N2252*IF(L2252="1/C",O2252,1),0)</f>
        <v/>
      </c>
      <c r="Y2252" s="12">
        <f>IF(OR(LEFT(K2252,4)="LVAX",LEFT(K2252,6)="MV15AX",LEFT(K2252,4)="CTAX",LEFT(K2252,2)="W|"),2*N2252*O2252,0)</f>
        <v/>
      </c>
      <c r="Z2252" s="12" t="inlineStr">
        <is>
          <t>VD 1.8 %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5" t="n">
        <v>527</v>
      </c>
      <c r="U2253" s="15" t="n">
        <v>72</v>
      </c>
      <c r="V2253" s="15">
        <f>ROUNDUP((T2253+U2253+2*'Read Me'!$B$13)*(1+'Read Me'!$B$12),-1)</f>
        <v/>
      </c>
      <c r="W2253" s="15">
        <f>V2253*N2253*O2253</f>
        <v/>
      </c>
      <c r="X2253" s="12">
        <f>IF(LEFT(I2253,2)="MV",2*N2253*IF(L2253="1/C",O2253,1),0)</f>
        <v/>
      </c>
      <c r="Y2253" s="12">
        <f>IF(OR(LEFT(K2253,4)="LVAX",LEFT(K2253,6)="MV15AX",LEFT(K2253,4)="CTAX",LEFT(K2253,2)="W|"),2*N2253*O2253,0)</f>
        <v/>
      </c>
      <c r="Z2253" s="12" t="inlineStr">
        <is>
          <t>VD 1.9 %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5" t="n">
        <v>559</v>
      </c>
      <c r="U2254" s="15" t="n">
        <v>72</v>
      </c>
      <c r="V2254" s="15">
        <f>ROUNDUP((T2254+U2254+2*'Read Me'!$B$13)*(1+'Read Me'!$B$12),-1)</f>
        <v/>
      </c>
      <c r="W2254" s="15">
        <f>V2254*N2254*O2254</f>
        <v/>
      </c>
      <c r="X2254" s="12">
        <f>IF(LEFT(I2254,2)="MV",2*N2254*IF(L2254="1/C",O2254,1),0)</f>
        <v/>
      </c>
      <c r="Y2254" s="12">
        <f>IF(OR(LEFT(K2254,4)="LVAX",LEFT(K2254,6)="MV15AX",LEFT(K2254,4)="CTAX",LEFT(K2254,2)="W|"),2*N2254*O2254,0)</f>
        <v/>
      </c>
      <c r="Z2254" s="12" t="inlineStr">
        <is>
          <t>VD 2.0 %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5" t="n">
        <v>591</v>
      </c>
      <c r="U2255" s="15" t="n">
        <v>72</v>
      </c>
      <c r="V2255" s="15">
        <f>ROUNDUP((T2255+U2255+2*'Read Me'!$B$13)*(1+'Read Me'!$B$12),-1)</f>
        <v/>
      </c>
      <c r="W2255" s="15">
        <f>V2255*N2255*O2255</f>
        <v/>
      </c>
      <c r="X2255" s="12">
        <f>IF(LEFT(I2255,2)="MV",2*N2255*IF(L2255="1/C",O2255,1),0)</f>
        <v/>
      </c>
      <c r="Y2255" s="12">
        <f>IF(OR(LEFT(K2255,4)="LVAX",LEFT(K2255,6)="MV15AX",LEFT(K2255,4)="CTAX",LEFT(K2255,2)="W|"),2*N2255*O2255,0)</f>
        <v/>
      </c>
      <c r="Z2255" s="12" t="inlineStr">
        <is>
          <t>VD 2.1 %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5" t="n">
        <v>623</v>
      </c>
      <c r="U2256" s="15" t="n">
        <v>72</v>
      </c>
      <c r="V2256" s="15">
        <f>ROUNDUP((T2256+U2256+2*'Read Me'!$B$13)*(1+'Read Me'!$B$12),-1)</f>
        <v/>
      </c>
      <c r="W2256" s="15">
        <f>V2256*N2256*O2256</f>
        <v/>
      </c>
      <c r="X2256" s="12">
        <f>IF(LEFT(I2256,2)="MV",2*N2256*IF(L2256="1/C",O2256,1),0)</f>
        <v/>
      </c>
      <c r="Y2256" s="12">
        <f>IF(OR(LEFT(K2256,4)="LVAX",LEFT(K2256,6)="MV15AX",LEFT(K2256,4)="CTAX",LEFT(K2256,2)="W|"),2*N2256*O2256,0)</f>
        <v/>
      </c>
      <c r="Z2256" s="12" t="inlineStr">
        <is>
          <t>VD 2.1 %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5" t="n">
        <v>225</v>
      </c>
      <c r="U2257" s="15" t="n">
        <v>86</v>
      </c>
      <c r="V2257" s="15">
        <f>ROUNDUP((T2257+U2257+2*'Read Me'!$B$13)*(1+'Read Me'!$B$12),-1)</f>
        <v/>
      </c>
      <c r="W2257" s="15">
        <f>V2257*N2257*O2257</f>
        <v/>
      </c>
      <c r="X2257" s="12">
        <f>IF(LEFT(I2257,2)="MV",2*N2257*IF(L2257="1/C",O2257,1),0)</f>
        <v/>
      </c>
      <c r="Y2257" s="12">
        <f>IF(OR(LEFT(K2257,4)="LVAX",LEFT(K2257,6)="MV15AX",LEFT(K2257,4)="CTAX",LEFT(K2257,2)="W|"),2*N2257*O2257,0)</f>
        <v/>
      </c>
      <c r="Z2257" s="12" t="inlineStr">
        <is>
          <t>VD 0.5 %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5" t="n">
        <v>225</v>
      </c>
      <c r="U2258" s="15" t="n">
        <v>86</v>
      </c>
      <c r="V2258" s="15">
        <f>ROUNDUP((T2258+U2258+2*'Read Me'!$B$13)*(1+'Read Me'!$B$12),-1)</f>
        <v/>
      </c>
      <c r="W2258" s="15">
        <f>V2258*N2258*O2258</f>
        <v/>
      </c>
      <c r="X2258" s="12">
        <f>IF(LEFT(I2258,2)="MV",2*N2258*IF(L2258="1/C",O2258,1),0)</f>
        <v/>
      </c>
      <c r="Y2258" s="12">
        <f>IF(OR(LEFT(K2258,4)="LVAX",LEFT(K2258,6)="MV15AX",LEFT(K2258,4)="CTAX",LEFT(K2258,2)="W|"),2*N2258*O2258,0)</f>
        <v/>
      </c>
      <c r="Z2258" s="12" t="inlineStr">
        <is>
          <t>VD 0.5 %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5" t="n">
        <v>225</v>
      </c>
      <c r="U2259" s="15" t="n">
        <v>86</v>
      </c>
      <c r="V2259" s="15">
        <f>ROUNDUP((T2259+U2259+2*'Read Me'!$B$13)*(1+'Read Me'!$B$12),-1)</f>
        <v/>
      </c>
      <c r="W2259" s="15">
        <f>V2259*N2259*O2259</f>
        <v/>
      </c>
      <c r="X2259" s="12">
        <f>IF(LEFT(I2259,2)="MV",2*N2259*IF(L2259="1/C",O2259,1),0)</f>
        <v/>
      </c>
      <c r="Y2259" s="12">
        <f>IF(OR(LEFT(K2259,4)="LVAX",LEFT(K2259,6)="MV15AX",LEFT(K2259,4)="CTAX",LEFT(K2259,2)="W|"),2*N2259*O2259,0)</f>
        <v/>
      </c>
      <c r="Z2259" s="12" t="inlineStr">
        <is>
          <t>VD 0.5 %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5" t="n">
        <v>225</v>
      </c>
      <c r="U2260" s="15" t="n">
        <v>86</v>
      </c>
      <c r="V2260" s="15">
        <f>ROUNDUP((T2260+U2260+2*'Read Me'!$B$13)*(1+'Read Me'!$B$12),-1)</f>
        <v/>
      </c>
      <c r="W2260" s="15">
        <f>V2260*N2260*O2260</f>
        <v/>
      </c>
      <c r="X2260" s="12">
        <f>IF(LEFT(I2260,2)="MV",2*N2260*IF(L2260="1/C",O2260,1),0)</f>
        <v/>
      </c>
      <c r="Y2260" s="12">
        <f>IF(OR(LEFT(K2260,4)="LVAX",LEFT(K2260,6)="MV15AX",LEFT(K2260,4)="CTAX",LEFT(K2260,2)="W|"),2*N2260*O2260,0)</f>
        <v/>
      </c>
      <c r="Z2260" s="12" t="inlineStr">
        <is>
          <t>VD 0.5 %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5" t="n">
        <v>225</v>
      </c>
      <c r="U2261" s="15" t="n">
        <v>86</v>
      </c>
      <c r="V2261" s="15">
        <f>ROUNDUP((T2261+U2261+2*'Read Me'!$B$13)*(1+'Read Me'!$B$12),-1)</f>
        <v/>
      </c>
      <c r="W2261" s="15">
        <f>V2261*N2261*O2261</f>
        <v/>
      </c>
      <c r="X2261" s="12">
        <f>IF(LEFT(I2261,2)="MV",2*N2261*IF(L2261="1/C",O2261,1),0)</f>
        <v/>
      </c>
      <c r="Y2261" s="12">
        <f>IF(OR(LEFT(K2261,4)="LVAX",LEFT(K2261,6)="MV15AX",LEFT(K2261,4)="CTAX",LEFT(K2261,2)="W|"),2*N2261*O2261,0)</f>
        <v/>
      </c>
      <c r="Z2261" s="12" t="inlineStr">
        <is>
          <t>VD 0.5 %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5" t="n">
        <v>225</v>
      </c>
      <c r="U2262" s="15" t="n">
        <v>86</v>
      </c>
      <c r="V2262" s="15">
        <f>ROUNDUP((T2262+U2262+2*'Read Me'!$B$13)*(1+'Read Me'!$B$12),-1)</f>
        <v/>
      </c>
      <c r="W2262" s="15">
        <f>V2262*N2262*O2262</f>
        <v/>
      </c>
      <c r="X2262" s="12">
        <f>IF(LEFT(I2262,2)="MV",2*N2262*IF(L2262="1/C",O2262,1),0)</f>
        <v/>
      </c>
      <c r="Y2262" s="12">
        <f>IF(OR(LEFT(K2262,4)="LVAX",LEFT(K2262,6)="MV15AX",LEFT(K2262,4)="CTAX",LEFT(K2262,2)="W|"),2*N2262*O2262,0)</f>
        <v/>
      </c>
      <c r="Z2262" s="12" t="inlineStr">
        <is>
          <t>VD 0.5 %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5" t="n">
        <v>225</v>
      </c>
      <c r="U2263" s="15" t="n">
        <v>86</v>
      </c>
      <c r="V2263" s="15">
        <f>ROUNDUP((T2263+U2263+2*'Read Me'!$B$13)*(1+'Read Me'!$B$12),-1)</f>
        <v/>
      </c>
      <c r="W2263" s="15">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5" t="n">
        <v>225</v>
      </c>
      <c r="U2264" s="15" t="n">
        <v>86</v>
      </c>
      <c r="V2264" s="15">
        <f>ROUNDUP((T2264+U2264+2*'Read Me'!$B$13)*(1+'Read Me'!$B$12),-1)</f>
        <v/>
      </c>
      <c r="W2264" s="15">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5" t="n">
        <v>225</v>
      </c>
      <c r="U2265" s="15" t="n">
        <v>86</v>
      </c>
      <c r="V2265" s="15">
        <f>ROUNDUP((T2265+U2265+2*'Read Me'!$B$13)*(1+'Read Me'!$B$12),-1)</f>
        <v/>
      </c>
      <c r="W2265" s="15">
        <f>V2265*N2265*O2265</f>
        <v/>
      </c>
      <c r="X2265" s="12">
        <f>IF(LEFT(I2265,2)="MV",2*N2265*IF(L2265="1/C",O2265,1),0)</f>
        <v/>
      </c>
      <c r="Y2265" s="12">
        <f>IF(OR(LEFT(K2265,4)="LVAX",LEFT(K2265,6)="MV15AX",LEFT(K2265,4)="CTAX",LEFT(K2265,2)="W|"),2*N2265*O2265,0)</f>
        <v/>
      </c>
      <c r="Z2265" s="12" t="inlineStr">
        <is>
          <t>VD 0.5 %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5" t="n">
        <v>225</v>
      </c>
      <c r="U2266" s="15" t="n">
        <v>86</v>
      </c>
      <c r="V2266" s="15">
        <f>ROUNDUP((T2266+U2266+2*'Read Me'!$B$13)*(1+'Read Me'!$B$12),-1)</f>
        <v/>
      </c>
      <c r="W2266" s="15">
        <f>V2266*N2266*O2266</f>
        <v/>
      </c>
      <c r="X2266" s="12">
        <f>IF(LEFT(I2266,2)="MV",2*N2266*IF(L2266="1/C",O2266,1),0)</f>
        <v/>
      </c>
      <c r="Y2266" s="12">
        <f>IF(OR(LEFT(K2266,4)="LVAX",LEFT(K2266,6)="MV15AX",LEFT(K2266,4)="CTAX",LEFT(K2266,2)="W|"),2*N2266*O2266,0)</f>
        <v/>
      </c>
      <c r="Z2266" s="12" t="inlineStr">
        <is>
          <t>VD 0.5 %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5" t="n">
        <v>225</v>
      </c>
      <c r="U2267" s="15" t="n">
        <v>86</v>
      </c>
      <c r="V2267" s="15">
        <f>ROUNDUP((T2267+U2267+2*'Read Me'!$B$13)*(1+'Read Me'!$B$12),-1)</f>
        <v/>
      </c>
      <c r="W2267" s="15">
        <f>V2267*N2267*O2267</f>
        <v/>
      </c>
      <c r="X2267" s="12">
        <f>IF(LEFT(I2267,2)="MV",2*N2267*IF(L2267="1/C",O2267,1),0)</f>
        <v/>
      </c>
      <c r="Y2267" s="12">
        <f>IF(OR(LEFT(K2267,4)="LVAX",LEFT(K2267,6)="MV15AX",LEFT(K2267,4)="CTAX",LEFT(K2267,2)="W|"),2*N2267*O2267,0)</f>
        <v/>
      </c>
      <c r="Z2267" s="12" t="inlineStr">
        <is>
          <t>VD 0.5 %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5" t="n">
        <v>225</v>
      </c>
      <c r="U2268" s="15" t="n">
        <v>86</v>
      </c>
      <c r="V2268" s="15">
        <f>ROUNDUP((T2268+U2268+2*'Read Me'!$B$13)*(1+'Read Me'!$B$12),-1)</f>
        <v/>
      </c>
      <c r="W2268" s="15">
        <f>V2268*N2268*O2268</f>
        <v/>
      </c>
      <c r="X2268" s="12">
        <f>IF(LEFT(I2268,2)="MV",2*N2268*IF(L2268="1/C",O2268,1),0)</f>
        <v/>
      </c>
      <c r="Y2268" s="12">
        <f>IF(OR(LEFT(K2268,4)="LVAX",LEFT(K2268,6)="MV15AX",LEFT(K2268,4)="CTAX",LEFT(K2268,2)="W|"),2*N2268*O2268,0)</f>
        <v/>
      </c>
      <c r="Z2268" s="12" t="inlineStr">
        <is>
          <t>VD 0.5 %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5" t="n">
        <v>225</v>
      </c>
      <c r="U2269" s="15" t="n">
        <v>86</v>
      </c>
      <c r="V2269" s="15">
        <f>ROUNDUP((T2269+U2269+2*'Read Me'!$B$13)*(1+'Read Me'!$B$12),-1)</f>
        <v/>
      </c>
      <c r="W2269" s="15">
        <f>V2269*N2269*O2269</f>
        <v/>
      </c>
      <c r="X2269" s="12">
        <f>IF(LEFT(I2269,2)="MV",2*N2269*IF(L2269="1/C",O2269,1),0)</f>
        <v/>
      </c>
      <c r="Y2269" s="12">
        <f>IF(OR(LEFT(K2269,4)="LVAX",LEFT(K2269,6)="MV15AX",LEFT(K2269,4)="CTAX",LEFT(K2269,2)="W|"),2*N2269*O2269,0)</f>
        <v/>
      </c>
      <c r="Z2269" s="12" t="inlineStr">
        <is>
          <t>VD 0.5 %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5" t="n">
        <v>225</v>
      </c>
      <c r="U2270" s="15" t="n">
        <v>86</v>
      </c>
      <c r="V2270" s="15">
        <f>ROUNDUP((T2270+U2270+2*'Read Me'!$B$13)*(1+'Read Me'!$B$12),-1)</f>
        <v/>
      </c>
      <c r="W2270" s="15">
        <f>V2270*N2270*O2270</f>
        <v/>
      </c>
      <c r="X2270" s="12">
        <f>IF(LEFT(I2270,2)="MV",2*N2270*IF(L2270="1/C",O2270,1),0)</f>
        <v/>
      </c>
      <c r="Y2270" s="12">
        <f>IF(OR(LEFT(K2270,4)="LVAX",LEFT(K2270,6)="MV15AX",LEFT(K2270,4)="CTAX",LEFT(K2270,2)="W|"),2*N2270*O2270,0)</f>
        <v/>
      </c>
      <c r="Z2270" s="12" t="inlineStr">
        <is>
          <t>VD 0.5 %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5" t="n">
        <v>225</v>
      </c>
      <c r="U2271" s="15" t="n">
        <v>86</v>
      </c>
      <c r="V2271" s="15">
        <f>ROUNDUP((T2271+U2271+2*'Read Me'!$B$13)*(1+'Read Me'!$B$12),-1)</f>
        <v/>
      </c>
      <c r="W2271" s="15">
        <f>V2271*N2271*O2271</f>
        <v/>
      </c>
      <c r="X2271" s="12">
        <f>IF(LEFT(I2271,2)="MV",2*N2271*IF(L2271="1/C",O2271,1),0)</f>
        <v/>
      </c>
      <c r="Y2271" s="12">
        <f>IF(OR(LEFT(K2271,4)="LVAX",LEFT(K2271,6)="MV15AX",LEFT(K2271,4)="CTAX",LEFT(K2271,2)="W|"),2*N2271*O2271,0)</f>
        <v/>
      </c>
      <c r="Z2271" s="12" t="inlineStr">
        <is>
          <t>VD 0.5 %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5" t="n">
        <v>225</v>
      </c>
      <c r="U2272" s="15" t="n">
        <v>86</v>
      </c>
      <c r="V2272" s="15">
        <f>ROUNDUP((T2272+U2272+2*'Read Me'!$B$13)*(1+'Read Me'!$B$12),-1)</f>
        <v/>
      </c>
      <c r="W2272" s="15">
        <f>V2272*N2272*O2272</f>
        <v/>
      </c>
      <c r="X2272" s="12">
        <f>IF(LEFT(I2272,2)="MV",2*N2272*IF(L2272="1/C",O2272,1),0)</f>
        <v/>
      </c>
      <c r="Y2272" s="12">
        <f>IF(OR(LEFT(K2272,4)="LVAX",LEFT(K2272,6)="MV15AX",LEFT(K2272,4)="CTAX",LEFT(K2272,2)="W|"),2*N2272*O2272,0)</f>
        <v/>
      </c>
      <c r="Z2272" s="12" t="inlineStr">
        <is>
          <t>VD 0.5 %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5" t="n">
        <v>225</v>
      </c>
      <c r="U2273" s="15" t="n">
        <v>86</v>
      </c>
      <c r="V2273" s="15">
        <f>ROUNDUP((T2273+U2273+2*'Read Me'!$B$13)*(1+'Read Me'!$B$12),-1)</f>
        <v/>
      </c>
      <c r="W2273" s="15">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5" t="n">
        <v>225</v>
      </c>
      <c r="U2274" s="15" t="n">
        <v>86</v>
      </c>
      <c r="V2274" s="15">
        <f>ROUNDUP((T2274+U2274+2*'Read Me'!$B$13)*(1+'Read Me'!$B$12),-1)</f>
        <v/>
      </c>
      <c r="W2274" s="15">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5" t="n">
        <v>225</v>
      </c>
      <c r="U2275" s="15" t="n">
        <v>86</v>
      </c>
      <c r="V2275" s="15">
        <f>ROUNDUP((T2275+U2275+2*'Read Me'!$B$13)*(1+'Read Me'!$B$12),-1)</f>
        <v/>
      </c>
      <c r="W2275" s="15">
        <f>V2275*N2275*O2275</f>
        <v/>
      </c>
      <c r="X2275" s="12">
        <f>IF(LEFT(I2275,2)="MV",2*N2275*IF(L2275="1/C",O2275,1),0)</f>
        <v/>
      </c>
      <c r="Y2275" s="12">
        <f>IF(OR(LEFT(K2275,4)="LVAX",LEFT(K2275,6)="MV15AX",LEFT(K2275,4)="CTAX",LEFT(K2275,2)="W|"),2*N2275*O2275,0)</f>
        <v/>
      </c>
      <c r="Z2275" s="12" t="inlineStr">
        <is>
          <t>VD 0.5 %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5" t="n">
        <v>225</v>
      </c>
      <c r="U2276" s="15" t="n">
        <v>86</v>
      </c>
      <c r="V2276" s="15">
        <f>ROUNDUP((T2276+U2276+2*'Read Me'!$B$13)*(1+'Read Me'!$B$12),-1)</f>
        <v/>
      </c>
      <c r="W2276" s="15">
        <f>V2276*N2276*O2276</f>
        <v/>
      </c>
      <c r="X2276" s="12">
        <f>IF(LEFT(I2276,2)="MV",2*N2276*IF(L2276="1/C",O2276,1),0)</f>
        <v/>
      </c>
      <c r="Y2276" s="12">
        <f>IF(OR(LEFT(K2276,4)="LVAX",LEFT(K2276,6)="MV15AX",LEFT(K2276,4)="CTAX",LEFT(K2276,2)="W|"),2*N2276*O2276,0)</f>
        <v/>
      </c>
      <c r="Z2276" s="12" t="inlineStr">
        <is>
          <t>VD 0.5 %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5" t="n">
        <v>225</v>
      </c>
      <c r="U2277" s="15" t="n">
        <v>86</v>
      </c>
      <c r="V2277" s="15">
        <f>ROUNDUP((T2277+U2277+2*'Read Me'!$B$13)*(1+'Read Me'!$B$12),-1)</f>
        <v/>
      </c>
      <c r="W2277" s="15">
        <f>V2277*N2277*O2277</f>
        <v/>
      </c>
      <c r="X2277" s="12">
        <f>IF(LEFT(I2277,2)="MV",2*N2277*IF(L2277="1/C",O2277,1),0)</f>
        <v/>
      </c>
      <c r="Y2277" s="12">
        <f>IF(OR(LEFT(K2277,4)="LVAX",LEFT(K2277,6)="MV15AX",LEFT(K2277,4)="CTAX",LEFT(K2277,2)="W|"),2*N2277*O2277,0)</f>
        <v/>
      </c>
      <c r="Z2277" s="12" t="inlineStr">
        <is>
          <t>VD 0.5 %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5" t="n">
        <v>225</v>
      </c>
      <c r="U2278" s="15" t="n">
        <v>86</v>
      </c>
      <c r="V2278" s="15">
        <f>ROUNDUP((T2278+U2278+2*'Read Me'!$B$13)*(1+'Read Me'!$B$12),-1)</f>
        <v/>
      </c>
      <c r="W2278" s="15">
        <f>V2278*N2278*O2278</f>
        <v/>
      </c>
      <c r="X2278" s="12">
        <f>IF(LEFT(I2278,2)="MV",2*N2278*IF(L2278="1/C",O2278,1),0)</f>
        <v/>
      </c>
      <c r="Y2278" s="12">
        <f>IF(OR(LEFT(K2278,4)="LVAX",LEFT(K2278,6)="MV15AX",LEFT(K2278,4)="CTAX",LEFT(K2278,2)="W|"),2*N2278*O2278,0)</f>
        <v/>
      </c>
      <c r="Z2278" s="12" t="inlineStr">
        <is>
          <t>VD 0.5 %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5" t="n">
        <v>225</v>
      </c>
      <c r="U2279" s="15" t="n">
        <v>86</v>
      </c>
      <c r="V2279" s="15">
        <f>ROUNDUP((T2279+U2279+2*'Read Me'!$B$13)*(1+'Read Me'!$B$12),-1)</f>
        <v/>
      </c>
      <c r="W2279" s="15">
        <f>V2279*N2279*O2279</f>
        <v/>
      </c>
      <c r="X2279" s="12">
        <f>IF(LEFT(I2279,2)="MV",2*N2279*IF(L2279="1/C",O2279,1),0)</f>
        <v/>
      </c>
      <c r="Y2279" s="12">
        <f>IF(OR(LEFT(K2279,4)="LVAX",LEFT(K2279,6)="MV15AX",LEFT(K2279,4)="CTAX",LEFT(K2279,2)="W|"),2*N2279*O2279,0)</f>
        <v/>
      </c>
      <c r="Z2279" s="12" t="inlineStr">
        <is>
          <t>VD 0.5 %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5" t="n">
        <v>225</v>
      </c>
      <c r="U2280" s="15" t="n">
        <v>86</v>
      </c>
      <c r="V2280" s="15">
        <f>ROUNDUP((T2280+U2280+2*'Read Me'!$B$13)*(1+'Read Me'!$B$12),-1)</f>
        <v/>
      </c>
      <c r="W2280" s="15">
        <f>V2280*N2280*O2280</f>
        <v/>
      </c>
      <c r="X2280" s="12">
        <f>IF(LEFT(I2280,2)="MV",2*N2280*IF(L2280="1/C",O2280,1),0)</f>
        <v/>
      </c>
      <c r="Y2280" s="12">
        <f>IF(OR(LEFT(K2280,4)="LVAX",LEFT(K2280,6)="MV15AX",LEFT(K2280,4)="CTAX",LEFT(K2280,2)="W|"),2*N2280*O2280,0)</f>
        <v/>
      </c>
      <c r="Z2280" s="12" t="inlineStr">
        <is>
          <t>VD 0.5 %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5" t="n">
        <v>225</v>
      </c>
      <c r="U2281" s="15" t="n">
        <v>86</v>
      </c>
      <c r="V2281" s="15">
        <f>ROUNDUP((T2281+U2281+2*'Read Me'!$B$13)*(1+'Read Me'!$B$12),-1)</f>
        <v/>
      </c>
      <c r="W2281" s="15">
        <f>V2281*N2281*O2281</f>
        <v/>
      </c>
      <c r="X2281" s="12">
        <f>IF(LEFT(I2281,2)="MV",2*N2281*IF(L2281="1/C",O2281,1),0)</f>
        <v/>
      </c>
      <c r="Y2281" s="12">
        <f>IF(OR(LEFT(K2281,4)="LVAX",LEFT(K2281,6)="MV15AX",LEFT(K2281,4)="CTAX",LEFT(K2281,2)="W|"),2*N2281*O2281,0)</f>
        <v/>
      </c>
      <c r="Z2281" s="12" t="inlineStr">
        <is>
          <t>VD 0.5 %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5" t="n">
        <v>225</v>
      </c>
      <c r="U2282" s="15" t="n">
        <v>86</v>
      </c>
      <c r="V2282" s="15">
        <f>ROUNDUP((T2282+U2282+2*'Read Me'!$B$13)*(1+'Read Me'!$B$12),-1)</f>
        <v/>
      </c>
      <c r="W2282" s="15">
        <f>V2282*N2282*O2282</f>
        <v/>
      </c>
      <c r="X2282" s="12">
        <f>IF(LEFT(I2282,2)="MV",2*N2282*IF(L2282="1/C",O2282,1),0)</f>
        <v/>
      </c>
      <c r="Y2282" s="12">
        <f>IF(OR(LEFT(K2282,4)="LVAX",LEFT(K2282,6)="MV15AX",LEFT(K2282,4)="CTAX",LEFT(K2282,2)="W|"),2*N2282*O2282,0)</f>
        <v/>
      </c>
      <c r="Z2282" s="12" t="inlineStr">
        <is>
          <t>VD 0.5 %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5" t="n">
        <v>225</v>
      </c>
      <c r="U2283" s="15" t="n">
        <v>86</v>
      </c>
      <c r="V2283" s="15">
        <f>ROUNDUP((T2283+U2283+2*'Read Me'!$B$13)*(1+'Read Me'!$B$12),-1)</f>
        <v/>
      </c>
      <c r="W2283" s="15">
        <f>V2283*N2283*O2283</f>
        <v/>
      </c>
      <c r="X2283" s="12">
        <f>IF(LEFT(I2283,2)="MV",2*N2283*IF(L2283="1/C",O2283,1),0)</f>
        <v/>
      </c>
      <c r="Y2283" s="12">
        <f>IF(OR(LEFT(K2283,4)="LVAX",LEFT(K2283,6)="MV15AX",LEFT(K2283,4)="CTAX",LEFT(K2283,2)="W|"),2*N2283*O2283,0)</f>
        <v/>
      </c>
      <c r="Z2283" s="12" t="inlineStr">
        <is>
          <t>VD 0.5 %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5" t="n">
        <v>225</v>
      </c>
      <c r="U2284" s="15" t="n">
        <v>86</v>
      </c>
      <c r="V2284" s="15">
        <f>ROUNDUP((T2284+U2284+2*'Read Me'!$B$13)*(1+'Read Me'!$B$12),-1)</f>
        <v/>
      </c>
      <c r="W2284" s="15">
        <f>V2284*N2284*O2284</f>
        <v/>
      </c>
      <c r="X2284" s="12">
        <f>IF(LEFT(I2284,2)="MV",2*N2284*IF(L2284="1/C",O2284,1),0)</f>
        <v/>
      </c>
      <c r="Y2284" s="12">
        <f>IF(OR(LEFT(K2284,4)="LVAX",LEFT(K2284,6)="MV15AX",LEFT(K2284,4)="CTAX",LEFT(K2284,2)="W|"),2*N2284*O2284,0)</f>
        <v/>
      </c>
      <c r="Z2284" s="12" t="inlineStr">
        <is>
          <t>VD 0.5 %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5" t="n">
        <v>225</v>
      </c>
      <c r="U2285" s="15" t="n">
        <v>86</v>
      </c>
      <c r="V2285" s="15">
        <f>ROUNDUP((T2285+U2285+2*'Read Me'!$B$13)*(1+'Read Me'!$B$12),-1)</f>
        <v/>
      </c>
      <c r="W2285" s="15">
        <f>V2285*N2285*O2285</f>
        <v/>
      </c>
      <c r="X2285" s="12">
        <f>IF(LEFT(I2285,2)="MV",2*N2285*IF(L2285="1/C",O2285,1),0)</f>
        <v/>
      </c>
      <c r="Y2285" s="12">
        <f>IF(OR(LEFT(K2285,4)="LVAX",LEFT(K2285,6)="MV15AX",LEFT(K2285,4)="CTAX",LEFT(K2285,2)="W|"),2*N2285*O2285,0)</f>
        <v/>
      </c>
      <c r="Z2285" s="12" t="inlineStr">
        <is>
          <t>VD 0.5 %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5" t="n">
        <v>225</v>
      </c>
      <c r="U2286" s="15" t="n">
        <v>86</v>
      </c>
      <c r="V2286" s="15">
        <f>ROUNDUP((T2286+U2286+2*'Read Me'!$B$13)*(1+'Read Me'!$B$12),-1)</f>
        <v/>
      </c>
      <c r="W2286" s="15">
        <f>V2286*N2286*O2286</f>
        <v/>
      </c>
      <c r="X2286" s="12">
        <f>IF(LEFT(I2286,2)="MV",2*N2286*IF(L2286="1/C",O2286,1),0)</f>
        <v/>
      </c>
      <c r="Y2286" s="12">
        <f>IF(OR(LEFT(K2286,4)="LVAX",LEFT(K2286,6)="MV15AX",LEFT(K2286,4)="CTAX",LEFT(K2286,2)="W|"),2*N2286*O2286,0)</f>
        <v/>
      </c>
      <c r="Z2286" s="12" t="inlineStr">
        <is>
          <t>VD 0.5 %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5" t="n">
        <v>525</v>
      </c>
      <c r="U2287" s="15" t="n">
        <v>86</v>
      </c>
      <c r="V2287" s="15">
        <f>ROUNDUP((T2287+U2287+2*'Read Me'!$B$13)*(1+'Read Me'!$B$12),-1)</f>
        <v/>
      </c>
      <c r="W2287" s="15">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5" t="n">
        <v>525</v>
      </c>
      <c r="U2288" s="15" t="n">
        <v>86</v>
      </c>
      <c r="V2288" s="15">
        <f>ROUNDUP((T2288+U2288+2*'Read Me'!$B$13)*(1+'Read Me'!$B$12),-1)</f>
        <v/>
      </c>
      <c r="W2288" s="15">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5" t="n">
        <v>525</v>
      </c>
      <c r="U2289" s="15" t="n">
        <v>86</v>
      </c>
      <c r="V2289" s="15">
        <f>ROUNDUP((T2289+U2289+2*'Read Me'!$B$13)*(1+'Read Me'!$B$12),-1)</f>
        <v/>
      </c>
      <c r="W2289" s="15">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5" t="n">
        <v>525</v>
      </c>
      <c r="U2290" s="15" t="n">
        <v>86</v>
      </c>
      <c r="V2290" s="15">
        <f>ROUNDUP((T2290+U2290+2*'Read Me'!$B$13)*(1+'Read Me'!$B$12),-1)</f>
        <v/>
      </c>
      <c r="W2290" s="15">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5" t="n">
        <v>525</v>
      </c>
      <c r="U2291" s="15" t="n">
        <v>86</v>
      </c>
      <c r="V2291" s="15">
        <f>ROUNDUP((T2291+U2291+2*'Read Me'!$B$13)*(1+'Read Me'!$B$12),-1)</f>
        <v/>
      </c>
      <c r="W2291" s="15">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5" t="n">
        <v>525</v>
      </c>
      <c r="U2292" s="15" t="n">
        <v>86</v>
      </c>
      <c r="V2292" s="15">
        <f>ROUNDUP((T2292+U2292+2*'Read Me'!$B$13)*(1+'Read Me'!$B$12),-1)</f>
        <v/>
      </c>
      <c r="W2292" s="15">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5" t="n">
        <v>525</v>
      </c>
      <c r="U2293" s="15" t="n">
        <v>86</v>
      </c>
      <c r="V2293" s="15">
        <f>ROUNDUP((T2293+U2293+2*'Read Me'!$B$13)*(1+'Read Me'!$B$12),-1)</f>
        <v/>
      </c>
      <c r="W2293" s="15">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5" t="n">
        <v>225</v>
      </c>
      <c r="U2294" s="15" t="n">
        <v>86</v>
      </c>
      <c r="V2294" s="15">
        <f>ROUNDUP((T2294+U2294+2*'Read Me'!$B$13)*(1+'Read Me'!$B$12),-1)</f>
        <v/>
      </c>
      <c r="W2294" s="15">
        <f>V2294*N2294*O2294</f>
        <v/>
      </c>
      <c r="X2294" s="12">
        <f>IF(LEFT(I2294,2)="MV",2*N2294*IF(L2294="1/C",O2294,1),0)</f>
        <v/>
      </c>
      <c r="Y2294" s="12">
        <f>IF(OR(LEFT(K2294,4)="LVAX",LEFT(K2294,6)="MV15AX",LEFT(K2294,4)="CTAX",LEFT(K2294,2)="W|"),2*N2294*O2294,0)</f>
        <v/>
      </c>
      <c r="Z2294" s="12" t="inlineStr">
        <is>
          <t>VD 1.8 %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5" t="n">
        <v>225</v>
      </c>
      <c r="U2295" s="15" t="n">
        <v>86</v>
      </c>
      <c r="V2295" s="15">
        <f>ROUNDUP((T2295+U2295+2*'Read Me'!$B$13)*(1+'Read Me'!$B$12),-1)</f>
        <v/>
      </c>
      <c r="W2295" s="15">
        <f>V2295*N2295*O2295</f>
        <v/>
      </c>
      <c r="X2295" s="12">
        <f>IF(LEFT(I2295,2)="MV",2*N2295*IF(L2295="1/C",O2295,1),0)</f>
        <v/>
      </c>
      <c r="Y2295" s="12">
        <f>IF(OR(LEFT(K2295,4)="LVAX",LEFT(K2295,6)="MV15AX",LEFT(K2295,4)="CTAX",LEFT(K2295,2)="W|"),2*N2295*O2295,0)</f>
        <v/>
      </c>
      <c r="Z2295" s="12" t="inlineStr">
        <is>
          <t>VD 1.8 %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5" t="n">
        <v>225</v>
      </c>
      <c r="U2296" s="15" t="n">
        <v>86</v>
      </c>
      <c r="V2296" s="15">
        <f>ROUNDUP((T2296+U2296+2*'Read Me'!$B$13)*(1+'Read Me'!$B$12),-1)</f>
        <v/>
      </c>
      <c r="W2296" s="15">
        <f>V2296*N2296*O2296</f>
        <v/>
      </c>
      <c r="X2296" s="12">
        <f>IF(LEFT(I2296,2)="MV",2*N2296*IF(L2296="1/C",O2296,1),0)</f>
        <v/>
      </c>
      <c r="Y2296" s="12">
        <f>IF(OR(LEFT(K2296,4)="LVAX",LEFT(K2296,6)="MV15AX",LEFT(K2296,4)="CTAX",LEFT(K2296,2)="W|"),2*N2296*O2296,0)</f>
        <v/>
      </c>
      <c r="Z2296" s="12" t="inlineStr">
        <is>
          <t>VD 1.8 %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5" t="n">
        <v>225</v>
      </c>
      <c r="U2297" s="15" t="n">
        <v>86</v>
      </c>
      <c r="V2297" s="15">
        <f>ROUNDUP((T2297+U2297+2*'Read Me'!$B$13)*(1+'Read Me'!$B$12),-1)</f>
        <v/>
      </c>
      <c r="W2297" s="15">
        <f>V2297*N2297*O2297</f>
        <v/>
      </c>
      <c r="X2297" s="12">
        <f>IF(LEFT(I2297,2)="MV",2*N2297*IF(L2297="1/C",O2297,1),0)</f>
        <v/>
      </c>
      <c r="Y2297" s="12">
        <f>IF(OR(LEFT(K2297,4)="LVAX",LEFT(K2297,6)="MV15AX",LEFT(K2297,4)="CTAX",LEFT(K2297,2)="W|"),2*N2297*O2297,0)</f>
        <v/>
      </c>
      <c r="Z2297" s="12" t="inlineStr">
        <is>
          <t>VD 1.8 %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5" t="n">
        <v>791</v>
      </c>
      <c r="U2298" s="15" t="n">
        <v>128</v>
      </c>
      <c r="V2298" s="15">
        <f>ROUNDUP((T2298+U2298+2*'Read Me'!$B$13)*(1+'Read Me'!$B$12),-1)</f>
        <v/>
      </c>
      <c r="W2298" s="15">
        <f>V2298*N2298*O2298</f>
        <v/>
      </c>
      <c r="X2298" s="12">
        <f>IF(LEFT(I2298,2)="MV",2*N2298*IF(L2298="1/C",O2298,1),0)</f>
        <v/>
      </c>
      <c r="Y2298" s="12">
        <f>IF(OR(LEFT(K2298,4)="LVAX",LEFT(K2298,6)="MV15AX",LEFT(K2298,4)="CTAX",LEFT(K2298,2)="W|"),2*N2298*O2298,0)</f>
        <v/>
      </c>
      <c r="Z2298" s="12" t="inlineStr">
        <is>
          <t>VD 2.2 %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5" t="n">
        <v>791</v>
      </c>
      <c r="U2299" s="15" t="n">
        <v>128</v>
      </c>
      <c r="V2299" s="15">
        <f>ROUNDUP((T2299+U2299+2*'Read Me'!$B$13)*(1+'Read Me'!$B$12),-1)</f>
        <v/>
      </c>
      <c r="W2299" s="15">
        <f>V2299*N2299*O2299</f>
        <v/>
      </c>
      <c r="X2299" s="12">
        <f>IF(LEFT(I2299,2)="MV",2*N2299*IF(L2299="1/C",O2299,1),0)</f>
        <v/>
      </c>
      <c r="Y2299" s="12">
        <f>IF(OR(LEFT(K2299,4)="LVAX",LEFT(K2299,6)="MV15AX",LEFT(K2299,4)="CTAX",LEFT(K2299,2)="W|"),2*N2299*O2299,0)</f>
        <v/>
      </c>
      <c r="Z2299" s="12" t="inlineStr">
        <is>
          <t>VD 2.2 %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5" t="n">
        <v>791</v>
      </c>
      <c r="U2300" s="15" t="n">
        <v>128</v>
      </c>
      <c r="V2300" s="15">
        <f>ROUNDUP((T2300+U2300+2*'Read Me'!$B$13)*(1+'Read Me'!$B$12),-1)</f>
        <v/>
      </c>
      <c r="W2300" s="15">
        <f>V2300*N2300*O2300</f>
        <v/>
      </c>
      <c r="X2300" s="12">
        <f>IF(LEFT(I2300,2)="MV",2*N2300*IF(L2300="1/C",O2300,1),0)</f>
        <v/>
      </c>
      <c r="Y2300" s="12">
        <f>IF(OR(LEFT(K2300,4)="LVAX",LEFT(K2300,6)="MV15AX",LEFT(K2300,4)="CTAX",LEFT(K2300,2)="W|"),2*N2300*O2300,0)</f>
        <v/>
      </c>
      <c r="Z2300" s="12" t="inlineStr">
        <is>
          <t>VD 2.2 %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5" t="n">
        <v>791</v>
      </c>
      <c r="U2301" s="15" t="n">
        <v>128</v>
      </c>
      <c r="V2301" s="15">
        <f>ROUNDUP((T2301+U2301+2*'Read Me'!$B$13)*(1+'Read Me'!$B$12),-1)</f>
        <v/>
      </c>
      <c r="W2301" s="15">
        <f>V2301*N2301*O2301</f>
        <v/>
      </c>
      <c r="X2301" s="12">
        <f>IF(LEFT(I2301,2)="MV",2*N2301*IF(L2301="1/C",O2301,1),0)</f>
        <v/>
      </c>
      <c r="Y2301" s="12">
        <f>IF(OR(LEFT(K2301,4)="LVAX",LEFT(K2301,6)="MV15AX",LEFT(K2301,4)="CTAX",LEFT(K2301,2)="W|"),2*N2301*O2301,0)</f>
        <v/>
      </c>
      <c r="Z2301" s="12" t="inlineStr">
        <is>
          <t>VD 2.2 %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5" t="n">
        <v>791</v>
      </c>
      <c r="U2302" s="15" t="n">
        <v>128</v>
      </c>
      <c r="V2302" s="15">
        <f>ROUNDUP((T2302+U2302+2*'Read Me'!$B$13)*(1+'Read Me'!$B$12),-1)</f>
        <v/>
      </c>
      <c r="W2302" s="15">
        <f>V2302*N2302*O2302</f>
        <v/>
      </c>
      <c r="X2302" s="12">
        <f>IF(LEFT(I2302,2)="MV",2*N2302*IF(L2302="1/C",O2302,1),0)</f>
        <v/>
      </c>
      <c r="Y2302" s="12">
        <f>IF(OR(LEFT(K2302,4)="LVAX",LEFT(K2302,6)="MV15AX",LEFT(K2302,4)="CTAX",LEFT(K2302,2)="W|"),2*N2302*O2302,0)</f>
        <v/>
      </c>
      <c r="Z2302" s="12" t="inlineStr">
        <is>
          <t>VD 2.2 %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5" t="n">
        <v>791</v>
      </c>
      <c r="U2303" s="15" t="n">
        <v>128</v>
      </c>
      <c r="V2303" s="15">
        <f>ROUNDUP((T2303+U2303+2*'Read Me'!$B$13)*(1+'Read Me'!$B$12),-1)</f>
        <v/>
      </c>
      <c r="W2303" s="15">
        <f>V2303*N2303*O2303</f>
        <v/>
      </c>
      <c r="X2303" s="12">
        <f>IF(LEFT(I2303,2)="MV",2*N2303*IF(L2303="1/C",O2303,1),0)</f>
        <v/>
      </c>
      <c r="Y2303" s="12">
        <f>IF(OR(LEFT(K2303,4)="LVAX",LEFT(K2303,6)="MV15AX",LEFT(K2303,4)="CTAX",LEFT(K2303,2)="W|"),2*N2303*O2303,0)</f>
        <v/>
      </c>
      <c r="Z2303" s="12" t="inlineStr">
        <is>
          <t>VD 2.2 %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5" t="n">
        <v>791</v>
      </c>
      <c r="U2304" s="15" t="n">
        <v>128</v>
      </c>
      <c r="V2304" s="15">
        <f>ROUNDUP((T2304+U2304+2*'Read Me'!$B$13)*(1+'Read Me'!$B$12),-1)</f>
        <v/>
      </c>
      <c r="W2304" s="15">
        <f>V2304*N2304*O2304</f>
        <v/>
      </c>
      <c r="X2304" s="12">
        <f>IF(LEFT(I2304,2)="MV",2*N2304*IF(L2304="1/C",O2304,1),0)</f>
        <v/>
      </c>
      <c r="Y2304" s="12">
        <f>IF(OR(LEFT(K2304,4)="LVAX",LEFT(K2304,6)="MV15AX",LEFT(K2304,4)="CTAX",LEFT(K2304,2)="W|"),2*N2304*O2304,0)</f>
        <v/>
      </c>
      <c r="Z2304" s="12" t="inlineStr">
        <is>
          <t>VD 2.2 %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5" t="n">
        <v>791</v>
      </c>
      <c r="U2305" s="15" t="n">
        <v>128</v>
      </c>
      <c r="V2305" s="15">
        <f>ROUNDUP((T2305+U2305+2*'Read Me'!$B$13)*(1+'Read Me'!$B$12),-1)</f>
        <v/>
      </c>
      <c r="W2305" s="15">
        <f>V2305*N2305*O2305</f>
        <v/>
      </c>
      <c r="X2305" s="12">
        <f>IF(LEFT(I2305,2)="MV",2*N2305*IF(L2305="1/C",O2305,1),0)</f>
        <v/>
      </c>
      <c r="Y2305" s="12">
        <f>IF(OR(LEFT(K2305,4)="LVAX",LEFT(K2305,6)="MV15AX",LEFT(K2305,4)="CTAX",LEFT(K2305,2)="W|"),2*N2305*O2305,0)</f>
        <v/>
      </c>
      <c r="Z2305" s="12" t="inlineStr">
        <is>
          <t>VD 2.2 %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5" t="n">
        <v>791</v>
      </c>
      <c r="U2306" s="15" t="n">
        <v>128</v>
      </c>
      <c r="V2306" s="15">
        <f>ROUNDUP((T2306+U2306+2*'Read Me'!$B$13)*(1+'Read Me'!$B$12),-1)</f>
        <v/>
      </c>
      <c r="W2306" s="15">
        <f>V2306*N2306*O2306</f>
        <v/>
      </c>
      <c r="X2306" s="12">
        <f>IF(LEFT(I2306,2)="MV",2*N2306*IF(L2306="1/C",O2306,1),0)</f>
        <v/>
      </c>
      <c r="Y2306" s="12">
        <f>IF(OR(LEFT(K2306,4)="LVAX",LEFT(K2306,6)="MV15AX",LEFT(K2306,4)="CTAX",LEFT(K2306,2)="W|"),2*N2306*O2306,0)</f>
        <v/>
      </c>
      <c r="Z2306" s="12" t="inlineStr">
        <is>
          <t>VD 2.2 %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5" t="n">
        <v>791</v>
      </c>
      <c r="U2307" s="15" t="n">
        <v>128</v>
      </c>
      <c r="V2307" s="15">
        <f>ROUNDUP((T2307+U2307+2*'Read Me'!$B$13)*(1+'Read Me'!$B$12),-1)</f>
        <v/>
      </c>
      <c r="W2307" s="15">
        <f>V2307*N2307*O2307</f>
        <v/>
      </c>
      <c r="X2307" s="12">
        <f>IF(LEFT(I2307,2)="MV",2*N2307*IF(L2307="1/C",O2307,1),0)</f>
        <v/>
      </c>
      <c r="Y2307" s="12">
        <f>IF(OR(LEFT(K2307,4)="LVAX",LEFT(K2307,6)="MV15AX",LEFT(K2307,4)="CTAX",LEFT(K2307,2)="W|"),2*N2307*O2307,0)</f>
        <v/>
      </c>
      <c r="Z2307" s="12" t="inlineStr">
        <is>
          <t>VD 2.2 %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5" t="n">
        <v>791</v>
      </c>
      <c r="U2308" s="15" t="n">
        <v>128</v>
      </c>
      <c r="V2308" s="15">
        <f>ROUNDUP((T2308+U2308+2*'Read Me'!$B$13)*(1+'Read Me'!$B$12),-1)</f>
        <v/>
      </c>
      <c r="W2308" s="15">
        <f>V2308*N2308*O2308</f>
        <v/>
      </c>
      <c r="X2308" s="12">
        <f>IF(LEFT(I2308,2)="MV",2*N2308*IF(L2308="1/C",O2308,1),0)</f>
        <v/>
      </c>
      <c r="Y2308" s="12">
        <f>IF(OR(LEFT(K2308,4)="LVAX",LEFT(K2308,6)="MV15AX",LEFT(K2308,4)="CTAX",LEFT(K2308,2)="W|"),2*N2308*O2308,0)</f>
        <v/>
      </c>
      <c r="Z2308" s="12" t="inlineStr">
        <is>
          <t>VD 2.2 %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5" t="n">
        <v>791</v>
      </c>
      <c r="U2309" s="15" t="n">
        <v>128</v>
      </c>
      <c r="V2309" s="15">
        <f>ROUNDUP((T2309+U2309+2*'Read Me'!$B$13)*(1+'Read Me'!$B$12),-1)</f>
        <v/>
      </c>
      <c r="W2309" s="15">
        <f>V2309*N2309*O2309</f>
        <v/>
      </c>
      <c r="X2309" s="12">
        <f>IF(LEFT(I2309,2)="MV",2*N2309*IF(L2309="1/C",O2309,1),0)</f>
        <v/>
      </c>
      <c r="Y2309" s="12">
        <f>IF(OR(LEFT(K2309,4)="LVAX",LEFT(K2309,6)="MV15AX",LEFT(K2309,4)="CTAX",LEFT(K2309,2)="W|"),2*N2309*O2309,0)</f>
        <v/>
      </c>
      <c r="Z2309" s="12" t="inlineStr">
        <is>
          <t>VD 2.2 %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5" t="n">
        <v>690</v>
      </c>
      <c r="U2310" s="15" t="n">
        <v>92</v>
      </c>
      <c r="V2310" s="15">
        <f>ROUNDUP((T2310+U2310+2*'Read Me'!$B$13)*(1+'Read Me'!$B$12),-1)</f>
        <v/>
      </c>
      <c r="W2310" s="15">
        <f>V2310*N2310*O2310</f>
        <v/>
      </c>
      <c r="X2310" s="12">
        <f>IF(LEFT(I2310,2)="MV",2*N2310*IF(L2310="1/C",O2310,1),0)</f>
        <v/>
      </c>
      <c r="Y2310" s="12">
        <f>IF(OR(LEFT(K2310,4)="LVAX",LEFT(K2310,6)="MV15AX",LEFT(K2310,4)="CTAX",LEFT(K2310,2)="W|"),2*N2310*O2310,0)</f>
        <v/>
      </c>
      <c r="Z2310" s="12" t="inlineStr">
        <is>
          <t>VD 2.4 %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5" t="n">
        <v>690</v>
      </c>
      <c r="U2311" s="15" t="n">
        <v>92</v>
      </c>
      <c r="V2311" s="15">
        <f>ROUNDUP((T2311+U2311+2*'Read Me'!$B$13)*(1+'Read Me'!$B$12),-1)</f>
        <v/>
      </c>
      <c r="W2311" s="15">
        <f>V2311*N2311*O2311</f>
        <v/>
      </c>
      <c r="X2311" s="12">
        <f>IF(LEFT(I2311,2)="MV",2*N2311*IF(L2311="1/C",O2311,1),0)</f>
        <v/>
      </c>
      <c r="Y2311" s="12">
        <f>IF(OR(LEFT(K2311,4)="LVAX",LEFT(K2311,6)="MV15AX",LEFT(K2311,4)="CTAX",LEFT(K2311,2)="W|"),2*N2311*O2311,0)</f>
        <v/>
      </c>
      <c r="Z2311" s="12" t="inlineStr">
        <is>
          <t>VD 2.4 %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5" t="n">
        <v>411</v>
      </c>
      <c r="U2312" s="15" t="n">
        <v>100</v>
      </c>
      <c r="V2312" s="15">
        <f>ROUNDUP((T2312+U2312+2*'Read Me'!$B$13)*(1+'Read Me'!$B$12),-1)</f>
        <v/>
      </c>
      <c r="W2312" s="15">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5" t="n">
        <v>0</v>
      </c>
      <c r="U2313" s="15" t="n">
        <v>91</v>
      </c>
      <c r="V2313" s="15">
        <f>ROUNDUP((T2313+U2313+2*'Read Me'!$B$13)*(1+'Read Me'!$B$12),-1)</f>
        <v/>
      </c>
      <c r="W2313" s="15">
        <f>V2313*N2313*O2313</f>
        <v/>
      </c>
      <c r="X2313" s="12">
        <f>IF(LEFT(I2313,2)="MV",2*N2313*IF(L2313="1/C",O2313,1),0)</f>
        <v/>
      </c>
      <c r="Y2313" s="12">
        <f>IF(OR(LEFT(K2313,4)="LVAX",LEFT(K2313,6)="MV15AX",LEFT(K2313,4)="CTAX",LEFT(K2313,2)="W|"),2*N2313*O2313,0)</f>
        <v/>
      </c>
      <c r="Z2313" s="12" t="inlineStr">
        <is>
          <t>VD 0.4 %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5" t="n">
        <v>141</v>
      </c>
      <c r="U2314" s="15" t="n">
        <v>83</v>
      </c>
      <c r="V2314" s="15">
        <f>ROUNDUP((T2314+U2314+2*'Read Me'!$B$13)*(1+'Read Me'!$B$12),-1)</f>
        <v/>
      </c>
      <c r="W2314" s="15">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5" t="n">
        <v>141</v>
      </c>
      <c r="U2315" s="15" t="n">
        <v>83</v>
      </c>
      <c r="V2315" s="15">
        <f>ROUNDUP((T2315+U2315+2*'Read Me'!$B$13)*(1+'Read Me'!$B$12),-1)</f>
        <v/>
      </c>
      <c r="W2315" s="15">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5" t="n">
        <v>141</v>
      </c>
      <c r="U2316" s="15" t="n">
        <v>83</v>
      </c>
      <c r="V2316" s="15">
        <f>ROUNDUP((T2316+U2316+2*'Read Me'!$B$13)*(1+'Read Me'!$B$12),-1)</f>
        <v/>
      </c>
      <c r="W2316" s="15">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5" t="n">
        <v>141</v>
      </c>
      <c r="U2317" s="15" t="n">
        <v>83</v>
      </c>
      <c r="V2317" s="15">
        <f>ROUNDUP((T2317+U2317+2*'Read Me'!$B$13)*(1+'Read Me'!$B$12),-1)</f>
        <v/>
      </c>
      <c r="W2317" s="15">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5" t="n">
        <v>141</v>
      </c>
      <c r="U2318" s="15" t="n">
        <v>83</v>
      </c>
      <c r="V2318" s="15">
        <f>ROUNDUP((T2318+U2318+2*'Read Me'!$B$13)*(1+'Read Me'!$B$12),-1)</f>
        <v/>
      </c>
      <c r="W2318" s="15">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5" t="n">
        <v>141</v>
      </c>
      <c r="U2319" s="15" t="n">
        <v>83</v>
      </c>
      <c r="V2319" s="15">
        <f>ROUNDUP((T2319+U2319+2*'Read Me'!$B$13)*(1+'Read Me'!$B$12),-1)</f>
        <v/>
      </c>
      <c r="W2319" s="15">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5" t="n">
        <v>167</v>
      </c>
      <c r="U2320" s="15" t="n">
        <v>83</v>
      </c>
      <c r="V2320" s="15">
        <f>ROUNDUP((T2320+U2320+2*'Read Me'!$B$13)*(1+'Read Me'!$B$12),-1)</f>
        <v/>
      </c>
      <c r="W2320" s="15">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5" t="n">
        <v>167</v>
      </c>
      <c r="U2321" s="15" t="n">
        <v>83</v>
      </c>
      <c r="V2321" s="15">
        <f>ROUNDUP((T2321+U2321+2*'Read Me'!$B$13)*(1+'Read Me'!$B$12),-1)</f>
        <v/>
      </c>
      <c r="W2321" s="15">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5" t="n">
        <v>167</v>
      </c>
      <c r="U2322" s="15" t="n">
        <v>83</v>
      </c>
      <c r="V2322" s="15">
        <f>ROUNDUP((T2322+U2322+2*'Read Me'!$B$13)*(1+'Read Me'!$B$12),-1)</f>
        <v/>
      </c>
      <c r="W2322" s="15">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5" t="n">
        <v>167</v>
      </c>
      <c r="U2323" s="15" t="n">
        <v>83</v>
      </c>
      <c r="V2323" s="15">
        <f>ROUNDUP((T2323+U2323+2*'Read Me'!$B$13)*(1+'Read Me'!$B$12),-1)</f>
        <v/>
      </c>
      <c r="W2323" s="15">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5" t="n">
        <v>167</v>
      </c>
      <c r="U2324" s="15" t="n">
        <v>83</v>
      </c>
      <c r="V2324" s="15">
        <f>ROUNDUP((T2324+U2324+2*'Read Me'!$B$13)*(1+'Read Me'!$B$12),-1)</f>
        <v/>
      </c>
      <c r="W2324" s="15">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5" t="n">
        <v>167</v>
      </c>
      <c r="U2325" s="15" t="n">
        <v>83</v>
      </c>
      <c r="V2325" s="15">
        <f>ROUNDUP((T2325+U2325+2*'Read Me'!$B$13)*(1+'Read Me'!$B$12),-1)</f>
        <v/>
      </c>
      <c r="W2325" s="15">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5" t="n">
        <v>196</v>
      </c>
      <c r="U2326" s="15" t="n">
        <v>70</v>
      </c>
      <c r="V2326" s="15">
        <f>ROUNDUP((T2326+U2326+2*'Read Me'!$B$13)*(1+'Read Me'!$B$12),-1)</f>
        <v/>
      </c>
      <c r="W2326" s="15">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5" t="n">
        <v>196</v>
      </c>
      <c r="U2327" s="15" t="n">
        <v>70</v>
      </c>
      <c r="V2327" s="15">
        <f>ROUNDUP((T2327+U2327+2*'Read Me'!$B$13)*(1+'Read Me'!$B$12),-1)</f>
        <v/>
      </c>
      <c r="W2327" s="15">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5" t="n">
        <v>196</v>
      </c>
      <c r="U2328" s="15" t="n">
        <v>70</v>
      </c>
      <c r="V2328" s="15">
        <f>ROUNDUP((T2328+U2328+2*'Read Me'!$B$13)*(1+'Read Me'!$B$12),-1)</f>
        <v/>
      </c>
      <c r="W2328" s="15">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5" t="n">
        <v>196</v>
      </c>
      <c r="U2329" s="15" t="n">
        <v>70</v>
      </c>
      <c r="V2329" s="15">
        <f>ROUNDUP((T2329+U2329+2*'Read Me'!$B$13)*(1+'Read Me'!$B$12),-1)</f>
        <v/>
      </c>
      <c r="W2329" s="15">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5" t="n">
        <v>196</v>
      </c>
      <c r="U2330" s="15" t="n">
        <v>70</v>
      </c>
      <c r="V2330" s="15">
        <f>ROUNDUP((T2330+U2330+2*'Read Me'!$B$13)*(1+'Read Me'!$B$12),-1)</f>
        <v/>
      </c>
      <c r="W2330" s="15">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5" t="n">
        <v>196</v>
      </c>
      <c r="U2331" s="15" t="n">
        <v>70</v>
      </c>
      <c r="V2331" s="15">
        <f>ROUNDUP((T2331+U2331+2*'Read Me'!$B$13)*(1+'Read Me'!$B$12),-1)</f>
        <v/>
      </c>
      <c r="W2331" s="15">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5" t="n">
        <v>190</v>
      </c>
      <c r="U2332" s="15" t="n">
        <v>96</v>
      </c>
      <c r="V2332" s="15">
        <f>ROUNDUP((T2332+U2332+2*'Read Me'!$B$13)*(1+'Read Me'!$B$12),-1)</f>
        <v/>
      </c>
      <c r="W2332" s="15">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5" t="n">
        <v>190</v>
      </c>
      <c r="U2333" s="15" t="n">
        <v>96</v>
      </c>
      <c r="V2333" s="15">
        <f>ROUNDUP((T2333+U2333+2*'Read Me'!$B$13)*(1+'Read Me'!$B$12),-1)</f>
        <v/>
      </c>
      <c r="W2333" s="15">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5" t="n">
        <v>190</v>
      </c>
      <c r="U2334" s="15" t="n">
        <v>96</v>
      </c>
      <c r="V2334" s="15">
        <f>ROUNDUP((T2334+U2334+2*'Read Me'!$B$13)*(1+'Read Me'!$B$12),-1)</f>
        <v/>
      </c>
      <c r="W2334" s="15">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5" t="n">
        <v>190</v>
      </c>
      <c r="U2335" s="15" t="n">
        <v>96</v>
      </c>
      <c r="V2335" s="15">
        <f>ROUNDUP((T2335+U2335+2*'Read Me'!$B$13)*(1+'Read Me'!$B$12),-1)</f>
        <v/>
      </c>
      <c r="W2335" s="15">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5" t="n">
        <v>190</v>
      </c>
      <c r="U2336" s="15" t="n">
        <v>96</v>
      </c>
      <c r="V2336" s="15">
        <f>ROUNDUP((T2336+U2336+2*'Read Me'!$B$13)*(1+'Read Me'!$B$12),-1)</f>
        <v/>
      </c>
      <c r="W2336" s="15">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5" t="n">
        <v>190</v>
      </c>
      <c r="U2337" s="15" t="n">
        <v>96</v>
      </c>
      <c r="V2337" s="15">
        <f>ROUNDUP((T2337+U2337+2*'Read Me'!$B$13)*(1+'Read Me'!$B$12),-1)</f>
        <v/>
      </c>
      <c r="W2337" s="15">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5" t="n">
        <v>533</v>
      </c>
      <c r="U2338" s="15" t="n">
        <v>86</v>
      </c>
      <c r="V2338" s="15">
        <f>ROUNDUP((T2338+U2338+2*'Read Me'!$B$13)*(1+'Read Me'!$B$12),-1)</f>
        <v/>
      </c>
      <c r="W2338" s="15">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5" t="n">
        <v>533</v>
      </c>
      <c r="U2339" s="15" t="n">
        <v>86</v>
      </c>
      <c r="V2339" s="15">
        <f>ROUNDUP((T2339+U2339+2*'Read Me'!$B$13)*(1+'Read Me'!$B$12),-1)</f>
        <v/>
      </c>
      <c r="W2339" s="15">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5" t="n">
        <v>1242</v>
      </c>
      <c r="U2340" s="15" t="n">
        <v>85</v>
      </c>
      <c r="V2340" s="15">
        <f>ROUNDUP((T2340+U2340+2*'Read Me'!$B$13)*(1+'Read Me'!$B$12),-1)</f>
        <v/>
      </c>
      <c r="W2340" s="15">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5" t="n">
        <v>1288</v>
      </c>
      <c r="U2341" s="15" t="n">
        <v>98</v>
      </c>
      <c r="V2341" s="15">
        <f>ROUNDUP((T2341+U2341+2*'Read Me'!$B$13)*(1+'Read Me'!$B$12),-1)</f>
        <v/>
      </c>
      <c r="W2341" s="15">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5" t="n">
        <v>1418</v>
      </c>
      <c r="U2342" s="15" t="n">
        <v>40</v>
      </c>
      <c r="V2342" s="15">
        <f>ROUNDUP((T2342+U2342+2*'Read Me'!$B$13)*(1+'Read Me'!$B$12),-1)</f>
        <v/>
      </c>
      <c r="W2342" s="15">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5" t="n">
        <v>1291</v>
      </c>
      <c r="U2343" s="15" t="n">
        <v>98</v>
      </c>
      <c r="V2343" s="15">
        <f>ROUNDUP((T2343+U2343+2*'Read Me'!$B$13)*(1+'Read Me'!$B$12),-1)</f>
        <v/>
      </c>
      <c r="W2343" s="15">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5" t="n">
        <v>962</v>
      </c>
      <c r="U2344" s="15" t="n">
        <v>117</v>
      </c>
      <c r="V2344" s="15">
        <f>ROUNDUP((T2344+U2344+2*'Read Me'!$B$13)*(1+'Read Me'!$B$12),-1)</f>
        <v/>
      </c>
      <c r="W2344" s="15">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5" t="n">
        <v>855</v>
      </c>
      <c r="U2345" s="15" t="n">
        <v>155</v>
      </c>
      <c r="V2345" s="15">
        <f>ROUNDUP((T2345+U2345+2*'Read Me'!$B$13)*(1+'Read Me'!$B$12),-1)</f>
        <v/>
      </c>
      <c r="W2345" s="15">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5" t="n">
        <v>962</v>
      </c>
      <c r="U2346" s="15" t="n">
        <v>117</v>
      </c>
      <c r="V2346" s="15">
        <f>ROUNDUP((T2346+U2346+2*'Read Me'!$B$13)*(1+'Read Me'!$B$12),-1)</f>
        <v/>
      </c>
      <c r="W2346" s="15">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5" t="n">
        <v>5824</v>
      </c>
      <c r="U2347" s="15" t="n">
        <v>0</v>
      </c>
      <c r="V2347" s="15">
        <f>ROUNDUP((T2347+U2347+2*'Read Me'!$B$13)*(1+'Read Me'!$B$12),-1)</f>
        <v/>
      </c>
      <c r="W2347" s="15">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5" t="n">
        <v>91</v>
      </c>
      <c r="U2348" s="15" t="n">
        <v>223</v>
      </c>
      <c r="V2348" s="15">
        <f>ROUNDUP((T2348+U2348+2*'Read Me'!$B$13)*(1+'Read Me'!$B$12),-1)</f>
        <v/>
      </c>
      <c r="W2348" s="15">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5" t="n">
        <v>91</v>
      </c>
      <c r="U2349" s="15" t="n">
        <v>223</v>
      </c>
      <c r="V2349" s="15">
        <f>ROUNDUP((T2349+U2349+2*'Read Me'!$B$13)*(1+'Read Me'!$B$12),-1)</f>
        <v/>
      </c>
      <c r="W2349" s="15">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5" t="n">
        <v>91</v>
      </c>
      <c r="U2350" s="15" t="n">
        <v>223</v>
      </c>
      <c r="V2350" s="15">
        <f>ROUNDUP((T2350+U2350+2*'Read Me'!$B$13)*(1+'Read Me'!$B$12),-1)</f>
        <v/>
      </c>
      <c r="W2350" s="15">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5" t="n">
        <v>91</v>
      </c>
      <c r="U2351" s="15" t="n">
        <v>223</v>
      </c>
      <c r="V2351" s="15">
        <f>ROUNDUP((T2351+U2351+2*'Read Me'!$B$13)*(1+'Read Me'!$B$12),-1)</f>
        <v/>
      </c>
      <c r="W2351" s="15">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5" t="n">
        <v>91</v>
      </c>
      <c r="U2352" s="15" t="n">
        <v>223</v>
      </c>
      <c r="V2352" s="15">
        <f>ROUNDUP((T2352+U2352+2*'Read Me'!$B$13)*(1+'Read Me'!$B$12),-1)</f>
        <v/>
      </c>
      <c r="W2352" s="15">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5" t="n">
        <v>91</v>
      </c>
      <c r="U2353" s="15" t="n">
        <v>223</v>
      </c>
      <c r="V2353" s="15">
        <f>ROUNDUP((T2353+U2353+2*'Read Me'!$B$13)*(1+'Read Me'!$B$12),-1)</f>
        <v/>
      </c>
      <c r="W2353" s="15">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5" t="n">
        <v>91</v>
      </c>
      <c r="U2354" s="15" t="n">
        <v>223</v>
      </c>
      <c r="V2354" s="15">
        <f>ROUNDUP((T2354+U2354+2*'Read Me'!$B$13)*(1+'Read Me'!$B$12),-1)</f>
        <v/>
      </c>
      <c r="W2354" s="15">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Duct bank</t>
        </is>
      </c>
      <c r="T2355" s="15" t="n">
        <v>982</v>
      </c>
      <c r="U2355" s="15" t="n">
        <v>210</v>
      </c>
      <c r="V2355" s="15">
        <f>ROUNDUP((T2355+U2355+2*'Read Me'!$B$13)*(1+'Read Me'!$B$12),-1)</f>
        <v/>
      </c>
      <c r="W2355" s="15">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Duct bank</t>
        </is>
      </c>
      <c r="T2356" s="15" t="n">
        <v>982</v>
      </c>
      <c r="U2356" s="15" t="n">
        <v>210</v>
      </c>
      <c r="V2356" s="15">
        <f>ROUNDUP((T2356+U2356+2*'Read Me'!$B$13)*(1+'Read Me'!$B$12),-1)</f>
        <v/>
      </c>
      <c r="W2356" s="15">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Duct bank</t>
        </is>
      </c>
      <c r="T2357" s="15" t="n">
        <v>982</v>
      </c>
      <c r="U2357" s="15" t="n">
        <v>210</v>
      </c>
      <c r="V2357" s="15">
        <f>ROUNDUP((T2357+U2357+2*'Read Me'!$B$13)*(1+'Read Me'!$B$12),-1)</f>
        <v/>
      </c>
      <c r="W2357" s="15">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Duct bank</t>
        </is>
      </c>
      <c r="T2358" s="15" t="n">
        <v>982</v>
      </c>
      <c r="U2358" s="15" t="n">
        <v>210</v>
      </c>
      <c r="V2358" s="15">
        <f>ROUNDUP((T2358+U2358+2*'Read Me'!$B$13)*(1+'Read Me'!$B$12),-1)</f>
        <v/>
      </c>
      <c r="W2358" s="15">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Duct bank</t>
        </is>
      </c>
      <c r="T2359" s="15" t="n">
        <v>982</v>
      </c>
      <c r="U2359" s="15" t="n">
        <v>210</v>
      </c>
      <c r="V2359" s="15">
        <f>ROUNDUP((T2359+U2359+2*'Read Me'!$B$13)*(1+'Read Me'!$B$12),-1)</f>
        <v/>
      </c>
      <c r="W2359" s="15">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Duct bank</t>
        </is>
      </c>
      <c r="T2360" s="15" t="n">
        <v>982</v>
      </c>
      <c r="U2360" s="15" t="n">
        <v>210</v>
      </c>
      <c r="V2360" s="15">
        <f>ROUNDUP((T2360+U2360+2*'Read Me'!$B$13)*(1+'Read Me'!$B$12),-1)</f>
        <v/>
      </c>
      <c r="W2360" s="15">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Duct bank</t>
        </is>
      </c>
      <c r="T2361" s="15" t="n">
        <v>982</v>
      </c>
      <c r="U2361" s="15" t="n">
        <v>210</v>
      </c>
      <c r="V2361" s="15">
        <f>ROUNDUP((T2361+U2361+2*'Read Me'!$B$13)*(1+'Read Me'!$B$12),-1)</f>
        <v/>
      </c>
      <c r="W2361" s="15">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Duct bank</t>
        </is>
      </c>
      <c r="T2362" s="15" t="n">
        <v>982</v>
      </c>
      <c r="U2362" s="15" t="n">
        <v>170</v>
      </c>
      <c r="V2362" s="15">
        <f>ROUNDUP((T2362+U2362+2*'Read Me'!$B$13)*(1+'Read Me'!$B$12),-1)</f>
        <v/>
      </c>
      <c r="W2362" s="15">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Duct bank</t>
        </is>
      </c>
      <c r="T2363" s="15" t="n">
        <v>982</v>
      </c>
      <c r="U2363" s="15" t="n">
        <v>170</v>
      </c>
      <c r="V2363" s="15">
        <f>ROUNDUP((T2363+U2363+2*'Read Me'!$B$13)*(1+'Read Me'!$B$12),-1)</f>
        <v/>
      </c>
      <c r="W2363" s="15">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Duct bank</t>
        </is>
      </c>
      <c r="T2364" s="15" t="n">
        <v>982</v>
      </c>
      <c r="U2364" s="15" t="n">
        <v>170</v>
      </c>
      <c r="V2364" s="15">
        <f>ROUNDUP((T2364+U2364+2*'Read Me'!$B$13)*(1+'Read Me'!$B$12),-1)</f>
        <v/>
      </c>
      <c r="W2364" s="15">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Duct bank</t>
        </is>
      </c>
      <c r="T2365" s="15" t="n">
        <v>982</v>
      </c>
      <c r="U2365" s="15" t="n">
        <v>170</v>
      </c>
      <c r="V2365" s="15">
        <f>ROUNDUP((T2365+U2365+2*'Read Me'!$B$13)*(1+'Read Me'!$B$12),-1)</f>
        <v/>
      </c>
      <c r="W2365" s="15">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Duct bank</t>
        </is>
      </c>
      <c r="T2366" s="15" t="n">
        <v>982</v>
      </c>
      <c r="U2366" s="15" t="n">
        <v>170</v>
      </c>
      <c r="V2366" s="15">
        <f>ROUNDUP((T2366+U2366+2*'Read Me'!$B$13)*(1+'Read Me'!$B$12),-1)</f>
        <v/>
      </c>
      <c r="W2366" s="15">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Duct bank</t>
        </is>
      </c>
      <c r="T2367" s="15" t="n">
        <v>982</v>
      </c>
      <c r="U2367" s="15" t="n">
        <v>170</v>
      </c>
      <c r="V2367" s="15">
        <f>ROUNDUP((T2367+U2367+2*'Read Me'!$B$13)*(1+'Read Me'!$B$12),-1)</f>
        <v/>
      </c>
      <c r="W2367" s="15">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Duct bank</t>
        </is>
      </c>
      <c r="T2368" s="15" t="n">
        <v>982</v>
      </c>
      <c r="U2368" s="15" t="n">
        <v>170</v>
      </c>
      <c r="V2368" s="15">
        <f>ROUNDUP((T2368+U2368+2*'Read Me'!$B$13)*(1+'Read Me'!$B$12),-1)</f>
        <v/>
      </c>
      <c r="W2368" s="15">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Duct bank</t>
        </is>
      </c>
      <c r="T2369" s="15" t="n">
        <v>1185</v>
      </c>
      <c r="U2369" s="15" t="n">
        <v>247</v>
      </c>
      <c r="V2369" s="15">
        <f>ROUNDUP((T2369+U2369+2*'Read Me'!$B$13)*(1+'Read Me'!$B$12),-1)</f>
        <v/>
      </c>
      <c r="W2369" s="15">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Duct bank</t>
        </is>
      </c>
      <c r="T2370" s="15" t="n">
        <v>1185</v>
      </c>
      <c r="U2370" s="15" t="n">
        <v>247</v>
      </c>
      <c r="V2370" s="15">
        <f>ROUNDUP((T2370+U2370+2*'Read Me'!$B$13)*(1+'Read Me'!$B$12),-1)</f>
        <v/>
      </c>
      <c r="W2370" s="15">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Duct bank</t>
        </is>
      </c>
      <c r="T2371" s="15" t="n">
        <v>1185</v>
      </c>
      <c r="U2371" s="15" t="n">
        <v>247</v>
      </c>
      <c r="V2371" s="15">
        <f>ROUNDUP((T2371+U2371+2*'Read Me'!$B$13)*(1+'Read Me'!$B$12),-1)</f>
        <v/>
      </c>
      <c r="W2371" s="15">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Duct bank</t>
        </is>
      </c>
      <c r="T2372" s="15" t="n">
        <v>1185</v>
      </c>
      <c r="U2372" s="15" t="n">
        <v>247</v>
      </c>
      <c r="V2372" s="15">
        <f>ROUNDUP((T2372+U2372+2*'Read Me'!$B$13)*(1+'Read Me'!$B$12),-1)</f>
        <v/>
      </c>
      <c r="W2372" s="15">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Duct bank</t>
        </is>
      </c>
      <c r="T2373" s="15" t="n">
        <v>1185</v>
      </c>
      <c r="U2373" s="15" t="n">
        <v>247</v>
      </c>
      <c r="V2373" s="15">
        <f>ROUNDUP((T2373+U2373+2*'Read Me'!$B$13)*(1+'Read Me'!$B$12),-1)</f>
        <v/>
      </c>
      <c r="W2373" s="15">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Duct bank</t>
        </is>
      </c>
      <c r="T2374" s="15" t="n">
        <v>1185</v>
      </c>
      <c r="U2374" s="15" t="n">
        <v>247</v>
      </c>
      <c r="V2374" s="15">
        <f>ROUNDUP((T2374+U2374+2*'Read Me'!$B$13)*(1+'Read Me'!$B$12),-1)</f>
        <v/>
      </c>
      <c r="W2374" s="15">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Duct bank</t>
        </is>
      </c>
      <c r="T2375" s="15" t="n">
        <v>1185</v>
      </c>
      <c r="U2375" s="15" t="n">
        <v>247</v>
      </c>
      <c r="V2375" s="15">
        <f>ROUNDUP((T2375+U2375+2*'Read Me'!$B$13)*(1+'Read Me'!$B$12),-1)</f>
        <v/>
      </c>
      <c r="W2375" s="15">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Duct bank</t>
        </is>
      </c>
      <c r="T2376" s="15" t="n">
        <v>1185</v>
      </c>
      <c r="U2376" s="15" t="n">
        <v>207</v>
      </c>
      <c r="V2376" s="15">
        <f>ROUNDUP((T2376+U2376+2*'Read Me'!$B$13)*(1+'Read Me'!$B$12),-1)</f>
        <v/>
      </c>
      <c r="W2376" s="15">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Duct bank</t>
        </is>
      </c>
      <c r="T2377" s="15" t="n">
        <v>1185</v>
      </c>
      <c r="U2377" s="15" t="n">
        <v>207</v>
      </c>
      <c r="V2377" s="15">
        <f>ROUNDUP((T2377+U2377+2*'Read Me'!$B$13)*(1+'Read Me'!$B$12),-1)</f>
        <v/>
      </c>
      <c r="W2377" s="15">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Duct bank</t>
        </is>
      </c>
      <c r="T2378" s="15" t="n">
        <v>1185</v>
      </c>
      <c r="U2378" s="15" t="n">
        <v>207</v>
      </c>
      <c r="V2378" s="15">
        <f>ROUNDUP((T2378+U2378+2*'Read Me'!$B$13)*(1+'Read Me'!$B$12),-1)</f>
        <v/>
      </c>
      <c r="W2378" s="15">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Duct bank</t>
        </is>
      </c>
      <c r="T2379" s="15" t="n">
        <v>1185</v>
      </c>
      <c r="U2379" s="15" t="n">
        <v>207</v>
      </c>
      <c r="V2379" s="15">
        <f>ROUNDUP((T2379+U2379+2*'Read Me'!$B$13)*(1+'Read Me'!$B$12),-1)</f>
        <v/>
      </c>
      <c r="W2379" s="15">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Duct bank</t>
        </is>
      </c>
      <c r="T2380" s="15" t="n">
        <v>1185</v>
      </c>
      <c r="U2380" s="15" t="n">
        <v>207</v>
      </c>
      <c r="V2380" s="15">
        <f>ROUNDUP((T2380+U2380+2*'Read Me'!$B$13)*(1+'Read Me'!$B$12),-1)</f>
        <v/>
      </c>
      <c r="W2380" s="15">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Duct bank</t>
        </is>
      </c>
      <c r="T2381" s="15" t="n">
        <v>1185</v>
      </c>
      <c r="U2381" s="15" t="n">
        <v>207</v>
      </c>
      <c r="V2381" s="15">
        <f>ROUNDUP((T2381+U2381+2*'Read Me'!$B$13)*(1+'Read Me'!$B$12),-1)</f>
        <v/>
      </c>
      <c r="W2381" s="15">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Duct bank</t>
        </is>
      </c>
      <c r="T2382" s="15" t="n">
        <v>1185</v>
      </c>
      <c r="U2382" s="15" t="n">
        <v>207</v>
      </c>
      <c r="V2382" s="15">
        <f>ROUNDUP((T2382+U2382+2*'Read Me'!$B$13)*(1+'Read Me'!$B$12),-1)</f>
        <v/>
      </c>
      <c r="W2382" s="15">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Duct bank</t>
        </is>
      </c>
      <c r="T2383" s="15" t="n">
        <v>1185</v>
      </c>
      <c r="U2383" s="15" t="n">
        <v>167</v>
      </c>
      <c r="V2383" s="15">
        <f>ROUNDUP((T2383+U2383+2*'Read Me'!$B$13)*(1+'Read Me'!$B$12),-1)</f>
        <v/>
      </c>
      <c r="W2383" s="15">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Duct bank</t>
        </is>
      </c>
      <c r="T2384" s="15" t="n">
        <v>1185</v>
      </c>
      <c r="U2384" s="15" t="n">
        <v>167</v>
      </c>
      <c r="V2384" s="15">
        <f>ROUNDUP((T2384+U2384+2*'Read Me'!$B$13)*(1+'Read Me'!$B$12),-1)</f>
        <v/>
      </c>
      <c r="W2384" s="15">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Duct bank</t>
        </is>
      </c>
      <c r="T2385" s="15" t="n">
        <v>1185</v>
      </c>
      <c r="U2385" s="15" t="n">
        <v>167</v>
      </c>
      <c r="V2385" s="15">
        <f>ROUNDUP((T2385+U2385+2*'Read Me'!$B$13)*(1+'Read Me'!$B$12),-1)</f>
        <v/>
      </c>
      <c r="W2385" s="15">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Duct bank</t>
        </is>
      </c>
      <c r="T2386" s="15" t="n">
        <v>1185</v>
      </c>
      <c r="U2386" s="15" t="n">
        <v>167</v>
      </c>
      <c r="V2386" s="15">
        <f>ROUNDUP((T2386+U2386+2*'Read Me'!$B$13)*(1+'Read Me'!$B$12),-1)</f>
        <v/>
      </c>
      <c r="W2386" s="15">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Duct bank</t>
        </is>
      </c>
      <c r="T2387" s="15" t="n">
        <v>1185</v>
      </c>
      <c r="U2387" s="15" t="n">
        <v>167</v>
      </c>
      <c r="V2387" s="15">
        <f>ROUNDUP((T2387+U2387+2*'Read Me'!$B$13)*(1+'Read Me'!$B$12),-1)</f>
        <v/>
      </c>
      <c r="W2387" s="15">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Duct bank</t>
        </is>
      </c>
      <c r="T2388" s="15" t="n">
        <v>1185</v>
      </c>
      <c r="U2388" s="15" t="n">
        <v>167</v>
      </c>
      <c r="V2388" s="15">
        <f>ROUNDUP((T2388+U2388+2*'Read Me'!$B$13)*(1+'Read Me'!$B$12),-1)</f>
        <v/>
      </c>
      <c r="W2388" s="15">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Duct bank</t>
        </is>
      </c>
      <c r="T2389" s="15" t="n">
        <v>1185</v>
      </c>
      <c r="U2389" s="15" t="n">
        <v>167</v>
      </c>
      <c r="V2389" s="15">
        <f>ROUNDUP((T2389+U2389+2*'Read Me'!$B$13)*(1+'Read Me'!$B$12),-1)</f>
        <v/>
      </c>
      <c r="W2389" s="15">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5" t="n">
        <v>886</v>
      </c>
      <c r="U2390" s="15" t="n">
        <v>228</v>
      </c>
      <c r="V2390" s="15">
        <f>ROUNDUP((T2390+U2390+2*'Read Me'!$B$13)*(1+'Read Me'!$B$12),-1)</f>
        <v/>
      </c>
      <c r="W2390" s="15">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5" t="n">
        <v>886</v>
      </c>
      <c r="U2391" s="15" t="n">
        <v>228</v>
      </c>
      <c r="V2391" s="15">
        <f>ROUNDUP((T2391+U2391+2*'Read Me'!$B$13)*(1+'Read Me'!$B$12),-1)</f>
        <v/>
      </c>
      <c r="W2391" s="15">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5" t="n">
        <v>886</v>
      </c>
      <c r="U2392" s="15" t="n">
        <v>228</v>
      </c>
      <c r="V2392" s="15">
        <f>ROUNDUP((T2392+U2392+2*'Read Me'!$B$13)*(1+'Read Me'!$B$12),-1)</f>
        <v/>
      </c>
      <c r="W2392" s="15">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5" t="n">
        <v>886</v>
      </c>
      <c r="U2393" s="15" t="n">
        <v>228</v>
      </c>
      <c r="V2393" s="15">
        <f>ROUNDUP((T2393+U2393+2*'Read Me'!$B$13)*(1+'Read Me'!$B$12),-1)</f>
        <v/>
      </c>
      <c r="W2393" s="15">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5" t="n">
        <v>886</v>
      </c>
      <c r="U2394" s="15" t="n">
        <v>228</v>
      </c>
      <c r="V2394" s="15">
        <f>ROUNDUP((T2394+U2394+2*'Read Me'!$B$13)*(1+'Read Me'!$B$12),-1)</f>
        <v/>
      </c>
      <c r="W2394" s="15">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5" t="n">
        <v>886</v>
      </c>
      <c r="U2395" s="15" t="n">
        <v>228</v>
      </c>
      <c r="V2395" s="15">
        <f>ROUNDUP((T2395+U2395+2*'Read Me'!$B$13)*(1+'Read Me'!$B$12),-1)</f>
        <v/>
      </c>
      <c r="W2395" s="15">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5" t="n">
        <v>886</v>
      </c>
      <c r="U2396" s="15" t="n">
        <v>228</v>
      </c>
      <c r="V2396" s="15">
        <f>ROUNDUP((T2396+U2396+2*'Read Me'!$B$13)*(1+'Read Me'!$B$12),-1)</f>
        <v/>
      </c>
      <c r="W2396" s="15">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5" t="n">
        <v>886</v>
      </c>
      <c r="U2397" s="15" t="n">
        <v>240</v>
      </c>
      <c r="V2397" s="15">
        <f>ROUNDUP((T2397+U2397+2*'Read Me'!$B$13)*(1+'Read Me'!$B$12),-1)</f>
        <v/>
      </c>
      <c r="W2397" s="15">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5" t="n">
        <v>886</v>
      </c>
      <c r="U2398" s="15" t="n">
        <v>240</v>
      </c>
      <c r="V2398" s="15">
        <f>ROUNDUP((T2398+U2398+2*'Read Me'!$B$13)*(1+'Read Me'!$B$12),-1)</f>
        <v/>
      </c>
      <c r="W2398" s="15">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5" t="n">
        <v>886</v>
      </c>
      <c r="U2399" s="15" t="n">
        <v>240</v>
      </c>
      <c r="V2399" s="15">
        <f>ROUNDUP((T2399+U2399+2*'Read Me'!$B$13)*(1+'Read Me'!$B$12),-1)</f>
        <v/>
      </c>
      <c r="W2399" s="15">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5" t="n">
        <v>886</v>
      </c>
      <c r="U2400" s="15" t="n">
        <v>240</v>
      </c>
      <c r="V2400" s="15">
        <f>ROUNDUP((T2400+U2400+2*'Read Me'!$B$13)*(1+'Read Me'!$B$12),-1)</f>
        <v/>
      </c>
      <c r="W2400" s="15">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5" t="n">
        <v>886</v>
      </c>
      <c r="U2401" s="15" t="n">
        <v>240</v>
      </c>
      <c r="V2401" s="15">
        <f>ROUNDUP((T2401+U2401+2*'Read Me'!$B$13)*(1+'Read Me'!$B$12),-1)</f>
        <v/>
      </c>
      <c r="W2401" s="15">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5" t="n">
        <v>886</v>
      </c>
      <c r="U2402" s="15" t="n">
        <v>240</v>
      </c>
      <c r="V2402" s="15">
        <f>ROUNDUP((T2402+U2402+2*'Read Me'!$B$13)*(1+'Read Me'!$B$12),-1)</f>
        <v/>
      </c>
      <c r="W2402" s="15">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5" t="n">
        <v>886</v>
      </c>
      <c r="U2403" s="15" t="n">
        <v>240</v>
      </c>
      <c r="V2403" s="15">
        <f>ROUNDUP((T2403+U2403+2*'Read Me'!$B$13)*(1+'Read Me'!$B$12),-1)</f>
        <v/>
      </c>
      <c r="W2403" s="15">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Duct bank</t>
        </is>
      </c>
      <c r="T2404" s="15" t="n">
        <v>1349</v>
      </c>
      <c r="U2404" s="15" t="n">
        <v>203</v>
      </c>
      <c r="V2404" s="15">
        <f>ROUNDUP((T2404+U2404+2*'Read Me'!$B$13)*(1+'Read Me'!$B$12),-1)</f>
        <v/>
      </c>
      <c r="W2404" s="15">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Duct bank</t>
        </is>
      </c>
      <c r="T2405" s="15" t="n">
        <v>1349</v>
      </c>
      <c r="U2405" s="15" t="n">
        <v>203</v>
      </c>
      <c r="V2405" s="15">
        <f>ROUNDUP((T2405+U2405+2*'Read Me'!$B$13)*(1+'Read Me'!$B$12),-1)</f>
        <v/>
      </c>
      <c r="W2405" s="15">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Duct bank</t>
        </is>
      </c>
      <c r="T2406" s="15" t="n">
        <v>1349</v>
      </c>
      <c r="U2406" s="15" t="n">
        <v>203</v>
      </c>
      <c r="V2406" s="15">
        <f>ROUNDUP((T2406+U2406+2*'Read Me'!$B$13)*(1+'Read Me'!$B$12),-1)</f>
        <v/>
      </c>
      <c r="W2406" s="15">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Duct bank</t>
        </is>
      </c>
      <c r="T2407" s="15" t="n">
        <v>1349</v>
      </c>
      <c r="U2407" s="15" t="n">
        <v>203</v>
      </c>
      <c r="V2407" s="15">
        <f>ROUNDUP((T2407+U2407+2*'Read Me'!$B$13)*(1+'Read Me'!$B$12),-1)</f>
        <v/>
      </c>
      <c r="W2407" s="15">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Duct bank</t>
        </is>
      </c>
      <c r="T2408" s="15" t="n">
        <v>1349</v>
      </c>
      <c r="U2408" s="15" t="n">
        <v>203</v>
      </c>
      <c r="V2408" s="15">
        <f>ROUNDUP((T2408+U2408+2*'Read Me'!$B$13)*(1+'Read Me'!$B$12),-1)</f>
        <v/>
      </c>
      <c r="W2408" s="15">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Duct bank</t>
        </is>
      </c>
      <c r="T2409" s="15" t="n">
        <v>1349</v>
      </c>
      <c r="U2409" s="15" t="n">
        <v>203</v>
      </c>
      <c r="V2409" s="15">
        <f>ROUNDUP((T2409+U2409+2*'Read Me'!$B$13)*(1+'Read Me'!$B$12),-1)</f>
        <v/>
      </c>
      <c r="W2409" s="15">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Duct bank</t>
        </is>
      </c>
      <c r="T2410" s="15" t="n">
        <v>1349</v>
      </c>
      <c r="U2410" s="15" t="n">
        <v>203</v>
      </c>
      <c r="V2410" s="15">
        <f>ROUNDUP((T2410+U2410+2*'Read Me'!$B$13)*(1+'Read Me'!$B$12),-1)</f>
        <v/>
      </c>
      <c r="W2410" s="15">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Estimated</t>
        </is>
      </c>
      <c r="T2411" s="15" t="n">
        <v>1361</v>
      </c>
      <c r="U2411" s="15" t="n">
        <v>40</v>
      </c>
      <c r="V2411" s="15">
        <f>ROUNDUP((T2411+U2411+2*'Read Me'!$B$13)*(1+'Read Me'!$B$12),-1)</f>
        <v/>
      </c>
      <c r="W2411" s="15">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Estimated</t>
        </is>
      </c>
      <c r="T2412" s="15" t="n">
        <v>1361</v>
      </c>
      <c r="U2412" s="15" t="n">
        <v>40</v>
      </c>
      <c r="V2412" s="15">
        <f>ROUNDUP((T2412+U2412+2*'Read Me'!$B$13)*(1+'Read Me'!$B$12),-1)</f>
        <v/>
      </c>
      <c r="W2412" s="15">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Estimated</t>
        </is>
      </c>
      <c r="T2413" s="15" t="n">
        <v>1361</v>
      </c>
      <c r="U2413" s="15" t="n">
        <v>40</v>
      </c>
      <c r="V2413" s="15">
        <f>ROUNDUP((T2413+U2413+2*'Read Me'!$B$13)*(1+'Read Me'!$B$12),-1)</f>
        <v/>
      </c>
      <c r="W2413" s="15">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Estimated</t>
        </is>
      </c>
      <c r="T2414" s="15" t="n">
        <v>1361</v>
      </c>
      <c r="U2414" s="15" t="n">
        <v>40</v>
      </c>
      <c r="V2414" s="15">
        <f>ROUNDUP((T2414+U2414+2*'Read Me'!$B$13)*(1+'Read Me'!$B$12),-1)</f>
        <v/>
      </c>
      <c r="W2414" s="15">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Estimated</t>
        </is>
      </c>
      <c r="T2415" s="15" t="n">
        <v>1361</v>
      </c>
      <c r="U2415" s="15" t="n">
        <v>40</v>
      </c>
      <c r="V2415" s="15">
        <f>ROUNDUP((T2415+U2415+2*'Read Me'!$B$13)*(1+'Read Me'!$B$12),-1)</f>
        <v/>
      </c>
      <c r="W2415" s="15">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Estimated</t>
        </is>
      </c>
      <c r="T2416" s="15" t="n">
        <v>1361</v>
      </c>
      <c r="U2416" s="15" t="n">
        <v>40</v>
      </c>
      <c r="V2416" s="15">
        <f>ROUNDUP((T2416+U2416+2*'Read Me'!$B$13)*(1+'Read Me'!$B$12),-1)</f>
        <v/>
      </c>
      <c r="W2416" s="15">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Estimated</t>
        </is>
      </c>
      <c r="T2417" s="15" t="n">
        <v>1361</v>
      </c>
      <c r="U2417" s="15" t="n">
        <v>40</v>
      </c>
      <c r="V2417" s="15">
        <f>ROUNDUP((T2417+U2417+2*'Read Me'!$B$13)*(1+'Read Me'!$B$12),-1)</f>
        <v/>
      </c>
      <c r="W2417" s="15">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Estimated</t>
        </is>
      </c>
      <c r="T2418" s="15" t="n">
        <v>1321</v>
      </c>
      <c r="U2418" s="15" t="n">
        <v>40</v>
      </c>
      <c r="V2418" s="15">
        <f>ROUNDUP((T2418+U2418+2*'Read Me'!$B$13)*(1+'Read Me'!$B$12),-1)</f>
        <v/>
      </c>
      <c r="W2418" s="15">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Estimated</t>
        </is>
      </c>
      <c r="T2419" s="15" t="n">
        <v>1321</v>
      </c>
      <c r="U2419" s="15" t="n">
        <v>40</v>
      </c>
      <c r="V2419" s="15">
        <f>ROUNDUP((T2419+U2419+2*'Read Me'!$B$13)*(1+'Read Me'!$B$12),-1)</f>
        <v/>
      </c>
      <c r="W2419" s="15">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Estimated</t>
        </is>
      </c>
      <c r="T2420" s="15" t="n">
        <v>1321</v>
      </c>
      <c r="U2420" s="15" t="n">
        <v>40</v>
      </c>
      <c r="V2420" s="15">
        <f>ROUNDUP((T2420+U2420+2*'Read Me'!$B$13)*(1+'Read Me'!$B$12),-1)</f>
        <v/>
      </c>
      <c r="W2420" s="15">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Estimated</t>
        </is>
      </c>
      <c r="T2421" s="15" t="n">
        <v>1321</v>
      </c>
      <c r="U2421" s="15" t="n">
        <v>40</v>
      </c>
      <c r="V2421" s="15">
        <f>ROUNDUP((T2421+U2421+2*'Read Me'!$B$13)*(1+'Read Me'!$B$12),-1)</f>
        <v/>
      </c>
      <c r="W2421" s="15">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Estimated</t>
        </is>
      </c>
      <c r="T2422" s="15" t="n">
        <v>1321</v>
      </c>
      <c r="U2422" s="15" t="n">
        <v>40</v>
      </c>
      <c r="V2422" s="15">
        <f>ROUNDUP((T2422+U2422+2*'Read Me'!$B$13)*(1+'Read Me'!$B$12),-1)</f>
        <v/>
      </c>
      <c r="W2422" s="15">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Estimated</t>
        </is>
      </c>
      <c r="T2423" s="15" t="n">
        <v>1321</v>
      </c>
      <c r="U2423" s="15" t="n">
        <v>40</v>
      </c>
      <c r="V2423" s="15">
        <f>ROUNDUP((T2423+U2423+2*'Read Me'!$B$13)*(1+'Read Me'!$B$12),-1)</f>
        <v/>
      </c>
      <c r="W2423" s="15">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Estimated</t>
        </is>
      </c>
      <c r="T2424" s="15" t="n">
        <v>1321</v>
      </c>
      <c r="U2424" s="15" t="n">
        <v>40</v>
      </c>
      <c r="V2424" s="15">
        <f>ROUNDUP((T2424+U2424+2*'Read Me'!$B$13)*(1+'Read Me'!$B$12),-1)</f>
        <v/>
      </c>
      <c r="W2424" s="15">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Estimated</t>
        </is>
      </c>
      <c r="T2425" s="15" t="n">
        <v>1281</v>
      </c>
      <c r="U2425" s="15" t="n">
        <v>40</v>
      </c>
      <c r="V2425" s="15">
        <f>ROUNDUP((T2425+U2425+2*'Read Me'!$B$13)*(1+'Read Me'!$B$12),-1)</f>
        <v/>
      </c>
      <c r="W2425" s="15">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Estimated</t>
        </is>
      </c>
      <c r="T2426" s="15" t="n">
        <v>1281</v>
      </c>
      <c r="U2426" s="15" t="n">
        <v>40</v>
      </c>
      <c r="V2426" s="15">
        <f>ROUNDUP((T2426+U2426+2*'Read Me'!$B$13)*(1+'Read Me'!$B$12),-1)</f>
        <v/>
      </c>
      <c r="W2426" s="15">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Estimated</t>
        </is>
      </c>
      <c r="T2427" s="15" t="n">
        <v>1281</v>
      </c>
      <c r="U2427" s="15" t="n">
        <v>40</v>
      </c>
      <c r="V2427" s="15">
        <f>ROUNDUP((T2427+U2427+2*'Read Me'!$B$13)*(1+'Read Me'!$B$12),-1)</f>
        <v/>
      </c>
      <c r="W2427" s="15">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Estimated</t>
        </is>
      </c>
      <c r="T2428" s="15" t="n">
        <v>1281</v>
      </c>
      <c r="U2428" s="15" t="n">
        <v>40</v>
      </c>
      <c r="V2428" s="15">
        <f>ROUNDUP((T2428+U2428+2*'Read Me'!$B$13)*(1+'Read Me'!$B$12),-1)</f>
        <v/>
      </c>
      <c r="W2428" s="15">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Estimated</t>
        </is>
      </c>
      <c r="T2429" s="15" t="n">
        <v>1281</v>
      </c>
      <c r="U2429" s="15" t="n">
        <v>40</v>
      </c>
      <c r="V2429" s="15">
        <f>ROUNDUP((T2429+U2429+2*'Read Me'!$B$13)*(1+'Read Me'!$B$12),-1)</f>
        <v/>
      </c>
      <c r="W2429" s="15">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Estimated</t>
        </is>
      </c>
      <c r="T2430" s="15" t="n">
        <v>1281</v>
      </c>
      <c r="U2430" s="15" t="n">
        <v>40</v>
      </c>
      <c r="V2430" s="15">
        <f>ROUNDUP((T2430+U2430+2*'Read Me'!$B$13)*(1+'Read Me'!$B$12),-1)</f>
        <v/>
      </c>
      <c r="W2430" s="15">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Estimated</t>
        </is>
      </c>
      <c r="T2431" s="15" t="n">
        <v>1281</v>
      </c>
      <c r="U2431" s="15" t="n">
        <v>40</v>
      </c>
      <c r="V2431" s="15">
        <f>ROUNDUP((T2431+U2431+2*'Read Me'!$B$13)*(1+'Read Me'!$B$12),-1)</f>
        <v/>
      </c>
      <c r="W2431" s="15">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5" t="n">
        <v>1584</v>
      </c>
      <c r="U2432" s="15" t="n">
        <v>166</v>
      </c>
      <c r="V2432" s="15">
        <f>ROUNDUP((T2432+U2432+2*'Read Me'!$B$13)*(1+'Read Me'!$B$12),-1)</f>
        <v/>
      </c>
      <c r="W2432" s="15">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5" t="n">
        <v>1584</v>
      </c>
      <c r="U2433" s="15" t="n">
        <v>166</v>
      </c>
      <c r="V2433" s="15">
        <f>ROUNDUP((T2433+U2433+2*'Read Me'!$B$13)*(1+'Read Me'!$B$12),-1)</f>
        <v/>
      </c>
      <c r="W2433" s="15">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5" t="n">
        <v>1584</v>
      </c>
      <c r="U2434" s="15" t="n">
        <v>166</v>
      </c>
      <c r="V2434" s="15">
        <f>ROUNDUP((T2434+U2434+2*'Read Me'!$B$13)*(1+'Read Me'!$B$12),-1)</f>
        <v/>
      </c>
      <c r="W2434" s="15">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5" t="n">
        <v>1584</v>
      </c>
      <c r="U2435" s="15" t="n">
        <v>166</v>
      </c>
      <c r="V2435" s="15">
        <f>ROUNDUP((T2435+U2435+2*'Read Me'!$B$13)*(1+'Read Me'!$B$12),-1)</f>
        <v/>
      </c>
      <c r="W2435" s="15">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5" t="n">
        <v>1584</v>
      </c>
      <c r="U2436" s="15" t="n">
        <v>166</v>
      </c>
      <c r="V2436" s="15">
        <f>ROUNDUP((T2436+U2436+2*'Read Me'!$B$13)*(1+'Read Me'!$B$12),-1)</f>
        <v/>
      </c>
      <c r="W2436" s="15">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5" t="n">
        <v>1584</v>
      </c>
      <c r="U2437" s="15" t="n">
        <v>166</v>
      </c>
      <c r="V2437" s="15">
        <f>ROUNDUP((T2437+U2437+2*'Read Me'!$B$13)*(1+'Read Me'!$B$12),-1)</f>
        <v/>
      </c>
      <c r="W2437" s="15">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5" t="n">
        <v>1584</v>
      </c>
      <c r="U2438" s="15" t="n">
        <v>166</v>
      </c>
      <c r="V2438" s="15">
        <f>ROUNDUP((T2438+U2438+2*'Read Me'!$B$13)*(1+'Read Me'!$B$12),-1)</f>
        <v/>
      </c>
      <c r="W2438" s="15">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Estimated</t>
        </is>
      </c>
      <c r="T2439" s="15" t="n">
        <v>1461</v>
      </c>
      <c r="U2439" s="15" t="n">
        <v>40</v>
      </c>
      <c r="V2439" s="15">
        <f>ROUNDUP((T2439+U2439+2*'Read Me'!$B$13)*(1+'Read Me'!$B$12),-1)</f>
        <v/>
      </c>
      <c r="W2439" s="15">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Estimated</t>
        </is>
      </c>
      <c r="T2440" s="15" t="n">
        <v>1461</v>
      </c>
      <c r="U2440" s="15" t="n">
        <v>40</v>
      </c>
      <c r="V2440" s="15">
        <f>ROUNDUP((T2440+U2440+2*'Read Me'!$B$13)*(1+'Read Me'!$B$12),-1)</f>
        <v/>
      </c>
      <c r="W2440" s="15">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Estimated</t>
        </is>
      </c>
      <c r="T2441" s="15" t="n">
        <v>1461</v>
      </c>
      <c r="U2441" s="15" t="n">
        <v>40</v>
      </c>
      <c r="V2441" s="15">
        <f>ROUNDUP((T2441+U2441+2*'Read Me'!$B$13)*(1+'Read Me'!$B$12),-1)</f>
        <v/>
      </c>
      <c r="W2441" s="15">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Estimated</t>
        </is>
      </c>
      <c r="T2442" s="15" t="n">
        <v>1461</v>
      </c>
      <c r="U2442" s="15" t="n">
        <v>40</v>
      </c>
      <c r="V2442" s="15">
        <f>ROUNDUP((T2442+U2442+2*'Read Me'!$B$13)*(1+'Read Me'!$B$12),-1)</f>
        <v/>
      </c>
      <c r="W2442" s="15">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Estimated</t>
        </is>
      </c>
      <c r="T2443" s="15" t="n">
        <v>1461</v>
      </c>
      <c r="U2443" s="15" t="n">
        <v>40</v>
      </c>
      <c r="V2443" s="15">
        <f>ROUNDUP((T2443+U2443+2*'Read Me'!$B$13)*(1+'Read Me'!$B$12),-1)</f>
        <v/>
      </c>
      <c r="W2443" s="15">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Estimated</t>
        </is>
      </c>
      <c r="T2444" s="15" t="n">
        <v>1461</v>
      </c>
      <c r="U2444" s="15" t="n">
        <v>40</v>
      </c>
      <c r="V2444" s="15">
        <f>ROUNDUP((T2444+U2444+2*'Read Me'!$B$13)*(1+'Read Me'!$B$12),-1)</f>
        <v/>
      </c>
      <c r="W2444" s="15">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Estimated</t>
        </is>
      </c>
      <c r="T2445" s="15" t="n">
        <v>1461</v>
      </c>
      <c r="U2445" s="15" t="n">
        <v>40</v>
      </c>
      <c r="V2445" s="15">
        <f>ROUNDUP((T2445+U2445+2*'Read Me'!$B$13)*(1+'Read Me'!$B$12),-1)</f>
        <v/>
      </c>
      <c r="W2445" s="15">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Estimated</t>
        </is>
      </c>
      <c r="T2446" s="15" t="n">
        <v>1421</v>
      </c>
      <c r="U2446" s="15" t="n">
        <v>40</v>
      </c>
      <c r="V2446" s="15">
        <f>ROUNDUP((T2446+U2446+2*'Read Me'!$B$13)*(1+'Read Me'!$B$12),-1)</f>
        <v/>
      </c>
      <c r="W2446" s="15">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Estimated</t>
        </is>
      </c>
      <c r="T2447" s="15" t="n">
        <v>1421</v>
      </c>
      <c r="U2447" s="15" t="n">
        <v>40</v>
      </c>
      <c r="V2447" s="15">
        <f>ROUNDUP((T2447+U2447+2*'Read Me'!$B$13)*(1+'Read Me'!$B$12),-1)</f>
        <v/>
      </c>
      <c r="W2447" s="15">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Estimated</t>
        </is>
      </c>
      <c r="T2448" s="15" t="n">
        <v>1421</v>
      </c>
      <c r="U2448" s="15" t="n">
        <v>40</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Estimated</t>
        </is>
      </c>
      <c r="T2449" s="15" t="n">
        <v>1421</v>
      </c>
      <c r="U2449" s="15" t="n">
        <v>40</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Estimated</t>
        </is>
      </c>
      <c r="T2450" s="15" t="n">
        <v>1421</v>
      </c>
      <c r="U2450" s="15" t="n">
        <v>40</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Estimated</t>
        </is>
      </c>
      <c r="T2451" s="15" t="n">
        <v>1421</v>
      </c>
      <c r="U2451" s="15" t="n">
        <v>40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Estimated</t>
        </is>
      </c>
      <c r="T2452" s="15" t="n">
        <v>1421</v>
      </c>
      <c r="U2452" s="15" t="n">
        <v>40</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5" t="n">
        <v>1584</v>
      </c>
      <c r="U2453" s="15" t="n">
        <v>40</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5" t="n">
        <v>1584</v>
      </c>
      <c r="U2454" s="15" t="n">
        <v>40</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5" t="n">
        <v>1584</v>
      </c>
      <c r="U2455" s="15" t="n">
        <v>40</v>
      </c>
      <c r="V2455" s="15">
        <f>ROUNDUP((T2455+U2455+2*'Read Me'!$B$13)*(1+'Read Me'!$B$12),-1)</f>
        <v/>
      </c>
      <c r="W2455" s="15">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1584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5" t="n">
        <v>1584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5" t="n">
        <v>1584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5" t="n">
        <v>1584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5" t="n">
        <v>1584</v>
      </c>
      <c r="U2460" s="15" t="n">
        <v>52</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5" t="n">
        <v>1584</v>
      </c>
      <c r="U2461" s="15" t="n">
        <v>52</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5" t="n">
        <v>1584</v>
      </c>
      <c r="U2462" s="15" t="n">
        <v>52</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1584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5" t="n">
        <v>1584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5" t="n">
        <v>1584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5" t="n">
        <v>1584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5" t="n">
        <v>1584</v>
      </c>
      <c r="U2467" s="15" t="n">
        <v>92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5" t="n">
        <v>1584</v>
      </c>
      <c r="U2468" s="15" t="n">
        <v>92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5" t="n">
        <v>1584</v>
      </c>
      <c r="U2469" s="15" t="n">
        <v>92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1584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5" t="n">
        <v>1584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5" t="n">
        <v>1584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5" t="n">
        <v>1584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5" t="n">
        <v>0</v>
      </c>
      <c r="U2474" s="15" t="n">
        <v>30</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5" t="n">
        <v>757</v>
      </c>
      <c r="U2475" s="15" t="n">
        <v>32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5" t="n">
        <v>0</v>
      </c>
      <c r="U2476" s="15" t="n">
        <v>30</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1136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5" t="n">
        <v>68160</v>
      </c>
      <c r="U2477" s="15" t="n">
        <v>0</v>
      </c>
      <c r="V2477" s="15">
        <f>ROUNDUP((T2477+U2477+2*'Read Me'!$B$13)*(1+'Read Me'!$B$12),-1)</f>
        <v/>
      </c>
      <c r="W2477" s="15">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5" t="n">
        <v>68700</v>
      </c>
      <c r="U2478" s="15" t="n">
        <v>0</v>
      </c>
      <c r="V2478" s="15">
        <f>ROUNDUP((T2478+U2478+2*'Read Me'!$B$13)*(1+'Read Me'!$B$12),-1)</f>
        <v/>
      </c>
      <c r="W2478" s="15">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5" t="n">
        <v>182</v>
      </c>
      <c r="U2479" s="15" t="n">
        <v>80</v>
      </c>
      <c r="V2479" s="15">
        <f>ROUNDUP((T2479+U2479+2*'Read Me'!$B$13)*(1+'Read Me'!$B$12),-1)</f>
        <v/>
      </c>
      <c r="W2479" s="15">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5" t="n">
        <v>1486</v>
      </c>
      <c r="U2480" s="15" t="n">
        <v>80</v>
      </c>
      <c r="V2480" s="15">
        <f>ROUNDUP((T2480+U2480+2*'Read Me'!$B$13)*(1+'Read Me'!$B$12),-1)</f>
        <v/>
      </c>
      <c r="W2480" s="15">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5" t="n">
        <v>1536</v>
      </c>
      <c r="U2481" s="15" t="n">
        <v>80</v>
      </c>
      <c r="V2481" s="15">
        <f>ROUNDUP((T2481+U2481+2*'Read Me'!$B$13)*(1+'Read Me'!$B$12),-1)</f>
        <v/>
      </c>
      <c r="W2481" s="15">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5" t="n">
        <v>1720</v>
      </c>
      <c r="U2482" s="15" t="n">
        <v>80</v>
      </c>
      <c r="V2482" s="15">
        <f>ROUNDUP((T2482+U2482+2*'Read Me'!$B$13)*(1+'Read Me'!$B$12),-1)</f>
        <v/>
      </c>
      <c r="W2482" s="15">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5" t="n">
        <v>12</v>
      </c>
      <c r="U2483" s="15" t="n">
        <v>80</v>
      </c>
      <c r="V2483" s="15">
        <f>ROUNDUP((T2483+U2483+2*'Read Me'!$B$13)*(1+'Read Me'!$B$12),-1)</f>
        <v/>
      </c>
      <c r="W2483" s="15">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5" t="n">
        <v>10</v>
      </c>
      <c r="U2484" s="15" t="n">
        <v>80</v>
      </c>
      <c r="V2484" s="15">
        <f>ROUNDUP((T2484+U2484+2*'Read Me'!$B$13)*(1+'Read Me'!$B$12),-1)</f>
        <v/>
      </c>
      <c r="W2484" s="15">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5" t="n">
        <v>52</v>
      </c>
      <c r="U2485" s="15" t="n">
        <v>10</v>
      </c>
      <c r="V2485" s="15">
        <f>ROUNDUP((T2485+U2485+2*'Read Me'!$B$13)*(1+'Read Me'!$B$12),-1)</f>
        <v/>
      </c>
      <c r="W2485" s="15">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5" t="n">
        <v>91</v>
      </c>
      <c r="U2486" s="15" t="n">
        <v>223</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5" t="n">
        <v>52</v>
      </c>
      <c r="U2487" s="15" t="n">
        <v>10</v>
      </c>
      <c r="V2487" s="15">
        <f>ROUNDUP((T2487+U2487+2*'Read Me'!$B$13)*(1+'Read Me'!$B$12),-1)</f>
        <v/>
      </c>
      <c r="W2487" s="15">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5" t="n">
        <v>91</v>
      </c>
      <c r="U2488" s="15" t="n">
        <v>223</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5" t="n">
        <v>52</v>
      </c>
      <c r="U2489" s="15" t="n">
        <v>10</v>
      </c>
      <c r="V2489" s="15">
        <f>ROUNDUP((T2489+U2489+2*'Read Me'!$B$13)*(1+'Read Me'!$B$12),-1)</f>
        <v/>
      </c>
      <c r="W2489" s="15">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Duct bank</t>
        </is>
      </c>
      <c r="T2490" s="15" t="n">
        <v>982</v>
      </c>
      <c r="U2490" s="15" t="n">
        <v>210</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5" t="n">
        <v>52</v>
      </c>
      <c r="U2491" s="15" t="n">
        <v>10</v>
      </c>
      <c r="V2491" s="15">
        <f>ROUNDUP((T2491+U2491+2*'Read Me'!$B$13)*(1+'Read Me'!$B$12),-1)</f>
        <v/>
      </c>
      <c r="W2491" s="15">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Duct bank</t>
        </is>
      </c>
      <c r="T2492" s="15" t="n">
        <v>982</v>
      </c>
      <c r="U2492" s="15" t="n">
        <v>210</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5" t="n">
        <v>52</v>
      </c>
      <c r="U2493" s="15" t="n">
        <v>10</v>
      </c>
      <c r="V2493" s="15">
        <f>ROUNDUP((T2493+U2493+2*'Read Me'!$B$13)*(1+'Read Me'!$B$12),-1)</f>
        <v/>
      </c>
      <c r="W2493" s="15">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Duct bank</t>
        </is>
      </c>
      <c r="T2494" s="15" t="n">
        <v>982</v>
      </c>
      <c r="U2494" s="15" t="n">
        <v>170</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5" t="n">
        <v>52</v>
      </c>
      <c r="U2495" s="15" t="n">
        <v>10</v>
      </c>
      <c r="V2495" s="15">
        <f>ROUNDUP((T2495+U2495+2*'Read Me'!$B$13)*(1+'Read Me'!$B$12),-1)</f>
        <v/>
      </c>
      <c r="W2495" s="15">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Duct bank</t>
        </is>
      </c>
      <c r="T2496" s="15" t="n">
        <v>982</v>
      </c>
      <c r="U2496" s="15" t="n">
        <v>170</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5" t="n">
        <v>52</v>
      </c>
      <c r="U2497" s="15" t="n">
        <v>10</v>
      </c>
      <c r="V2497" s="15">
        <f>ROUNDUP((T2497+U2497+2*'Read Me'!$B$13)*(1+'Read Me'!$B$12),-1)</f>
        <v/>
      </c>
      <c r="W2497" s="15">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Duct bank</t>
        </is>
      </c>
      <c r="T2498" s="15" t="n">
        <v>1185</v>
      </c>
      <c r="U2498" s="15" t="n">
        <v>247</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5" t="n">
        <v>52</v>
      </c>
      <c r="U2499" s="15" t="n">
        <v>10</v>
      </c>
      <c r="V2499" s="15">
        <f>ROUNDUP((T2499+U2499+2*'Read Me'!$B$13)*(1+'Read Me'!$B$12),-1)</f>
        <v/>
      </c>
      <c r="W2499" s="15">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Duct bank</t>
        </is>
      </c>
      <c r="T2500" s="15" t="n">
        <v>1185</v>
      </c>
      <c r="U2500" s="15" t="n">
        <v>247</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5" t="n">
        <v>52</v>
      </c>
      <c r="U2501" s="15" t="n">
        <v>10</v>
      </c>
      <c r="V2501" s="15">
        <f>ROUNDUP((T2501+U2501+2*'Read Me'!$B$13)*(1+'Read Me'!$B$12),-1)</f>
        <v/>
      </c>
      <c r="W2501" s="15">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Duct bank</t>
        </is>
      </c>
      <c r="T2502" s="15" t="n">
        <v>1185</v>
      </c>
      <c r="U2502" s="15" t="n">
        <v>207</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5" t="n">
        <v>52</v>
      </c>
      <c r="U2503" s="15" t="n">
        <v>10</v>
      </c>
      <c r="V2503" s="15">
        <f>ROUNDUP((T2503+U2503+2*'Read Me'!$B$13)*(1+'Read Me'!$B$12),-1)</f>
        <v/>
      </c>
      <c r="W2503" s="15">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Duct bank</t>
        </is>
      </c>
      <c r="T2504" s="15" t="n">
        <v>1185</v>
      </c>
      <c r="U2504" s="15" t="n">
        <v>207</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5" t="n">
        <v>52</v>
      </c>
      <c r="U2505" s="15" t="n">
        <v>10</v>
      </c>
      <c r="V2505" s="15">
        <f>ROUNDUP((T2505+U2505+2*'Read Me'!$B$13)*(1+'Read Me'!$B$12),-1)</f>
        <v/>
      </c>
      <c r="W2505" s="15">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Duct bank</t>
        </is>
      </c>
      <c r="T2506" s="15" t="n">
        <v>1185</v>
      </c>
      <c r="U2506" s="15" t="n">
        <v>167</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5" t="n">
        <v>52</v>
      </c>
      <c r="U2507" s="15" t="n">
        <v>10</v>
      </c>
      <c r="V2507" s="15">
        <f>ROUNDUP((T2507+U2507+2*'Read Me'!$B$13)*(1+'Read Me'!$B$12),-1)</f>
        <v/>
      </c>
      <c r="W2507" s="15">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Duct bank</t>
        </is>
      </c>
      <c r="T2508" s="15" t="n">
        <v>1185</v>
      </c>
      <c r="U2508" s="15" t="n">
        <v>167</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5" t="n">
        <v>52</v>
      </c>
      <c r="U2509" s="15" t="n">
        <v>10</v>
      </c>
      <c r="V2509" s="15">
        <f>ROUNDUP((T2509+U2509+2*'Read Me'!$B$13)*(1+'Read Me'!$B$12),-1)</f>
        <v/>
      </c>
      <c r="W2509" s="15">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5" t="n">
        <v>886</v>
      </c>
      <c r="U2510" s="15" t="n">
        <v>228</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5" t="n">
        <v>52</v>
      </c>
      <c r="U2511" s="15" t="n">
        <v>10</v>
      </c>
      <c r="V2511" s="15">
        <f>ROUNDUP((T2511+U2511+2*'Read Me'!$B$13)*(1+'Read Me'!$B$12),-1)</f>
        <v/>
      </c>
      <c r="W2511" s="15">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5" t="n">
        <v>886</v>
      </c>
      <c r="U2512" s="15" t="n">
        <v>228</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5" t="n">
        <v>52</v>
      </c>
      <c r="U2513" s="15" t="n">
        <v>10</v>
      </c>
      <c r="V2513" s="15">
        <f>ROUNDUP((T2513+U2513+2*'Read Me'!$B$13)*(1+'Read Me'!$B$12),-1)</f>
        <v/>
      </c>
      <c r="W2513" s="15">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5" t="n">
        <v>886</v>
      </c>
      <c r="U2514" s="15" t="n">
        <v>240</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5" t="n">
        <v>52</v>
      </c>
      <c r="U2515" s="15" t="n">
        <v>10</v>
      </c>
      <c r="V2515" s="15">
        <f>ROUNDUP((T2515+U2515+2*'Read Me'!$B$13)*(1+'Read Me'!$B$12),-1)</f>
        <v/>
      </c>
      <c r="W2515" s="15">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5" t="n">
        <v>886</v>
      </c>
      <c r="U2516" s="15" t="n">
        <v>240</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5" t="n">
        <v>52</v>
      </c>
      <c r="U2517" s="15" t="n">
        <v>10</v>
      </c>
      <c r="V2517" s="15">
        <f>ROUNDUP((T2517+U2517+2*'Read Me'!$B$13)*(1+'Read Me'!$B$12),-1)</f>
        <v/>
      </c>
      <c r="W2517" s="15">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Duct bank</t>
        </is>
      </c>
      <c r="T2518" s="15" t="n">
        <v>1349</v>
      </c>
      <c r="U2518" s="15" t="n">
        <v>203</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5" t="n">
        <v>52</v>
      </c>
      <c r="U2519" s="15" t="n">
        <v>10</v>
      </c>
      <c r="V2519" s="15">
        <f>ROUNDUP((T2519+U2519+2*'Read Me'!$B$13)*(1+'Read Me'!$B$12),-1)</f>
        <v/>
      </c>
      <c r="W2519" s="15">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Duct bank</t>
        </is>
      </c>
      <c r="T2520" s="15" t="n">
        <v>1349</v>
      </c>
      <c r="U2520" s="15" t="n">
        <v>203</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5" t="n">
        <v>52</v>
      </c>
      <c r="U2521" s="15" t="n">
        <v>10</v>
      </c>
      <c r="V2521" s="15">
        <f>ROUNDUP((T2521+U2521+2*'Read Me'!$B$13)*(1+'Read Me'!$B$12),-1)</f>
        <v/>
      </c>
      <c r="W2521" s="15">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Estimated</t>
        </is>
      </c>
      <c r="T2522" s="15" t="n">
        <v>1361</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5" t="n">
        <v>52</v>
      </c>
      <c r="U2523" s="15" t="n">
        <v>10</v>
      </c>
      <c r="V2523" s="15">
        <f>ROUNDUP((T2523+U2523+2*'Read Me'!$B$13)*(1+'Read Me'!$B$12),-1)</f>
        <v/>
      </c>
      <c r="W2523" s="15">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Estimated</t>
        </is>
      </c>
      <c r="T2524" s="15" t="n">
        <v>1361</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5" t="n">
        <v>52</v>
      </c>
      <c r="U2525" s="15" t="n">
        <v>10</v>
      </c>
      <c r="V2525" s="15">
        <f>ROUNDUP((T2525+U2525+2*'Read Me'!$B$13)*(1+'Read Me'!$B$12),-1)</f>
        <v/>
      </c>
      <c r="W2525" s="15">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Estimated</t>
        </is>
      </c>
      <c r="T2526" s="15" t="n">
        <v>1321</v>
      </c>
      <c r="U2526" s="15" t="n">
        <v>40</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5" t="n">
        <v>52</v>
      </c>
      <c r="U2527" s="15" t="n">
        <v>10</v>
      </c>
      <c r="V2527" s="15">
        <f>ROUNDUP((T2527+U2527+2*'Read Me'!$B$13)*(1+'Read Me'!$B$12),-1)</f>
        <v/>
      </c>
      <c r="W2527" s="15">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Estimated</t>
        </is>
      </c>
      <c r="T2528" s="15" t="n">
        <v>1321</v>
      </c>
      <c r="U2528" s="15" t="n">
        <v>40</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5" t="n">
        <v>52</v>
      </c>
      <c r="U2529" s="15" t="n">
        <v>10</v>
      </c>
      <c r="V2529" s="15">
        <f>ROUNDUP((T2529+U2529+2*'Read Me'!$B$13)*(1+'Read Me'!$B$12),-1)</f>
        <v/>
      </c>
      <c r="W2529" s="15">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Estimated</t>
        </is>
      </c>
      <c r="T2530" s="15" t="n">
        <v>1281</v>
      </c>
      <c r="U2530" s="15" t="n">
        <v>40</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5" t="n">
        <v>52</v>
      </c>
      <c r="U2531" s="15" t="n">
        <v>10</v>
      </c>
      <c r="V2531" s="15">
        <f>ROUNDUP((T2531+U2531+2*'Read Me'!$B$13)*(1+'Read Me'!$B$12),-1)</f>
        <v/>
      </c>
      <c r="W2531" s="15">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Estimated</t>
        </is>
      </c>
      <c r="T2532" s="15" t="n">
        <v>1281</v>
      </c>
      <c r="U2532" s="15" t="n">
        <v>40</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5" t="n">
        <v>52</v>
      </c>
      <c r="U2533" s="15" t="n">
        <v>10</v>
      </c>
      <c r="V2533" s="15">
        <f>ROUNDUP((T2533+U2533+2*'Read Me'!$B$13)*(1+'Read Me'!$B$12),-1)</f>
        <v/>
      </c>
      <c r="W2533" s="15">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5" t="n">
        <v>1584</v>
      </c>
      <c r="U2534" s="15" t="n">
        <v>166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5" t="n">
        <v>52</v>
      </c>
      <c r="U2535" s="15" t="n">
        <v>10</v>
      </c>
      <c r="V2535" s="15">
        <f>ROUNDUP((T2535+U2535+2*'Read Me'!$B$13)*(1+'Read Me'!$B$12),-1)</f>
        <v/>
      </c>
      <c r="W2535" s="15">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5" t="n">
        <v>1584</v>
      </c>
      <c r="U2536" s="15" t="n">
        <v>166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5" t="n">
        <v>52</v>
      </c>
      <c r="U2537" s="15" t="n">
        <v>10</v>
      </c>
      <c r="V2537" s="15">
        <f>ROUNDUP((T2537+U2537+2*'Read Me'!$B$13)*(1+'Read Me'!$B$12),-1)</f>
        <v/>
      </c>
      <c r="W2537" s="15">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Estimated</t>
        </is>
      </c>
      <c r="T2538" s="15" t="n">
        <v>1461</v>
      </c>
      <c r="U2538" s="15" t="n">
        <v>40</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5" t="n">
        <v>52</v>
      </c>
      <c r="U2539" s="15" t="n">
        <v>10</v>
      </c>
      <c r="V2539" s="15">
        <f>ROUNDUP((T2539+U2539+2*'Read Me'!$B$13)*(1+'Read Me'!$B$12),-1)</f>
        <v/>
      </c>
      <c r="W2539" s="15">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Estimated</t>
        </is>
      </c>
      <c r="T2540" s="15" t="n">
        <v>1461</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5" t="n">
        <v>52</v>
      </c>
      <c r="U2541" s="15" t="n">
        <v>10</v>
      </c>
      <c r="V2541" s="15">
        <f>ROUNDUP((T2541+U2541+2*'Read Me'!$B$13)*(1+'Read Me'!$B$12),-1)</f>
        <v/>
      </c>
      <c r="W2541" s="15">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Estimated</t>
        </is>
      </c>
      <c r="T2542" s="15" t="n">
        <v>1421</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5" t="n">
        <v>52</v>
      </c>
      <c r="U2543" s="15" t="n">
        <v>10</v>
      </c>
      <c r="V2543" s="15">
        <f>ROUNDUP((T2543+U2543+2*'Read Me'!$B$13)*(1+'Read Me'!$B$12),-1)</f>
        <v/>
      </c>
      <c r="W2543" s="15">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Estimated</t>
        </is>
      </c>
      <c r="T2544" s="15" t="n">
        <v>1421</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5" t="n">
        <v>52</v>
      </c>
      <c r="U2545" s="15" t="n">
        <v>10</v>
      </c>
      <c r="V2545" s="15">
        <f>ROUNDUP((T2545+U2545+2*'Read Me'!$B$13)*(1+'Read Me'!$B$12),-1)</f>
        <v/>
      </c>
      <c r="W2545" s="15">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5" t="n">
        <v>1584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5" t="n">
        <v>52</v>
      </c>
      <c r="U2547" s="15" t="n">
        <v>10</v>
      </c>
      <c r="V2547" s="15">
        <f>ROUNDUP((T2547+U2547+2*'Read Me'!$B$13)*(1+'Read Me'!$B$12),-1)</f>
        <v/>
      </c>
      <c r="W2547" s="15">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5" t="n">
        <v>1584</v>
      </c>
      <c r="U2548" s="15" t="n">
        <v>40</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5" t="n">
        <v>52</v>
      </c>
      <c r="U2549" s="15" t="n">
        <v>10</v>
      </c>
      <c r="V2549" s="15">
        <f>ROUNDUP((T2549+U2549+2*'Read Me'!$B$13)*(1+'Read Me'!$B$12),-1)</f>
        <v/>
      </c>
      <c r="W2549" s="15">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5" t="n">
        <v>1584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5" t="n">
        <v>52</v>
      </c>
      <c r="U2551" s="15" t="n">
        <v>10</v>
      </c>
      <c r="V2551" s="15">
        <f>ROUNDUP((T2551+U2551+2*'Read Me'!$B$13)*(1+'Read Me'!$B$12),-1)</f>
        <v/>
      </c>
      <c r="W2551" s="15">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5" t="n">
        <v>1584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5" t="n">
        <v>52</v>
      </c>
      <c r="U2553" s="15" t="n">
        <v>10</v>
      </c>
      <c r="V2553" s="15">
        <f>ROUNDUP((T2553+U2553+2*'Read Me'!$B$13)*(1+'Read Me'!$B$12),-1)</f>
        <v/>
      </c>
      <c r="W2553" s="15">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5" t="n">
        <v>1584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5" t="n">
        <v>52</v>
      </c>
      <c r="U2555" s="15" t="n">
        <v>10</v>
      </c>
      <c r="V2555" s="15">
        <f>ROUNDUP((T2555+U2555+2*'Read Me'!$B$13)*(1+'Read Me'!$B$12),-1)</f>
        <v/>
      </c>
      <c r="W2555" s="15">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5" t="n">
        <v>1584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5" t="n">
        <v>77</v>
      </c>
      <c r="U2557" s="15" t="n">
        <v>10</v>
      </c>
      <c r="V2557" s="15">
        <f>ROUNDUP((T2557+U2557+2*'Read Me'!$B$13)*(1+'Read Me'!$B$12),-1)</f>
        <v/>
      </c>
      <c r="W2557" s="15">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5" t="n">
        <v>91</v>
      </c>
      <c r="U2558" s="15" t="n">
        <v>285</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5" t="n">
        <v>55</v>
      </c>
      <c r="U2559" s="15" t="n">
        <v>10</v>
      </c>
      <c r="V2559" s="15">
        <f>ROUNDUP((T2559+U2559+2*'Read Me'!$B$13)*(1+'Read Me'!$B$12),-1)</f>
        <v/>
      </c>
      <c r="W2559" s="15">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5" t="n">
        <v>91</v>
      </c>
      <c r="U2560" s="15" t="n">
        <v>226</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5" t="n">
        <v>77</v>
      </c>
      <c r="U2561" s="15" t="n">
        <v>10</v>
      </c>
      <c r="V2561" s="15">
        <f>ROUNDUP((T2561+U2561+2*'Read Me'!$B$13)*(1+'Read Me'!$B$12),-1)</f>
        <v/>
      </c>
      <c r="W2561" s="15">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Duct bank</t>
        </is>
      </c>
      <c r="T2562" s="15" t="n">
        <v>1264</v>
      </c>
      <c r="U2562" s="15" t="n">
        <v>250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5" t="n">
        <v>55</v>
      </c>
      <c r="U2563" s="15" t="n">
        <v>10</v>
      </c>
      <c r="V2563" s="15">
        <f>ROUNDUP((T2563+U2563+2*'Read Me'!$B$13)*(1+'Read Me'!$B$12),-1)</f>
        <v/>
      </c>
      <c r="W2563" s="15">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Duct bank</t>
        </is>
      </c>
      <c r="T2564" s="15" t="n">
        <v>1264</v>
      </c>
      <c r="U2564" s="15" t="n">
        <v>206</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5" t="n">
        <v>900</v>
      </c>
      <c r="U2565" s="15" t="n">
        <v>30</v>
      </c>
      <c r="V2565" s="15">
        <f>ROUNDUP((T2565+U2565+2*'Read Me'!$B$13)*(1+'Read Me'!$B$12),-1)</f>
        <v/>
      </c>
      <c r="W2565" s="15">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5" t="n">
        <v>900</v>
      </c>
      <c r="U2566" s="15" t="n">
        <v>30</v>
      </c>
      <c r="V2566" s="15">
        <f>ROUNDUP((T2566+U2566+2*'Read Me'!$B$13)*(1+'Read Me'!$B$12),-1)</f>
        <v/>
      </c>
      <c r="W2566" s="15">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5" t="n">
        <v>900</v>
      </c>
      <c r="U2567" s="15" t="n">
        <v>30</v>
      </c>
      <c r="V2567" s="15">
        <f>ROUNDUP((T2567+U2567+2*'Read Me'!$B$13)*(1+'Read Me'!$B$12),-1)</f>
        <v/>
      </c>
      <c r="W2567" s="15">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5" t="n">
        <v>900</v>
      </c>
      <c r="U2568" s="15" t="n">
        <v>30</v>
      </c>
      <c r="V2568" s="15">
        <f>ROUNDUP((T2568+U2568+2*'Read Me'!$B$13)*(1+'Read Me'!$B$12),-1)</f>
        <v/>
      </c>
      <c r="W2568" s="15">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5" t="n">
        <v>0</v>
      </c>
      <c r="U2569" s="15" t="n">
        <v>30</v>
      </c>
      <c r="V2569" s="15">
        <f>ROUNDUP((T2569+U2569+2*'Read Me'!$B$13)*(1+'Read Me'!$B$12),-1)</f>
        <v/>
      </c>
      <c r="W2569" s="15">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5" t="n">
        <v>115</v>
      </c>
      <c r="U2570" s="15" t="n">
        <v>0</v>
      </c>
      <c r="V2570" s="15">
        <f>ROUNDUP((T2570+U2570+2*'Read Me'!$B$13)*(1+'Read Me'!$B$12),-1)</f>
        <v/>
      </c>
      <c r="W2570" s="15">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5" t="n">
        <v>115</v>
      </c>
      <c r="U2571" s="15" t="n">
        <v>0</v>
      </c>
      <c r="V2571" s="15">
        <f>ROUNDUP((T2571+U2571+2*'Read Me'!$B$13)*(1+'Read Me'!$B$12),-1)</f>
        <v/>
      </c>
      <c r="W2571" s="15">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5" t="n">
        <v>263</v>
      </c>
      <c r="U2572" s="15" t="n">
        <v>0</v>
      </c>
      <c r="V2572" s="15">
        <f>ROUNDUP((T2572+U2572+2*'Read Me'!$B$13)*(1+'Read Me'!$B$12),-1)</f>
        <v/>
      </c>
      <c r="W2572" s="15">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5" t="n">
        <v>304</v>
      </c>
      <c r="U2573" s="15" t="n">
        <v>0</v>
      </c>
      <c r="V2573" s="15">
        <f>ROUNDUP((T2573+U2573+2*'Read Me'!$B$13)*(1+'Read Me'!$B$12),-1)</f>
        <v/>
      </c>
      <c r="W2573" s="15">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5" t="n">
        <v>324</v>
      </c>
      <c r="U2574" s="15" t="n">
        <v>0</v>
      </c>
      <c r="V2574" s="15">
        <f>ROUNDUP((T2574+U2574+2*'Read Me'!$B$13)*(1+'Read Me'!$B$12),-1)</f>
        <v/>
      </c>
      <c r="W2574" s="15">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5" t="n">
        <v>236</v>
      </c>
      <c r="U2575" s="15" t="n">
        <v>0</v>
      </c>
      <c r="V2575" s="15">
        <f>ROUNDUP((T2575+U2575+2*'Read Me'!$B$13)*(1+'Read Me'!$B$12),-1)</f>
        <v/>
      </c>
      <c r="W2575" s="15">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5" t="n">
        <v>1544</v>
      </c>
      <c r="U2576" s="15" t="n">
        <v>0</v>
      </c>
      <c r="V2576" s="15">
        <f>ROUNDUP((T2576+U2576+2*'Read Me'!$B$13)*(1+'Read Me'!$B$12),-1)</f>
        <v/>
      </c>
      <c r="W2576" s="15">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5" t="n">
        <v>65</v>
      </c>
      <c r="U2577" s="15" t="n">
        <v>132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5" t="n">
        <v>65</v>
      </c>
      <c r="U2578" s="15" t="n">
        <v>59</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5" t="n">
        <v>65</v>
      </c>
      <c r="U2579" s="15" t="n">
        <v>42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5" t="n">
        <v>2419</v>
      </c>
      <c r="U2580" s="15" t="n">
        <v>157</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5" t="n">
        <v>2419</v>
      </c>
      <c r="U2581" s="15" t="n">
        <v>157</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5" t="n">
        <v>2419</v>
      </c>
      <c r="U2582" s="15" t="n">
        <v>157</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5" t="n">
        <v>2419</v>
      </c>
      <c r="U2583" s="15" t="n">
        <v>157</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5" t="n">
        <v>2419</v>
      </c>
      <c r="U2584" s="15" t="n">
        <v>157</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5" t="n">
        <v>2419</v>
      </c>
      <c r="U2585" s="15" t="n">
        <v>157</v>
      </c>
      <c r="V2585" s="15">
        <f>ROUNDUP((T2585+U2585+2*'Read Me'!$B$13)*(1+'Read Me'!$B$12),-1)</f>
        <v/>
      </c>
      <c r="W2585" s="15">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5" t="n">
        <v>0</v>
      </c>
      <c r="U2586" s="15" t="n">
        <v>84</v>
      </c>
      <c r="V2586" s="15">
        <f>ROUNDUP((T2586+U2586+2*'Read Me'!$B$13)*(1+'Read Me'!$B$12),-1)</f>
        <v/>
      </c>
      <c r="W2586" s="15">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5" t="n">
        <v>60</v>
      </c>
      <c r="U2587" s="15" t="n">
        <v>10</v>
      </c>
      <c r="V2587" s="15">
        <f>ROUNDUP((T2587+U2587+2*'Read Me'!$B$13)*(1+'Read Me'!$B$12),-1)</f>
        <v/>
      </c>
      <c r="W2587" s="15">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5" t="n">
        <v>193</v>
      </c>
      <c r="U2588" s="15" t="n">
        <v>32</v>
      </c>
      <c r="V2588" s="15">
        <f>ROUNDUP((T2588+U2588+2*'Read Me'!$B$13)*(1+'Read Me'!$B$12),-1)</f>
        <v/>
      </c>
      <c r="W2588" s="15">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5" t="n">
        <v>60</v>
      </c>
      <c r="U2589" s="15" t="n">
        <v>10</v>
      </c>
      <c r="V2589" s="15">
        <f>ROUNDUP((T2589+U2589+2*'Read Me'!$B$13)*(1+'Read Me'!$B$12),-1)</f>
        <v/>
      </c>
      <c r="W2589" s="15">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5" t="n">
        <v>83</v>
      </c>
      <c r="U2590" s="15" t="n">
        <v>32</v>
      </c>
      <c r="V2590" s="15">
        <f>ROUNDUP((T2590+U2590+2*'Read Me'!$B$13)*(1+'Read Me'!$B$12),-1)</f>
        <v/>
      </c>
      <c r="W2590" s="15">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5" t="n">
        <v>46</v>
      </c>
      <c r="U2591" s="15" t="n">
        <v>10</v>
      </c>
      <c r="V2591" s="15">
        <f>ROUNDUP((T2591+U2591+2*'Read Me'!$B$13)*(1+'Read Me'!$B$12),-1)</f>
        <v/>
      </c>
      <c r="W2591" s="15">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5" t="n">
        <v>193</v>
      </c>
      <c r="U2592" s="15" t="n">
        <v>129</v>
      </c>
      <c r="V2592" s="15">
        <f>ROUNDUP((T2592+U2592+2*'Read Me'!$B$13)*(1+'Read Me'!$B$12),-1)</f>
        <v/>
      </c>
      <c r="W2592" s="15">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5" t="n">
        <v>0</v>
      </c>
      <c r="U2593" s="15" t="n">
        <v>32</v>
      </c>
      <c r="V2593" s="15">
        <f>ROUNDUP((T2593+U2593+2*'Read Me'!$B$13)*(1+'Read Me'!$B$12),-1)</f>
        <v/>
      </c>
      <c r="W2593" s="15">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Conduit link</t>
        </is>
      </c>
      <c r="T2594" s="15" t="n">
        <v>15</v>
      </c>
      <c r="U2594" s="15" t="n">
        <v>32</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5" t="n">
        <v>134</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5" t="n">
        <v>199</v>
      </c>
      <c r="U2596" s="15" t="n">
        <v>32</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5" t="n">
        <v>134</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5" t="n">
        <v>199</v>
      </c>
      <c r="U2598" s="15" t="n">
        <v>32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5" t="n">
        <v>137</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5" t="n">
        <v>154</v>
      </c>
      <c r="U2600" s="15" t="n">
        <v>67</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5" t="n">
        <v>137</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5" t="n">
        <v>154</v>
      </c>
      <c r="U2602" s="15" t="n">
        <v>67</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5" t="n">
        <v>65</v>
      </c>
      <c r="U2603" s="15" t="n">
        <v>132</v>
      </c>
      <c r="V2603" s="15">
        <f>ROUNDUP((T2603+U2603+2*'Read Me'!$B$13)*(1+'Read Me'!$B$12),-1)</f>
        <v/>
      </c>
      <c r="W2603" s="15">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5" t="n">
        <v>65</v>
      </c>
      <c r="U2604" s="15" t="n">
        <v>59</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5" t="n">
        <v>65</v>
      </c>
      <c r="U2605" s="15" t="n">
        <v>59</v>
      </c>
      <c r="V2605" s="15">
        <f>ROUNDUP((T2605+U2605+2*'Read Me'!$B$13)*(1+'Read Me'!$B$12),-1)</f>
        <v/>
      </c>
      <c r="W2605" s="15">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5" t="n">
        <v>65</v>
      </c>
      <c r="U2606" s="15" t="n">
        <v>42</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5" t="n">
        <v>133</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5" t="n">
        <v>553</v>
      </c>
      <c r="U2608" s="15" t="n">
        <v>32</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5" t="n">
        <v>133</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5" t="n">
        <v>553</v>
      </c>
      <c r="U2610" s="15" t="n">
        <v>32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5" t="n">
        <v>133</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5" t="n">
        <v>553</v>
      </c>
      <c r="U2612" s="15" t="n">
        <v>32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5" t="n">
        <v>133</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5" t="n">
        <v>553</v>
      </c>
      <c r="U2614" s="15" t="n">
        <v>32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5" t="n">
        <v>133</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5" t="n">
        <v>553</v>
      </c>
      <c r="U2616" s="15" t="n">
        <v>32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5" t="n">
        <v>0</v>
      </c>
      <c r="U2617" s="15" t="n">
        <v>84</v>
      </c>
      <c r="V2617" s="15">
        <f>ROUNDUP((T2617+U2617+2*'Read Me'!$B$13)*(1+'Read Me'!$B$12),-1)</f>
        <v/>
      </c>
      <c r="W2617" s="15">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5" t="n">
        <v>61</v>
      </c>
      <c r="U2618" s="15" t="n">
        <v>10</v>
      </c>
      <c r="V2618" s="15">
        <f>ROUNDUP((T2618+U2618+2*'Read Me'!$B$13)*(1+'Read Me'!$B$12),-1)</f>
        <v/>
      </c>
      <c r="W2618" s="15">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5" t="n">
        <v>143</v>
      </c>
      <c r="U2619" s="15" t="n">
        <v>32</v>
      </c>
      <c r="V2619" s="15">
        <f>ROUNDUP((T2619+U2619+2*'Read Me'!$B$13)*(1+'Read Me'!$B$12),-1)</f>
        <v/>
      </c>
      <c r="W2619" s="15">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5" t="n">
        <v>61</v>
      </c>
      <c r="U2620" s="15" t="n">
        <v>10</v>
      </c>
      <c r="V2620" s="15">
        <f>ROUNDUP((T2620+U2620+2*'Read Me'!$B$13)*(1+'Read Me'!$B$12),-1)</f>
        <v/>
      </c>
      <c r="W2620" s="15">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5" t="n">
        <v>143</v>
      </c>
      <c r="U2621" s="15" t="n">
        <v>32</v>
      </c>
      <c r="V2621" s="15">
        <f>ROUNDUP((T2621+U2621+2*'Read Me'!$B$13)*(1+'Read Me'!$B$12),-1)</f>
        <v/>
      </c>
      <c r="W2621" s="15">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5" t="n">
        <v>64</v>
      </c>
      <c r="U2622" s="15" t="n">
        <v>10</v>
      </c>
      <c r="V2622" s="15">
        <f>ROUNDUP((T2622+U2622+2*'Read Me'!$B$13)*(1+'Read Me'!$B$12),-1)</f>
        <v/>
      </c>
      <c r="W2622" s="15">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5" t="n">
        <v>83</v>
      </c>
      <c r="U2623" s="15" t="n">
        <v>72</v>
      </c>
      <c r="V2623" s="15">
        <f>ROUNDUP((T2623+U2623+2*'Read Me'!$B$13)*(1+'Read Me'!$B$12),-1)</f>
        <v/>
      </c>
      <c r="W2623" s="15">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5" t="n">
        <v>64</v>
      </c>
      <c r="U2624" s="15" t="n">
        <v>10</v>
      </c>
      <c r="V2624" s="15">
        <f>ROUNDUP((T2624+U2624+2*'Read Me'!$B$13)*(1+'Read Me'!$B$12),-1)</f>
        <v/>
      </c>
      <c r="W2624" s="15">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5" t="n">
        <v>83</v>
      </c>
      <c r="U2625" s="15" t="n">
        <v>72</v>
      </c>
      <c r="V2625" s="15">
        <f>ROUNDUP((T2625+U2625+2*'Read Me'!$B$13)*(1+'Read Me'!$B$12),-1)</f>
        <v/>
      </c>
      <c r="W2625" s="15">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5" t="n">
        <v>60</v>
      </c>
      <c r="U2626" s="15" t="n">
        <v>10</v>
      </c>
      <c r="V2626" s="15">
        <f>ROUNDUP((T2626+U2626+2*'Read Me'!$B$13)*(1+'Read Me'!$B$12),-1)</f>
        <v/>
      </c>
      <c r="W2626" s="15">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5" t="n">
        <v>193</v>
      </c>
      <c r="U2627" s="15" t="n">
        <v>32</v>
      </c>
      <c r="V2627" s="15">
        <f>ROUNDUP((T2627+U2627+2*'Read Me'!$B$13)*(1+'Read Me'!$B$12),-1)</f>
        <v/>
      </c>
      <c r="W2627" s="15">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5" t="n">
        <v>60</v>
      </c>
      <c r="U2628" s="15" t="n">
        <v>10</v>
      </c>
      <c r="V2628" s="15">
        <f>ROUNDUP((T2628+U2628+2*'Read Me'!$B$13)*(1+'Read Me'!$B$12),-1)</f>
        <v/>
      </c>
      <c r="W2628" s="15">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5" t="n">
        <v>193</v>
      </c>
      <c r="U2629" s="15" t="n">
        <v>32</v>
      </c>
      <c r="V2629" s="15">
        <f>ROUNDUP((T2629+U2629+2*'Read Me'!$B$13)*(1+'Read Me'!$B$12),-1)</f>
        <v/>
      </c>
      <c r="W2629" s="15">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filter-se-AI01: 8 x 1 pr (field cables)</t>
        </is>
      </c>
      <c r="E2630" s="12" t="inlineStr"/>
      <c r="F2630" s="12" t="inlineStr">
        <is>
          <t>Gas yard filter-separators</t>
        </is>
      </c>
      <c r="G2630" s="12" t="inlineStr">
        <is>
          <t>JB-Gas yard filter-se-AI01</t>
        </is>
      </c>
      <c r="H2630" s="12" t="inlineStr">
        <is>
          <t>Gas yard filter-separators</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8</v>
      </c>
      <c r="O2630" s="12" t="n">
        <v>1</v>
      </c>
      <c r="P2630" s="12" t="n"/>
      <c r="Q2630" s="12" t="n"/>
      <c r="R2630" s="12" t="n"/>
      <c r="S2630" s="12" t="inlineStr">
        <is>
          <t>Tray / conduit</t>
        </is>
      </c>
      <c r="T2630" s="15" t="n">
        <v>60</v>
      </c>
      <c r="U2630" s="15" t="n">
        <v>10</v>
      </c>
      <c r="V2630" s="15">
        <f>ROUNDUP((T2630+U2630+2*'Read Me'!$B$13)*(1+'Read Me'!$B$12),-1)</f>
        <v/>
      </c>
      <c r="W2630" s="15">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filter-se-AI01 to the control / marshalling room</t>
        </is>
      </c>
      <c r="E2631" s="12" t="inlineStr"/>
      <c r="F2631" s="12" t="inlineStr">
        <is>
          <t>Gas yard local control enclosure</t>
        </is>
      </c>
      <c r="G2631" s="12" t="inlineStr">
        <is>
          <t>JB-Gas yard filter-se-AI01</t>
        </is>
      </c>
      <c r="H2631" s="12" t="inlineStr">
        <is>
          <t>Gas yard filter-separators</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5" t="n">
        <v>83</v>
      </c>
      <c r="U2631" s="15" t="n">
        <v>32</v>
      </c>
      <c r="V2631" s="15">
        <f>ROUNDUP((T2631+U2631+2*'Read Me'!$B$13)*(1+'Read Me'!$B$12),-1)</f>
        <v/>
      </c>
      <c r="W2631" s="15">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filter-se-DI01: 12 x 1 pr (field cables)</t>
        </is>
      </c>
      <c r="E2632" s="12" t="inlineStr"/>
      <c r="F2632" s="12" t="inlineStr">
        <is>
          <t>Gas yard filter-separators</t>
        </is>
      </c>
      <c r="G2632" s="12" t="inlineStr">
        <is>
          <t>JB-Gas yard filter-se-DI01</t>
        </is>
      </c>
      <c r="H2632" s="12" t="inlineStr">
        <is>
          <t>Gas yard filter-separators</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12</v>
      </c>
      <c r="O2632" s="12" t="n">
        <v>1</v>
      </c>
      <c r="P2632" s="12" t="n"/>
      <c r="Q2632" s="12" t="n"/>
      <c r="R2632" s="12" t="n"/>
      <c r="S2632" s="12" t="inlineStr">
        <is>
          <t>Tray / conduit</t>
        </is>
      </c>
      <c r="T2632" s="15" t="n">
        <v>60</v>
      </c>
      <c r="U2632" s="15" t="n">
        <v>10</v>
      </c>
      <c r="V2632" s="15">
        <f>ROUNDUP((T2632+U2632+2*'Read Me'!$B$13)*(1+'Read Me'!$B$12),-1)</f>
        <v/>
      </c>
      <c r="W2632" s="15">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filter-se-DI01 to the control / marshalling room</t>
        </is>
      </c>
      <c r="E2633" s="12" t="inlineStr"/>
      <c r="F2633" s="12" t="inlineStr">
        <is>
          <t>Gas yard local control enclosure</t>
        </is>
      </c>
      <c r="G2633" s="12" t="inlineStr">
        <is>
          <t>JB-Gas yard filter-se-DI01</t>
        </is>
      </c>
      <c r="H2633" s="12" t="inlineStr">
        <is>
          <t>Gas yard filter-separators</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5" t="n">
        <v>83</v>
      </c>
      <c r="U2633" s="15" t="n">
        <v>32</v>
      </c>
      <c r="V2633" s="15">
        <f>ROUNDUP((T2633+U2633+2*'Read Me'!$B$13)*(1+'Read Me'!$B$12),-1)</f>
        <v/>
      </c>
      <c r="W2633" s="15">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Discrete device to JB JB-Gas yard inlet: ES-DI01: 8 x 1 pr (field cables)</t>
        </is>
      </c>
      <c r="E2634" s="12" t="inlineStr"/>
      <c r="F2634" s="12" t="inlineStr">
        <is>
          <t>Gas yard inlet: ESD valve, block valve and insulating joint</t>
        </is>
      </c>
      <c r="G2634" s="12" t="inlineStr">
        <is>
          <t>JB-Gas yard inlet: ES-DI01</t>
        </is>
      </c>
      <c r="H2634" s="12" t="inlineStr">
        <is>
          <t>Gas yard inlet: ESD valve, block valve and insulating joint</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5" t="n">
        <v>46</v>
      </c>
      <c r="U2634" s="15" t="n">
        <v>10</v>
      </c>
      <c r="V2634" s="15">
        <f>ROUNDUP((T2634+U2634+2*'Read Me'!$B$13)*(1+'Read Me'!$B$12),-1)</f>
        <v/>
      </c>
      <c r="W2634" s="15">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inlet: ES-DI01 to the control / marshalling room</t>
        </is>
      </c>
      <c r="E2635" s="12" t="inlineStr"/>
      <c r="F2635" s="12" t="inlineStr">
        <is>
          <t>Gas yard local control enclosure</t>
        </is>
      </c>
      <c r="G2635" s="12" t="inlineStr">
        <is>
          <t>JB-Gas yard inlet: ES-DI01</t>
        </is>
      </c>
      <c r="H2635" s="12" t="inlineStr">
        <is>
          <t>Gas yard inlet: ESD valve, block valve and insulating joint</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5" t="n">
        <v>193</v>
      </c>
      <c r="U2635" s="15" t="n">
        <v>129</v>
      </c>
      <c r="V2635" s="15">
        <f>ROUNDUP((T2635+U2635+2*'Read Me'!$B$13)*(1+'Read Me'!$B$12),-1)</f>
        <v/>
      </c>
      <c r="W2635" s="15">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Instrumentation</t>
        </is>
      </c>
      <c r="E2636" s="12" t="inlineStr"/>
      <c r="F2636" s="12" t="inlineStr">
        <is>
          <t>Gas yard local control enclosure</t>
        </is>
      </c>
      <c r="G2636" s="12" t="inlineStr"/>
      <c r="H2636" s="12" t="inlineStr">
        <is>
          <t>Gas yard local control enclosure</t>
        </is>
      </c>
      <c r="I2636" s="12" t="inlineStr">
        <is>
          <t>Instrumentation</t>
        </is>
      </c>
      <c r="J2636" s="12" t="inlineStr">
        <is>
          <t>Instrumentation ITC / PLTC, IS, #18 shielded pairs, blue jacket</t>
        </is>
      </c>
      <c r="K2636" s="12" t="inlineStr">
        <is>
          <t>ITC|4 pr|18</t>
        </is>
      </c>
      <c r="L2636" s="12" t="inlineStr">
        <is>
          <t>4 pr</t>
        </is>
      </c>
      <c r="M2636" s="12" t="inlineStr">
        <is>
          <t>18</t>
        </is>
      </c>
      <c r="N2636" s="12" t="n">
        <v>1</v>
      </c>
      <c r="O2636" s="12" t="n">
        <v>1</v>
      </c>
      <c r="P2636" s="12" t="n"/>
      <c r="Q2636" s="12" t="n"/>
      <c r="R2636" s="12" t="n"/>
      <c r="S2636" s="12" t="inlineStr">
        <is>
          <t>Tray</t>
        </is>
      </c>
      <c r="T2636" s="15" t="n">
        <v>0</v>
      </c>
      <c r="U2636" s="15" t="n">
        <v>32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D-P-0001</t>
        </is>
      </c>
      <c r="B2637" s="12" t="inlineStr">
        <is>
          <t>D</t>
        </is>
      </c>
      <c r="C2637" s="12" t="inlineStr">
        <is>
          <t>Fuel gas</t>
        </is>
      </c>
      <c r="D2637" s="12" t="inlineStr">
        <is>
          <t>LV power feeder</t>
        </is>
      </c>
      <c r="E2637" s="12" t="inlineStr">
        <is>
          <t>MCC-C1</t>
        </is>
      </c>
      <c r="F2637" s="12" t="inlineStr">
        <is>
          <t>R1 MCC-C1</t>
        </is>
      </c>
      <c r="G2637" s="12" t="inlineStr"/>
      <c r="H2637" s="12" t="inlineStr">
        <is>
          <t>CONDITIONAL: ULSD backup fuel-oil tank</t>
        </is>
      </c>
      <c r="I2637" s="12" t="inlineStr">
        <is>
          <t>LV 600 V</t>
        </is>
      </c>
      <c r="J2637" s="12" t="inlineStr">
        <is>
          <t>ARMOR-X MC-HL 600 V 3/C Cu XHHW-2 + ground, CWA, black PVC (Class I Div 2)</t>
        </is>
      </c>
      <c r="K2637" s="12" t="inlineStr">
        <is>
          <t>LVAX|3/C+G|2</t>
        </is>
      </c>
      <c r="L2637" s="12" t="inlineStr">
        <is>
          <t>3/C+G</t>
        </is>
      </c>
      <c r="M2637" s="12" t="inlineStr">
        <is>
          <t>2</t>
        </is>
      </c>
      <c r="N2637" s="12" t="n">
        <v>1</v>
      </c>
      <c r="O2637" s="12" t="n">
        <v>1</v>
      </c>
      <c r="P2637" s="12" t="n">
        <v>480</v>
      </c>
      <c r="Q2637" s="12" t="n">
        <v>10</v>
      </c>
      <c r="R2637" s="12" t="n">
        <v>14.2</v>
      </c>
      <c r="S2637" s="12" t="inlineStr">
        <is>
          <t>Duct bank</t>
        </is>
      </c>
      <c r="T2637" s="15" t="n">
        <v>1902</v>
      </c>
      <c r="U2637" s="15" t="n">
        <v>157</v>
      </c>
      <c r="V2637" s="15">
        <f>ROUNDUP((T2637+U2637+2*'Read Me'!$B$13)*(1+'Read Me'!$B$12),-1)</f>
        <v/>
      </c>
      <c r="W2637" s="15">
        <f>V2637*N2637*O2637</f>
        <v/>
      </c>
      <c r="X2637" s="12">
        <f>IF(LEFT(I2637,2)="MV",2*N2637*IF(L2637="1/C",O2637,1),0)</f>
        <v/>
      </c>
      <c r="Y2637" s="12">
        <f>IF(OR(LEFT(K2637,4)="LVAX",LEFT(K2637,6)="MV15AX",LEFT(K2637,4)="CTAX",LEFT(K2637,2)="W|"),2*N2637*O2637,0)</f>
        <v/>
      </c>
      <c r="Z2637" s="12" t="inlineStr">
        <is>
          <t>VD 2.2 %</t>
        </is>
      </c>
      <c r="AA2637" s="12">
        <f>N2637*O2637</f>
        <v/>
      </c>
    </row>
    <row r="2638">
      <c r="A2638" s="12" t="inlineStr">
        <is>
          <t>D-P-0002</t>
        </is>
      </c>
      <c r="B2638" s="12" t="inlineStr">
        <is>
          <t>D</t>
        </is>
      </c>
      <c r="C2638" s="12" t="inlineStr">
        <is>
          <t>Fuel gas</t>
        </is>
      </c>
      <c r="D2638" s="12" t="inlineStr">
        <is>
          <t>LV power feeder</t>
        </is>
      </c>
      <c r="E2638" s="12" t="inlineStr">
        <is>
          <t>MCC-C1</t>
        </is>
      </c>
      <c r="F2638" s="12" t="inlineStr">
        <is>
          <t>R1 MCC-C1</t>
        </is>
      </c>
      <c r="G2638" s="12" t="inlineStr"/>
      <c r="H2638" s="12" t="inlineStr">
        <is>
          <t>CONDITIONAL: ULSD truck unloading station (canopy, spill containment)</t>
        </is>
      </c>
      <c r="I2638" s="12" t="inlineStr">
        <is>
          <t>LV 600 V</t>
        </is>
      </c>
      <c r="J2638" s="12" t="inlineStr">
        <is>
          <t>ARMOR-X MC-HL 600 V 3/C Cu XHHW-2 + ground, CWA, black PVC (Class I Div 2)</t>
        </is>
      </c>
      <c r="K2638" s="12" t="inlineStr">
        <is>
          <t>LVAX|3/C+G|1</t>
        </is>
      </c>
      <c r="L2638" s="12" t="inlineStr">
        <is>
          <t>3/C+G</t>
        </is>
      </c>
      <c r="M2638" s="12" t="inlineStr">
        <is>
          <t>1</t>
        </is>
      </c>
      <c r="N2638" s="12" t="n">
        <v>1</v>
      </c>
      <c r="O2638" s="12" t="n">
        <v>1</v>
      </c>
      <c r="P2638" s="12" t="n">
        <v>480</v>
      </c>
      <c r="Q2638" s="12" t="n">
        <v>15</v>
      </c>
      <c r="R2638" s="12" t="n">
        <v>21.2</v>
      </c>
      <c r="S2638" s="12" t="inlineStr">
        <is>
          <t>Tray</t>
        </is>
      </c>
      <c r="T2638" s="15" t="n">
        <v>1768</v>
      </c>
      <c r="U2638" s="15" t="n">
        <v>257</v>
      </c>
      <c r="V2638" s="15">
        <f>ROUNDUP((T2638+U2638+2*'Read Me'!$B$13)*(1+'Read Me'!$B$12),-1)</f>
        <v/>
      </c>
      <c r="W2638" s="15">
        <f>V2638*N2638*O2638</f>
        <v/>
      </c>
      <c r="X2638" s="12">
        <f>IF(LEFT(I2638,2)="MV",2*N2638*IF(L2638="1/C",O2638,1),0)</f>
        <v/>
      </c>
      <c r="Y2638" s="12">
        <f>IF(OR(LEFT(K2638,4)="LVAX",LEFT(K2638,6)="MV15AX",LEFT(K2638,4)="CTAX",LEFT(K2638,2)="W|"),2*N2638*O2638,0)</f>
        <v/>
      </c>
      <c r="Z2638" s="12" t="inlineStr">
        <is>
          <t>VD 2.6 %</t>
        </is>
      </c>
      <c r="AA2638" s="12">
        <f>N2638*O2638</f>
        <v/>
      </c>
    </row>
    <row r="2639">
      <c r="A2639" s="12" t="inlineStr">
        <is>
          <t>D-P-0003</t>
        </is>
      </c>
      <c r="B2639" s="12" t="inlineStr">
        <is>
          <t>D</t>
        </is>
      </c>
      <c r="C2639" s="12" t="inlineStr">
        <is>
          <t>Fuel gas</t>
        </is>
      </c>
      <c r="D2639" s="12" t="inlineStr">
        <is>
          <t>LV power feeder</t>
        </is>
      </c>
      <c r="E2639" s="12" t="inlineStr">
        <is>
          <t>MCC-C1</t>
        </is>
      </c>
      <c r="F2639" s="12" t="inlineStr">
        <is>
          <t>R1 MCC-C1</t>
        </is>
      </c>
      <c r="G2639" s="12" t="inlineStr"/>
      <c r="H2639" s="12" t="inlineStr">
        <is>
          <t>CONDITIONAL: ULSD unloading and forwarding pumps, duplex filters</t>
        </is>
      </c>
      <c r="I2639" s="12" t="inlineStr">
        <is>
          <t>LV 600 V</t>
        </is>
      </c>
      <c r="J2639" s="12" t="inlineStr">
        <is>
          <t>ARMOR-X MC-HL 600 V 3/C Cu XHHW-2 + ground, CWA, black PVC (Class I Div 2)</t>
        </is>
      </c>
      <c r="K2639" s="12" t="inlineStr">
        <is>
          <t>LVAX|3/C+G|350</t>
        </is>
      </c>
      <c r="L2639" s="12" t="inlineStr">
        <is>
          <t>3/C+G</t>
        </is>
      </c>
      <c r="M2639" s="12" t="inlineStr">
        <is>
          <t>350 kcmil</t>
        </is>
      </c>
      <c r="N2639" s="12" t="n">
        <v>2</v>
      </c>
      <c r="O2639" s="12" t="n">
        <v>1</v>
      </c>
      <c r="P2639" s="12" t="n">
        <v>480</v>
      </c>
      <c r="Q2639" s="12" t="n">
        <v>110</v>
      </c>
      <c r="R2639" s="12" t="n">
        <v>155.7</v>
      </c>
      <c r="S2639" s="12" t="inlineStr">
        <is>
          <t>Tray</t>
        </is>
      </c>
      <c r="T2639" s="15" t="n">
        <v>1768</v>
      </c>
      <c r="U2639" s="15" t="n">
        <v>184</v>
      </c>
      <c r="V2639" s="15">
        <f>ROUNDUP((T2639+U2639+2*'Read Me'!$B$13)*(1+'Read Me'!$B$12),-1)</f>
        <v/>
      </c>
      <c r="W2639" s="15">
        <f>V2639*N2639*O2639</f>
        <v/>
      </c>
      <c r="X2639" s="12">
        <f>IF(LEFT(I2639,2)="MV",2*N2639*IF(L2639="1/C",O2639,1),0)</f>
        <v/>
      </c>
      <c r="Y2639" s="12">
        <f>IF(OR(LEFT(K2639,4)="LVAX",LEFT(K2639,6)="MV15AX",LEFT(K2639,4)="CTAX",LEFT(K2639,2)="W|"),2*N2639*O2639,0)</f>
        <v/>
      </c>
      <c r="Z2639" s="12" t="inlineStr">
        <is>
          <t>VD 2.2 %</t>
        </is>
      </c>
      <c r="AA2639" s="12">
        <f>N2639*O2639</f>
        <v/>
      </c>
    </row>
    <row r="2640">
      <c r="A2640" s="12" t="inlineStr">
        <is>
          <t>D-P-0004</t>
        </is>
      </c>
      <c r="B2640" s="12" t="inlineStr">
        <is>
          <t>D</t>
        </is>
      </c>
      <c r="C2640" s="12" t="inlineStr">
        <is>
          <t>Fuel gas</t>
        </is>
      </c>
      <c r="D2640" s="12" t="inlineStr">
        <is>
          <t>LV power feeder</t>
        </is>
      </c>
      <c r="E2640" s="12" t="inlineStr">
        <is>
          <t>MCC-C1</t>
        </is>
      </c>
      <c r="F2640" s="12" t="inlineStr">
        <is>
          <t>R1 MCC-C1</t>
        </is>
      </c>
      <c r="G2640" s="12" t="inlineStr"/>
      <c r="H2640" s="12" t="inlineStr">
        <is>
          <t>CONDITIONAL: backup fuel oil (ULSD) unloading and forwarding area</t>
        </is>
      </c>
      <c r="I2640" s="12" t="inlineStr">
        <is>
          <t>LV 600 V</t>
        </is>
      </c>
      <c r="J2640" s="12" t="inlineStr">
        <is>
          <t>ARMOR-X MC-HL 600 V 3/C Cu XHHW-2 + ground, CWA, black PVC (Class I Div 2)</t>
        </is>
      </c>
      <c r="K2640" s="12" t="inlineStr">
        <is>
          <t>LVAX|3/C+G|1</t>
        </is>
      </c>
      <c r="L2640" s="12" t="inlineStr">
        <is>
          <t>3/C+G</t>
        </is>
      </c>
      <c r="M2640" s="12" t="inlineStr">
        <is>
          <t>1</t>
        </is>
      </c>
      <c r="N2640" s="12" t="n">
        <v>1</v>
      </c>
      <c r="O2640" s="12" t="n">
        <v>1</v>
      </c>
      <c r="P2640" s="12" t="n">
        <v>480</v>
      </c>
      <c r="Q2640" s="12" t="n">
        <v>15</v>
      </c>
      <c r="R2640" s="12" t="n">
        <v>21.2</v>
      </c>
      <c r="S2640" s="12" t="inlineStr">
        <is>
          <t>Tray</t>
        </is>
      </c>
      <c r="T2640" s="15" t="n">
        <v>1768</v>
      </c>
      <c r="U2640" s="15" t="n">
        <v>167</v>
      </c>
      <c r="V2640" s="15">
        <f>ROUNDUP((T2640+U2640+2*'Read Me'!$B$13)*(1+'Read Me'!$B$12),-1)</f>
        <v/>
      </c>
      <c r="W2640" s="15">
        <f>V2640*N2640*O2640</f>
        <v/>
      </c>
      <c r="X2640" s="12">
        <f>IF(LEFT(I2640,2)="MV",2*N2640*IF(L2640="1/C",O2640,1),0)</f>
        <v/>
      </c>
      <c r="Y2640" s="12">
        <f>IF(OR(LEFT(K2640,4)="LVAX",LEFT(K2640,6)="MV15AX",LEFT(K2640,4)="CTAX",LEFT(K2640,2)="W|"),2*N2640*O2640,0)</f>
        <v/>
      </c>
      <c r="Z2640" s="12" t="inlineStr">
        <is>
          <t>VD 2.5 %</t>
        </is>
      </c>
      <c r="AA2640" s="12">
        <f>N2640*O2640</f>
        <v/>
      </c>
    </row>
    <row r="2641">
      <c r="A2641" s="12" t="inlineStr">
        <is>
          <t>D-P-0005</t>
        </is>
      </c>
      <c r="B2641" s="12" t="inlineStr">
        <is>
          <t>D</t>
        </is>
      </c>
      <c r="C2641" s="12" t="inlineStr">
        <is>
          <t>Fuel gas</t>
        </is>
      </c>
      <c r="D2641" s="12" t="inlineStr">
        <is>
          <t>Motor 1 of 6, 15 kW</t>
        </is>
      </c>
      <c r="E2641" s="12" t="inlineStr">
        <is>
          <t>MCC-C1</t>
        </is>
      </c>
      <c r="F2641" s="12" t="inlineStr">
        <is>
          <t>R1 MCC-C1</t>
        </is>
      </c>
      <c r="G2641" s="12" t="inlineStr"/>
      <c r="H2641" s="12" t="inlineStr">
        <is>
          <t>CONDITIONAL: fuel-gas compressors</t>
        </is>
      </c>
      <c r="I2641" s="12" t="inlineStr">
        <is>
          <t>LV 600 V</t>
        </is>
      </c>
      <c r="J2641" s="12" t="inlineStr">
        <is>
          <t>ARMOR-X MC-HL 600 V 3/C Cu XHHW-2 + ground, CWA, black PVC (Class I Div 2)</t>
        </is>
      </c>
      <c r="K2641" s="12" t="inlineStr">
        <is>
          <t>LVAX|3/C+G|1/0</t>
        </is>
      </c>
      <c r="L2641" s="12" t="inlineStr">
        <is>
          <t>3/C+G</t>
        </is>
      </c>
      <c r="M2641" s="12" t="inlineStr">
        <is>
          <t>1/0</t>
        </is>
      </c>
      <c r="N2641" s="12" t="n">
        <v>1</v>
      </c>
      <c r="O2641" s="12" t="n">
        <v>1</v>
      </c>
      <c r="P2641" s="12" t="n">
        <v>480</v>
      </c>
      <c r="Q2641" s="12" t="n">
        <v>15</v>
      </c>
      <c r="R2641" s="12" t="n">
        <v>21.2</v>
      </c>
      <c r="S2641" s="12" t="inlineStr">
        <is>
          <t>Duct bank</t>
        </is>
      </c>
      <c r="T2641" s="15" t="n">
        <v>2419</v>
      </c>
      <c r="U2641" s="15" t="n">
        <v>157</v>
      </c>
      <c r="V2641" s="15">
        <f>ROUNDUP((T2641+U2641+2*'Read Me'!$B$13)*(1+'Read Me'!$B$12),-1)</f>
        <v/>
      </c>
      <c r="W2641" s="15">
        <f>V2641*N2641*O2641</f>
        <v/>
      </c>
      <c r="X2641" s="12">
        <f>IF(LEFT(I2641,2)="MV",2*N2641*IF(L2641="1/C",O2641,1),0)</f>
        <v/>
      </c>
      <c r="Y2641" s="12">
        <f>IF(OR(LEFT(K2641,4)="LVAX",LEFT(K2641,6)="MV15AX",LEFT(K2641,4)="CTAX",LEFT(K2641,2)="W|"),2*N2641*O2641,0)</f>
        <v/>
      </c>
      <c r="Z2641" s="12" t="inlineStr">
        <is>
          <t>VD 2.6 %</t>
        </is>
      </c>
      <c r="AA2641" s="12">
        <f>N2641*O2641</f>
        <v/>
      </c>
    </row>
    <row r="2642">
      <c r="A2642" s="12" t="inlineStr">
        <is>
          <t>D-P-0006</t>
        </is>
      </c>
      <c r="B2642" s="12" t="inlineStr">
        <is>
          <t>D</t>
        </is>
      </c>
      <c r="C2642" s="12" t="inlineStr">
        <is>
          <t>Fuel gas</t>
        </is>
      </c>
      <c r="D2642" s="12" t="inlineStr">
        <is>
          <t>Motor 2 of 6, 15 kW</t>
        </is>
      </c>
      <c r="E2642" s="12" t="inlineStr">
        <is>
          <t>MCC-C1</t>
        </is>
      </c>
      <c r="F2642" s="12" t="inlineStr">
        <is>
          <t>R1 MCC-C1</t>
        </is>
      </c>
      <c r="G2642" s="12" t="inlineStr"/>
      <c r="H2642" s="12" t="inlineStr">
        <is>
          <t>CONDITIONAL: fuel-gas compressors</t>
        </is>
      </c>
      <c r="I2642" s="12" t="inlineStr">
        <is>
          <t>LV 600 V</t>
        </is>
      </c>
      <c r="J2642" s="12" t="inlineStr">
        <is>
          <t>ARMOR-X MC-HL 600 V 3/C Cu XHHW-2 + ground, CWA, black PVC (Class I Div 2)</t>
        </is>
      </c>
      <c r="K2642" s="12" t="inlineStr">
        <is>
          <t>LVAX|3/C+G|1/0</t>
        </is>
      </c>
      <c r="L2642" s="12" t="inlineStr">
        <is>
          <t>3/C+G</t>
        </is>
      </c>
      <c r="M2642" s="12" t="inlineStr">
        <is>
          <t>1/0</t>
        </is>
      </c>
      <c r="N2642" s="12" t="n">
        <v>1</v>
      </c>
      <c r="O2642" s="12" t="n">
        <v>1</v>
      </c>
      <c r="P2642" s="12" t="n">
        <v>480</v>
      </c>
      <c r="Q2642" s="12" t="n">
        <v>15</v>
      </c>
      <c r="R2642" s="12" t="n">
        <v>21.2</v>
      </c>
      <c r="S2642" s="12" t="inlineStr">
        <is>
          <t>Duct bank</t>
        </is>
      </c>
      <c r="T2642" s="15" t="n">
        <v>2419</v>
      </c>
      <c r="U2642" s="15" t="n">
        <v>157</v>
      </c>
      <c r="V2642" s="15">
        <f>ROUNDUP((T2642+U2642+2*'Read Me'!$B$13)*(1+'Read Me'!$B$12),-1)</f>
        <v/>
      </c>
      <c r="W2642" s="15">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D-P-0007</t>
        </is>
      </c>
      <c r="B2643" s="12" t="inlineStr">
        <is>
          <t>D</t>
        </is>
      </c>
      <c r="C2643" s="12" t="inlineStr">
        <is>
          <t>Fuel gas</t>
        </is>
      </c>
      <c r="D2643" s="12" t="inlineStr">
        <is>
          <t>Motor 3 of 6, 15 kW</t>
        </is>
      </c>
      <c r="E2643" s="12" t="inlineStr">
        <is>
          <t>MCC-C1</t>
        </is>
      </c>
      <c r="F2643" s="12" t="inlineStr">
        <is>
          <t>R1 MCC-C1</t>
        </is>
      </c>
      <c r="G2643" s="12" t="inlineStr"/>
      <c r="H2643" s="12" t="inlineStr">
        <is>
          <t>CONDITIONAL: fuel-gas compressors</t>
        </is>
      </c>
      <c r="I2643" s="12" t="inlineStr">
        <is>
          <t>LV 600 V</t>
        </is>
      </c>
      <c r="J2643" s="12" t="inlineStr">
        <is>
          <t>ARMOR-X MC-HL 600 V 3/C Cu XHHW-2 + ground, CWA, black PVC (Class I Div 2)</t>
        </is>
      </c>
      <c r="K2643" s="12" t="inlineStr">
        <is>
          <t>LVAX|3/C+G|1/0</t>
        </is>
      </c>
      <c r="L2643" s="12" t="inlineStr">
        <is>
          <t>3/C+G</t>
        </is>
      </c>
      <c r="M2643" s="12" t="inlineStr">
        <is>
          <t>1/0</t>
        </is>
      </c>
      <c r="N2643" s="12" t="n">
        <v>1</v>
      </c>
      <c r="O2643" s="12" t="n">
        <v>1</v>
      </c>
      <c r="P2643" s="12" t="n">
        <v>480</v>
      </c>
      <c r="Q2643" s="12" t="n">
        <v>15</v>
      </c>
      <c r="R2643" s="12" t="n">
        <v>21.2</v>
      </c>
      <c r="S2643" s="12" t="inlineStr">
        <is>
          <t>Duct bank</t>
        </is>
      </c>
      <c r="T2643" s="15" t="n">
        <v>2419</v>
      </c>
      <c r="U2643" s="15" t="n">
        <v>157</v>
      </c>
      <c r="V2643" s="15">
        <f>ROUNDUP((T2643+U2643+2*'Read Me'!$B$13)*(1+'Read Me'!$B$12),-1)</f>
        <v/>
      </c>
      <c r="W2643" s="15">
        <f>V2643*N2643*O2643</f>
        <v/>
      </c>
      <c r="X2643" s="12">
        <f>IF(LEFT(I2643,2)="MV",2*N2643*IF(L2643="1/C",O2643,1),0)</f>
        <v/>
      </c>
      <c r="Y2643" s="12">
        <f>IF(OR(LEFT(K2643,4)="LVAX",LEFT(K2643,6)="MV15AX",LEFT(K2643,4)="CTAX",LEFT(K2643,2)="W|"),2*N2643*O2643,0)</f>
        <v/>
      </c>
      <c r="Z2643" s="12" t="inlineStr">
        <is>
          <t>VD 2.6 %</t>
        </is>
      </c>
      <c r="AA2643" s="12">
        <f>N2643*O2643</f>
        <v/>
      </c>
    </row>
    <row r="2644">
      <c r="A2644" s="12" t="inlineStr">
        <is>
          <t>D-P-0008</t>
        </is>
      </c>
      <c r="B2644" s="12" t="inlineStr">
        <is>
          <t>D</t>
        </is>
      </c>
      <c r="C2644" s="12" t="inlineStr">
        <is>
          <t>Fuel gas</t>
        </is>
      </c>
      <c r="D2644" s="12" t="inlineStr">
        <is>
          <t>Motor 4 of 6, 15 kW</t>
        </is>
      </c>
      <c r="E2644" s="12" t="inlineStr">
        <is>
          <t>MCC-C1</t>
        </is>
      </c>
      <c r="F2644" s="12" t="inlineStr">
        <is>
          <t>R1 MCC-C1</t>
        </is>
      </c>
      <c r="G2644" s="12" t="inlineStr"/>
      <c r="H2644" s="12" t="inlineStr">
        <is>
          <t>CONDITIONAL: fuel-gas compressors</t>
        </is>
      </c>
      <c r="I2644" s="12" t="inlineStr">
        <is>
          <t>LV 600 V</t>
        </is>
      </c>
      <c r="J2644" s="12" t="inlineStr">
        <is>
          <t>ARMOR-X MC-HL 600 V 3/C Cu XHHW-2 + ground, CWA, black PVC (Class I Div 2)</t>
        </is>
      </c>
      <c r="K2644" s="12" t="inlineStr">
        <is>
          <t>LVAX|3/C+G|1/0</t>
        </is>
      </c>
      <c r="L2644" s="12" t="inlineStr">
        <is>
          <t>3/C+G</t>
        </is>
      </c>
      <c r="M2644" s="12" t="inlineStr">
        <is>
          <t>1/0</t>
        </is>
      </c>
      <c r="N2644" s="12" t="n">
        <v>1</v>
      </c>
      <c r="O2644" s="12" t="n">
        <v>1</v>
      </c>
      <c r="P2644" s="12" t="n">
        <v>480</v>
      </c>
      <c r="Q2644" s="12" t="n">
        <v>15</v>
      </c>
      <c r="R2644" s="12" t="n">
        <v>21.2</v>
      </c>
      <c r="S2644" s="12" t="inlineStr">
        <is>
          <t>Duct bank</t>
        </is>
      </c>
      <c r="T2644" s="15" t="n">
        <v>2419</v>
      </c>
      <c r="U2644" s="15" t="n">
        <v>157</v>
      </c>
      <c r="V2644" s="15">
        <f>ROUNDUP((T2644+U2644+2*'Read Me'!$B$13)*(1+'Read Me'!$B$12),-1)</f>
        <v/>
      </c>
      <c r="W2644" s="15">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D-P-0009</t>
        </is>
      </c>
      <c r="B2645" s="12" t="inlineStr">
        <is>
          <t>D</t>
        </is>
      </c>
      <c r="C2645" s="12" t="inlineStr">
        <is>
          <t>Fuel gas</t>
        </is>
      </c>
      <c r="D2645" s="12" t="inlineStr">
        <is>
          <t>Motor 5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5" t="n">
        <v>2419</v>
      </c>
      <c r="U2645" s="15" t="n">
        <v>157</v>
      </c>
      <c r="V2645" s="15">
        <f>ROUNDUP((T2645+U2645+2*'Read Me'!$B$13)*(1+'Read Me'!$B$12),-1)</f>
        <v/>
      </c>
      <c r="W2645" s="15">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D-P-0010</t>
        </is>
      </c>
      <c r="B2646" s="12" t="inlineStr">
        <is>
          <t>D</t>
        </is>
      </c>
      <c r="C2646" s="12" t="inlineStr">
        <is>
          <t>Fuel gas</t>
        </is>
      </c>
      <c r="D2646" s="12" t="inlineStr">
        <is>
          <t>Motor 6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5" t="n">
        <v>2419</v>
      </c>
      <c r="U2646" s="15" t="n">
        <v>157</v>
      </c>
      <c r="V2646" s="15">
        <f>ROUNDUP((T2646+U2646+2*'Read Me'!$B$13)*(1+'Read Me'!$B$12),-1)</f>
        <v/>
      </c>
      <c r="W2646" s="15">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D-P-0011</t>
        </is>
      </c>
      <c r="B2647" s="12" t="inlineStr">
        <is>
          <t>D</t>
        </is>
      </c>
      <c r="C2647" s="12" t="inlineStr">
        <is>
          <t>Fuel gas</t>
        </is>
      </c>
      <c r="D2647" s="12" t="inlineStr">
        <is>
          <t>Cathodic-protection rectifier supply</t>
        </is>
      </c>
      <c r="E2647" s="12" t="inlineStr">
        <is>
          <t>MCC-C1</t>
        </is>
      </c>
      <c r="F2647" s="12" t="inlineStr">
        <is>
          <t>R1 MCC-C1</t>
        </is>
      </c>
      <c r="G2647" s="12" t="inlineStr">
        <is>
          <t>CPR-1</t>
        </is>
      </c>
      <c r="H2647" s="12" t="inlineStr">
        <is>
          <t>CPR-1: cathodic-protection rectifier</t>
        </is>
      </c>
      <c r="I2647" s="12" t="inlineStr">
        <is>
          <t>LV 600 V</t>
        </is>
      </c>
      <c r="J2647" s="12" t="inlineStr">
        <is>
          <t>Type TC-ER 600 V 3/C Cu XHHW-2 + ground, PVC jacket</t>
        </is>
      </c>
      <c r="K2647" s="12" t="inlineStr">
        <is>
          <t>LV|3/C+G|2</t>
        </is>
      </c>
      <c r="L2647" s="12" t="inlineStr">
        <is>
          <t>3/C+G</t>
        </is>
      </c>
      <c r="M2647" s="12" t="inlineStr">
        <is>
          <t>2</t>
        </is>
      </c>
      <c r="N2647" s="12" t="n">
        <v>1</v>
      </c>
      <c r="O2647" s="12" t="n">
        <v>1</v>
      </c>
      <c r="P2647" s="12" t="n">
        <v>480</v>
      </c>
      <c r="Q2647" s="12" t="n">
        <v>10</v>
      </c>
      <c r="R2647" s="12" t="n">
        <v>12.7</v>
      </c>
      <c r="S2647" s="12" t="inlineStr">
        <is>
          <t>Tray</t>
        </is>
      </c>
      <c r="T2647" s="15" t="n">
        <v>1833</v>
      </c>
      <c r="U2647" s="15" t="n">
        <v>209</v>
      </c>
      <c r="V2647" s="15">
        <f>ROUNDUP((T2647+U2647+2*'Read Me'!$B$13)*(1+'Read Me'!$B$12),-1)</f>
        <v/>
      </c>
      <c r="W2647" s="15">
        <f>V2647*N2647*O2647</f>
        <v/>
      </c>
      <c r="X2647" s="12">
        <f>IF(LEFT(I2647,2)="MV",2*N2647*IF(L2647="1/C",O2647,1),0)</f>
        <v/>
      </c>
      <c r="Y2647" s="12">
        <f>IF(OR(LEFT(K2647,4)="LVAX",LEFT(K2647,6)="MV15AX",LEFT(K2647,4)="CTAX",LEFT(K2647,2)="W|"),2*N2647*O2647,0)</f>
        <v/>
      </c>
      <c r="Z2647" s="12" t="inlineStr">
        <is>
          <t>VD 2.0 %</t>
        </is>
      </c>
      <c r="AA2647" s="12">
        <f>N2647*O2647</f>
        <v/>
      </c>
    </row>
    <row r="2648">
      <c r="A2648" s="12" t="inlineStr">
        <is>
          <t>D-P-0012</t>
        </is>
      </c>
      <c r="B2648" s="12" t="inlineStr">
        <is>
          <t>D</t>
        </is>
      </c>
      <c r="C2648" s="12" t="inlineStr">
        <is>
          <t>Fuel gas</t>
        </is>
      </c>
      <c r="D2648" s="12" t="inlineStr">
        <is>
          <t>CP anode / structure leads (allowance)</t>
        </is>
      </c>
      <c r="E2648" s="12" t="inlineStr">
        <is>
          <t>CPR-1</t>
        </is>
      </c>
      <c r="F2648" s="12" t="inlineStr">
        <is>
          <t>CPR-1: cathodic-protection rectifier</t>
        </is>
      </c>
      <c r="G2648" s="12" t="inlineStr">
        <is>
          <t>CPR-1</t>
        </is>
      </c>
      <c r="H2648" s="12" t="inlineStr">
        <is>
          <t>CPR-1: cathodic-protection rectifier</t>
        </is>
      </c>
      <c r="I2648" s="12" t="inlineStr">
        <is>
          <t>LV 600 V</t>
        </is>
      </c>
      <c r="J2648" s="12" t="inlineStr">
        <is>
          <t>Type TC-ER 600 V 3/C Cu XHHW-2 + ground, PVC jacket</t>
        </is>
      </c>
      <c r="K2648" s="12" t="inlineStr">
        <is>
          <t>LV|1/C|8</t>
        </is>
      </c>
      <c r="L2648" s="12" t="inlineStr">
        <is>
          <t>1/C</t>
        </is>
      </c>
      <c r="M2648" s="12" t="inlineStr">
        <is>
          <t>8</t>
        </is>
      </c>
      <c r="N2648" s="12" t="n">
        <v>1</v>
      </c>
      <c r="O2648" s="12" t="n">
        <v>1</v>
      </c>
      <c r="P2648" s="12" t="n"/>
      <c r="Q2648" s="12" t="n"/>
      <c r="R2648" s="12" t="n"/>
      <c r="S2648" s="12" t="inlineStr">
        <is>
          <t>Buried</t>
        </is>
      </c>
      <c r="T2648" s="15" t="n">
        <v>1500</v>
      </c>
      <c r="U2648" s="15" t="n">
        <v>0</v>
      </c>
      <c r="V2648" s="15">
        <f>ROUNDUP((T2648+U2648+2*'Read Me'!$B$13)*(1+'Read Me'!$B$12),-1)</f>
        <v/>
      </c>
      <c r="W2648" s="15">
        <f>V2648*N2648*O2648</f>
        <v/>
      </c>
      <c r="X2648" s="12">
        <f>IF(LEFT(I2648,2)="MV",2*N2648*IF(L2648="1/C",O2648,1),0)</f>
        <v/>
      </c>
      <c r="Y2648" s="12">
        <f>IF(OR(LEFT(K2648,4)="LVAX",LEFT(K2648,6)="MV15AX",LEFT(K2648,4)="CTAX",LEFT(K2648,2)="W|"),2*N2648*O2648,0)</f>
        <v/>
      </c>
      <c r="Z2648" s="12" t="inlineStr">
        <is>
          <t>HMWPE anode lead cable by CP vendor; allowance</t>
        </is>
      </c>
      <c r="AA2648" s="12">
        <f>N2648*O2648</f>
        <v/>
      </c>
    </row>
    <row r="2649">
      <c r="A2649" s="12" t="inlineStr">
        <is>
          <t>D-P-0013</t>
        </is>
      </c>
      <c r="B2649" s="12" t="inlineStr">
        <is>
          <t>D</t>
        </is>
      </c>
      <c r="C2649" s="12" t="inlineStr">
        <is>
          <t>Fuel gas</t>
        </is>
      </c>
      <c r="D2649" s="12" t="inlineStr">
        <is>
          <t>LV power feeder</t>
        </is>
      </c>
      <c r="E2649" s="12" t="inlineStr">
        <is>
          <t>MCC-C1</t>
        </is>
      </c>
      <c r="F2649" s="12" t="inlineStr">
        <is>
          <t>R1 MCC-C1</t>
        </is>
      </c>
      <c r="G2649" s="12" t="inlineStr"/>
      <c r="H2649" s="12" t="inlineStr">
        <is>
          <t>Fuel-gas performance heater</t>
        </is>
      </c>
      <c r="I2649" s="12" t="inlineStr">
        <is>
          <t>LV 600 V</t>
        </is>
      </c>
      <c r="J2649" s="12" t="inlineStr">
        <is>
          <t>ARMOR-X MC-HL 600 V 3/C Cu XHHW-2 + ground, CWA, black PVC (Class I Div 2)</t>
        </is>
      </c>
      <c r="K2649" s="12" t="inlineStr">
        <is>
          <t>LVAX|3/C+G|350</t>
        </is>
      </c>
      <c r="L2649" s="12" t="inlineStr">
        <is>
          <t>3/C+G</t>
        </is>
      </c>
      <c r="M2649" s="12" t="inlineStr">
        <is>
          <t>350 kcmil</t>
        </is>
      </c>
      <c r="N2649" s="12" t="n">
        <v>1</v>
      </c>
      <c r="O2649" s="12" t="n">
        <v>1</v>
      </c>
      <c r="P2649" s="12" t="n">
        <v>480</v>
      </c>
      <c r="Q2649" s="12" t="n">
        <v>60</v>
      </c>
      <c r="R2649" s="12" t="n">
        <v>84.90000000000001</v>
      </c>
      <c r="S2649" s="12" t="inlineStr">
        <is>
          <t>Tray</t>
        </is>
      </c>
      <c r="T2649" s="15" t="n">
        <v>2009</v>
      </c>
      <c r="U2649" s="15" t="n">
        <v>157</v>
      </c>
      <c r="V2649" s="15">
        <f>ROUNDUP((T2649+U2649+2*'Read Me'!$B$13)*(1+'Read Me'!$B$12),-1)</f>
        <v/>
      </c>
      <c r="W2649" s="15">
        <f>V2649*N2649*O2649</f>
        <v/>
      </c>
      <c r="X2649" s="12">
        <f>IF(LEFT(I2649,2)="MV",2*N2649*IF(L2649="1/C",O2649,1),0)</f>
        <v/>
      </c>
      <c r="Y2649" s="12">
        <f>IF(OR(LEFT(K2649,4)="LVAX",LEFT(K2649,6)="MV15AX",LEFT(K2649,4)="CTAX",LEFT(K2649,2)="W|"),2*N2649*O2649,0)</f>
        <v/>
      </c>
      <c r="Z2649" s="12" t="inlineStr">
        <is>
          <t>VD 2.7 %</t>
        </is>
      </c>
      <c r="AA2649" s="12">
        <f>N2649*O2649</f>
        <v/>
      </c>
    </row>
    <row r="2650">
      <c r="A2650" s="12" t="inlineStr">
        <is>
          <t>D-P-0014</t>
        </is>
      </c>
      <c r="B2650" s="12" t="inlineStr">
        <is>
          <t>D</t>
        </is>
      </c>
      <c r="C2650" s="12" t="inlineStr">
        <is>
          <t>Fuel gas</t>
        </is>
      </c>
      <c r="D2650" s="12" t="inlineStr">
        <is>
          <t>LV power feeder</t>
        </is>
      </c>
      <c r="E2650" s="12" t="inlineStr">
        <is>
          <t>MCC-C1</t>
        </is>
      </c>
      <c r="F2650" s="12" t="inlineStr">
        <is>
          <t>R1 MCC-C1</t>
        </is>
      </c>
      <c r="G2650" s="12" t="inlineStr"/>
      <c r="H2650" s="12" t="inlineStr">
        <is>
          <t>Gas metering skid</t>
        </is>
      </c>
      <c r="I2650" s="12" t="inlineStr">
        <is>
          <t>LV 600 V</t>
        </is>
      </c>
      <c r="J2650" s="12" t="inlineStr">
        <is>
          <t>ARMOR-X MC-HL 600 V 3/C Cu XHHW-2 + ground, CWA, black PVC (Class I Div 2)</t>
        </is>
      </c>
      <c r="K2650" s="12" t="inlineStr">
        <is>
          <t>LVAX|3/C+G|2</t>
        </is>
      </c>
      <c r="L2650" s="12" t="inlineStr">
        <is>
          <t>3/C+G</t>
        </is>
      </c>
      <c r="M2650" s="12" t="inlineStr">
        <is>
          <t>2</t>
        </is>
      </c>
      <c r="N2650" s="12" t="n">
        <v>1</v>
      </c>
      <c r="O2650" s="12" t="n">
        <v>1</v>
      </c>
      <c r="P2650" s="12" t="n">
        <v>480</v>
      </c>
      <c r="Q2650" s="12" t="n">
        <v>10</v>
      </c>
      <c r="R2650" s="12" t="n">
        <v>14.2</v>
      </c>
      <c r="S2650" s="12" t="inlineStr">
        <is>
          <t>Tray</t>
        </is>
      </c>
      <c r="T2650" s="15" t="n">
        <v>1949</v>
      </c>
      <c r="U2650" s="15" t="n">
        <v>197</v>
      </c>
      <c r="V2650" s="15">
        <f>ROUNDUP((T2650+U2650+2*'Read Me'!$B$13)*(1+'Read Me'!$B$12),-1)</f>
        <v/>
      </c>
      <c r="W2650" s="15">
        <f>V2650*N2650*O2650</f>
        <v/>
      </c>
      <c r="X2650" s="12">
        <f>IF(LEFT(I2650,2)="MV",2*N2650*IF(L2650="1/C",O2650,1),0)</f>
        <v/>
      </c>
      <c r="Y2650" s="12">
        <f>IF(OR(LEFT(K2650,4)="LVAX",LEFT(K2650,6)="MV15AX",LEFT(K2650,4)="CTAX",LEFT(K2650,2)="W|"),2*N2650*O2650,0)</f>
        <v/>
      </c>
      <c r="Z2650" s="12" t="inlineStr">
        <is>
          <t>VD 2.3 %</t>
        </is>
      </c>
      <c r="AA2650" s="12">
        <f>N2650*O2650</f>
        <v/>
      </c>
    </row>
    <row r="2651">
      <c r="A2651" s="12" t="inlineStr">
        <is>
          <t>D-P-0015</t>
        </is>
      </c>
      <c r="B2651" s="12" t="inlineStr">
        <is>
          <t>D</t>
        </is>
      </c>
      <c r="C2651" s="12" t="inlineStr">
        <is>
          <t>Fuel gas</t>
        </is>
      </c>
      <c r="D2651" s="12" t="inlineStr">
        <is>
          <t>LV power feeder</t>
        </is>
      </c>
      <c r="E2651" s="12" t="inlineStr">
        <is>
          <t>MCC-C1</t>
        </is>
      </c>
      <c r="F2651" s="12" t="inlineStr">
        <is>
          <t>R1 MCC-C1</t>
        </is>
      </c>
      <c r="G2651" s="12" t="inlineStr"/>
      <c r="H2651" s="12" t="inlineStr">
        <is>
          <t>Gas pressure regulation skid</t>
        </is>
      </c>
      <c r="I2651" s="12" t="inlineStr">
        <is>
          <t>LV 600 V</t>
        </is>
      </c>
      <c r="J2651" s="12" t="inlineStr">
        <is>
          <t>ARMOR-X MC-HL 600 V 3/C Cu XHHW-2 + ground, CWA, black PVC (Class I Div 2)</t>
        </is>
      </c>
      <c r="K2651" s="12" t="inlineStr">
        <is>
          <t>LVAX|3/C+G|2</t>
        </is>
      </c>
      <c r="L2651" s="12" t="inlineStr">
        <is>
          <t>3/C+G</t>
        </is>
      </c>
      <c r="M2651" s="12" t="inlineStr">
        <is>
          <t>2</t>
        </is>
      </c>
      <c r="N2651" s="12" t="n">
        <v>1</v>
      </c>
      <c r="O2651" s="12" t="n">
        <v>1</v>
      </c>
      <c r="P2651" s="12" t="n">
        <v>480</v>
      </c>
      <c r="Q2651" s="12" t="n">
        <v>10</v>
      </c>
      <c r="R2651" s="12" t="n">
        <v>14.2</v>
      </c>
      <c r="S2651" s="12" t="inlineStr">
        <is>
          <t>Duct bank</t>
        </is>
      </c>
      <c r="T2651" s="15" t="n">
        <v>2059</v>
      </c>
      <c r="U2651" s="15" t="n">
        <v>157</v>
      </c>
      <c r="V2651" s="15">
        <f>ROUNDUP((T2651+U2651+2*'Read Me'!$B$13)*(1+'Read Me'!$B$12),-1)</f>
        <v/>
      </c>
      <c r="W2651" s="15">
        <f>V2651*N2651*O2651</f>
        <v/>
      </c>
      <c r="X2651" s="12">
        <f>IF(LEFT(I2651,2)="MV",2*N2651*IF(L2651="1/C",O2651,1),0)</f>
        <v/>
      </c>
      <c r="Y2651" s="12">
        <f>IF(OR(LEFT(K2651,4)="LVAX",LEFT(K2651,6)="MV15AX",LEFT(K2651,4)="CTAX",LEFT(K2651,2)="W|"),2*N2651*O2651,0)</f>
        <v/>
      </c>
      <c r="Z2651" s="12" t="inlineStr">
        <is>
          <t>VD 2.4 %</t>
        </is>
      </c>
      <c r="AA2651" s="12">
        <f>N2651*O2651</f>
        <v/>
      </c>
    </row>
    <row r="2652">
      <c r="A2652" s="12" t="inlineStr">
        <is>
          <t>D-P-0016</t>
        </is>
      </c>
      <c r="B2652" s="12" t="inlineStr">
        <is>
          <t>D</t>
        </is>
      </c>
      <c r="C2652" s="12" t="inlineStr">
        <is>
          <t>Fuel gas</t>
        </is>
      </c>
      <c r="D2652" s="12" t="inlineStr">
        <is>
          <t>LV power feeder</t>
        </is>
      </c>
      <c r="E2652" s="12" t="inlineStr">
        <is>
          <t>MCC-C1</t>
        </is>
      </c>
      <c r="F2652" s="12" t="inlineStr">
        <is>
          <t>R1 MCC-C1</t>
        </is>
      </c>
      <c r="G2652" s="12" t="inlineStr"/>
      <c r="H2652" s="12" t="inlineStr">
        <is>
          <t>Gas yard filter-separators</t>
        </is>
      </c>
      <c r="I2652" s="12" t="inlineStr">
        <is>
          <t>LV 600 V</t>
        </is>
      </c>
      <c r="J2652" s="12" t="inlineStr">
        <is>
          <t>ARMOR-X MC-HL 600 V 3/C Cu XHHW-2 + ground, CWA, black PVC (Class I Div 2)</t>
        </is>
      </c>
      <c r="K2652" s="12" t="inlineStr">
        <is>
          <t>LVAX|3/C+G|2</t>
        </is>
      </c>
      <c r="L2652" s="12" t="inlineStr">
        <is>
          <t>3/C+G</t>
        </is>
      </c>
      <c r="M2652" s="12" t="inlineStr">
        <is>
          <t>2</t>
        </is>
      </c>
      <c r="N2652" s="12" t="n">
        <v>1</v>
      </c>
      <c r="O2652" s="12" t="n">
        <v>1</v>
      </c>
      <c r="P2652" s="12" t="n">
        <v>480</v>
      </c>
      <c r="Q2652" s="12" t="n">
        <v>10</v>
      </c>
      <c r="R2652" s="12" t="n">
        <v>14.2</v>
      </c>
      <c r="S2652" s="12" t="inlineStr">
        <is>
          <t>Tray</t>
        </is>
      </c>
      <c r="T2652" s="15" t="n">
        <v>1949</v>
      </c>
      <c r="U2652" s="15" t="n">
        <v>157</v>
      </c>
      <c r="V2652" s="15">
        <f>ROUNDUP((T2652+U2652+2*'Read Me'!$B$13)*(1+'Read Me'!$B$12),-1)</f>
        <v/>
      </c>
      <c r="W2652" s="15">
        <f>V2652*N2652*O2652</f>
        <v/>
      </c>
      <c r="X2652" s="12">
        <f>IF(LEFT(I2652,2)="MV",2*N2652*IF(L2652="1/C",O2652,1),0)</f>
        <v/>
      </c>
      <c r="Y2652" s="12">
        <f>IF(OR(LEFT(K2652,4)="LVAX",LEFT(K2652,6)="MV15AX",LEFT(K2652,4)="CTAX",LEFT(K2652,2)="W|"),2*N2652*O2652,0)</f>
        <v/>
      </c>
      <c r="Z2652" s="12" t="inlineStr">
        <is>
          <t>VD 2.3 %</t>
        </is>
      </c>
      <c r="AA2652" s="12">
        <f>N2652*O2652</f>
        <v/>
      </c>
    </row>
    <row r="2653">
      <c r="A2653" s="12" t="inlineStr">
        <is>
          <t>D-P-0017</t>
        </is>
      </c>
      <c r="B2653" s="12" t="inlineStr">
        <is>
          <t>D</t>
        </is>
      </c>
      <c r="C2653" s="12" t="inlineStr">
        <is>
          <t>Fuel gas</t>
        </is>
      </c>
      <c r="D2653" s="12" t="inlineStr">
        <is>
          <t>LV power feeder</t>
        </is>
      </c>
      <c r="E2653" s="12" t="inlineStr">
        <is>
          <t>MCC-C1</t>
        </is>
      </c>
      <c r="F2653" s="12" t="inlineStr">
        <is>
          <t>R1 MCC-C1</t>
        </is>
      </c>
      <c r="G2653" s="12" t="inlineStr"/>
      <c r="H2653" s="12" t="inlineStr">
        <is>
          <t>Gas yard inlet: ESD valve, block valve and insulating joint</t>
        </is>
      </c>
      <c r="I2653" s="12" t="inlineStr">
        <is>
          <t>LV 600 V</t>
        </is>
      </c>
      <c r="J2653" s="12" t="inlineStr">
        <is>
          <t>ARMOR-X MC-HL 600 V 3/C Cu XHHW-2 + ground, CWA, black PVC (Class I Div 2)</t>
        </is>
      </c>
      <c r="K2653" s="12" t="inlineStr">
        <is>
          <t>LVAX|3/C+G|2</t>
        </is>
      </c>
      <c r="L2653" s="12" t="inlineStr">
        <is>
          <t>3/C+G</t>
        </is>
      </c>
      <c r="M2653" s="12" t="inlineStr">
        <is>
          <t>2</t>
        </is>
      </c>
      <c r="N2653" s="12" t="n">
        <v>1</v>
      </c>
      <c r="O2653" s="12" t="n">
        <v>1</v>
      </c>
      <c r="P2653" s="12" t="n">
        <v>480</v>
      </c>
      <c r="Q2653" s="12" t="n">
        <v>10</v>
      </c>
      <c r="R2653" s="12" t="n">
        <v>14.2</v>
      </c>
      <c r="S2653" s="12" t="inlineStr">
        <is>
          <t>Duct bank</t>
        </is>
      </c>
      <c r="T2653" s="15" t="n">
        <v>2059</v>
      </c>
      <c r="U2653" s="15" t="n">
        <v>254</v>
      </c>
      <c r="V2653" s="15">
        <f>ROUNDUP((T2653+U2653+2*'Read Me'!$B$13)*(1+'Read Me'!$B$12),-1)</f>
        <v/>
      </c>
      <c r="W2653" s="15">
        <f>V2653*N2653*O2653</f>
        <v/>
      </c>
      <c r="X2653" s="12">
        <f>IF(LEFT(I2653,2)="MV",2*N2653*IF(L2653="1/C",O2653,1),0)</f>
        <v/>
      </c>
      <c r="Y2653" s="12">
        <f>IF(OR(LEFT(K2653,4)="LVAX",LEFT(K2653,6)="MV15AX",LEFT(K2653,4)="CTAX",LEFT(K2653,2)="W|"),2*N2653*O2653,0)</f>
        <v/>
      </c>
      <c r="Z2653" s="12" t="inlineStr">
        <is>
          <t>VD 2.5 %</t>
        </is>
      </c>
      <c r="AA2653" s="12">
        <f>N2653*O2653</f>
        <v/>
      </c>
    </row>
    <row r="2654">
      <c r="A2654" s="12" t="inlineStr">
        <is>
          <t>D-P-0018</t>
        </is>
      </c>
      <c r="B2654" s="12" t="inlineStr">
        <is>
          <t>D</t>
        </is>
      </c>
      <c r="C2654" s="12" t="inlineStr">
        <is>
          <t>Fuel gas</t>
        </is>
      </c>
      <c r="D2654" s="12" t="inlineStr">
        <is>
          <t>LV power feeder</t>
        </is>
      </c>
      <c r="E2654" s="12" t="inlineStr">
        <is>
          <t>MCC-C1</t>
        </is>
      </c>
      <c r="F2654" s="12" t="inlineStr">
        <is>
          <t>R1 MCC-C1</t>
        </is>
      </c>
      <c r="G2654" s="12" t="inlineStr"/>
      <c r="H2654" s="12" t="inlineStr">
        <is>
          <t>Gas yard local control enclosure</t>
        </is>
      </c>
      <c r="I2654" s="12" t="inlineStr">
        <is>
          <t>LV 600 V</t>
        </is>
      </c>
      <c r="J2654" s="12" t="inlineStr">
        <is>
          <t>ARMOR-X MC-HL 600 V 3/C Cu XHHW-2 + ground, CWA, black PVC (Class I Div 2)</t>
        </is>
      </c>
      <c r="K2654" s="12" t="inlineStr">
        <is>
          <t>LVAX|3/C+G|1</t>
        </is>
      </c>
      <c r="L2654" s="12" t="inlineStr">
        <is>
          <t>3/C+G</t>
        </is>
      </c>
      <c r="M2654" s="12" t="inlineStr">
        <is>
          <t>1</t>
        </is>
      </c>
      <c r="N2654" s="12" t="n">
        <v>1</v>
      </c>
      <c r="O2654" s="12" t="n">
        <v>1</v>
      </c>
      <c r="P2654" s="12" t="n">
        <v>480</v>
      </c>
      <c r="Q2654" s="12" t="n">
        <v>15</v>
      </c>
      <c r="R2654" s="12" t="n">
        <v>21.2</v>
      </c>
      <c r="S2654" s="12" t="inlineStr">
        <is>
          <t>Tray</t>
        </is>
      </c>
      <c r="T2654" s="15" t="n">
        <v>1833</v>
      </c>
      <c r="U2654" s="15" t="n">
        <v>157</v>
      </c>
      <c r="V2654" s="15">
        <f>ROUNDUP((T2654+U2654+2*'Read Me'!$B$13)*(1+'Read Me'!$B$12),-1)</f>
        <v/>
      </c>
      <c r="W2654" s="15">
        <f>V2654*N2654*O2654</f>
        <v/>
      </c>
      <c r="X2654" s="12">
        <f>IF(LEFT(I2654,2)="MV",2*N2654*IF(L2654="1/C",O2654,1),0)</f>
        <v/>
      </c>
      <c r="Y2654" s="12">
        <f>IF(OR(LEFT(K2654,4)="LVAX",LEFT(K2654,6)="MV15AX",LEFT(K2654,4)="CTAX",LEFT(K2654,2)="W|"),2*N2654*O2654,0)</f>
        <v/>
      </c>
      <c r="Z2654" s="12" t="inlineStr">
        <is>
          <t>VD 2.6 %</t>
        </is>
      </c>
      <c r="AA2654" s="12">
        <f>N2654*O2654</f>
        <v/>
      </c>
    </row>
    <row r="2655">
      <c r="A2655" s="12" t="inlineStr">
        <is>
          <t>D-P-0019</t>
        </is>
      </c>
      <c r="B2655" s="12" t="inlineStr">
        <is>
          <t>D</t>
        </is>
      </c>
      <c r="C2655" s="12" t="inlineStr">
        <is>
          <t>Fuel gas</t>
        </is>
      </c>
      <c r="D2655" s="12" t="inlineStr">
        <is>
          <t>LV power feeder</t>
        </is>
      </c>
      <c r="E2655" s="12" t="inlineStr">
        <is>
          <t>MCC-C1</t>
        </is>
      </c>
      <c r="F2655" s="12" t="inlineStr">
        <is>
          <t>R1 MCC-C1</t>
        </is>
      </c>
      <c r="G2655" s="12" t="inlineStr">
        <is>
          <t>HTP-4</t>
        </is>
      </c>
      <c r="H2655" s="12" t="inlineStr">
        <is>
          <t>HTP-4: heat-trace panel (gas)</t>
        </is>
      </c>
      <c r="I2655" s="12" t="inlineStr">
        <is>
          <t>LV 600 V</t>
        </is>
      </c>
      <c r="J2655" s="12" t="inlineStr">
        <is>
          <t>Type TC-ER 600 V 3/C Cu XHHW-2 + ground, PVC jacket</t>
        </is>
      </c>
      <c r="K2655" s="12" t="inlineStr">
        <is>
          <t>LV|3/C+G|350</t>
        </is>
      </c>
      <c r="L2655" s="12" t="inlineStr">
        <is>
          <t>3/C+G</t>
        </is>
      </c>
      <c r="M2655" s="12" t="inlineStr">
        <is>
          <t>350 kcmil</t>
        </is>
      </c>
      <c r="N2655" s="12" t="n">
        <v>2</v>
      </c>
      <c r="O2655" s="12" t="n">
        <v>1</v>
      </c>
      <c r="P2655" s="12" t="n">
        <v>480</v>
      </c>
      <c r="Q2655" s="12" t="n">
        <v>120</v>
      </c>
      <c r="R2655" s="12" t="n">
        <v>169.8</v>
      </c>
      <c r="S2655" s="12" t="inlineStr">
        <is>
          <t>Tray</t>
        </is>
      </c>
      <c r="T2655" s="15" t="n">
        <v>1833</v>
      </c>
      <c r="U2655" s="15" t="n">
        <v>192</v>
      </c>
      <c r="V2655" s="15">
        <f>ROUNDUP((T2655+U2655+2*'Read Me'!$B$13)*(1+'Read Me'!$B$12),-1)</f>
        <v/>
      </c>
      <c r="W2655" s="15">
        <f>V2655*N2655*O2655</f>
        <v/>
      </c>
      <c r="X2655" s="12">
        <f>IF(LEFT(I2655,2)="MV",2*N2655*IF(L2655="1/C",O2655,1),0)</f>
        <v/>
      </c>
      <c r="Y2655" s="12">
        <f>IF(OR(LEFT(K2655,4)="LVAX",LEFT(K2655,6)="MV15AX",LEFT(K2655,4)="CTAX",LEFT(K2655,2)="W|"),2*N2655*O2655,0)</f>
        <v/>
      </c>
      <c r="Z2655" s="12" t="inlineStr">
        <is>
          <t>VD 2.5 %</t>
        </is>
      </c>
      <c r="AA2655" s="12">
        <f>N2655*O2655</f>
        <v/>
      </c>
    </row>
    <row r="2656">
      <c r="A2656" s="12" t="inlineStr">
        <is>
          <t>D-P-0020</t>
        </is>
      </c>
      <c r="B2656" s="12" t="inlineStr">
        <is>
          <t>D</t>
        </is>
      </c>
      <c r="C2656" s="12" t="inlineStr">
        <is>
          <t>Fuel gas</t>
        </is>
      </c>
      <c r="D2656" s="12" t="inlineStr">
        <is>
          <t>Heat-trace circuit 1 (power to the trace junction box)</t>
        </is>
      </c>
      <c r="E2656" s="12" t="inlineStr">
        <is>
          <t>HTP-4</t>
        </is>
      </c>
      <c r="F2656" s="12" t="inlineStr">
        <is>
          <t>HTP-4: heat-trace panel (gas)</t>
        </is>
      </c>
      <c r="G2656" s="12" t="inlineStr">
        <is>
          <t>HTP-4</t>
        </is>
      </c>
      <c r="H2656" s="12" t="inlineStr">
        <is>
          <t>HTP-4: heat-trace panel (gas)</t>
        </is>
      </c>
      <c r="I2656" s="12" t="inlineStr">
        <is>
          <t>LV 600 V</t>
        </is>
      </c>
      <c r="J2656" s="12" t="inlineStr">
        <is>
          <t>Type TC-ER 600 V 3/C Cu XHHW-2 + ground, PVC jacket</t>
        </is>
      </c>
      <c r="K2656" s="12" t="inlineStr">
        <is>
          <t>LV|3/C+G|10</t>
        </is>
      </c>
      <c r="L2656" s="12" t="inlineStr">
        <is>
          <t>3/C+G</t>
        </is>
      </c>
      <c r="M2656" s="12" t="inlineStr">
        <is>
          <t>10</t>
        </is>
      </c>
      <c r="N2656" s="12" t="n">
        <v>1</v>
      </c>
      <c r="O2656" s="12" t="n">
        <v>1</v>
      </c>
      <c r="P2656" s="12" t="n">
        <v>480</v>
      </c>
      <c r="Q2656" s="12" t="n">
        <v>4</v>
      </c>
      <c r="R2656" s="12" t="n">
        <v>6</v>
      </c>
      <c r="S2656" s="12" t="inlineStr">
        <is>
          <t>Tray</t>
        </is>
      </c>
      <c r="T2656" s="15" t="n">
        <v>180</v>
      </c>
      <c r="U2656" s="15" t="n">
        <v>20</v>
      </c>
      <c r="V2656" s="15">
        <f>ROUNDUP((T2656+U2656+2*'Read Me'!$B$13)*(1+'Read Me'!$B$12),-1)</f>
        <v/>
      </c>
      <c r="W2656" s="15">
        <f>V2656*N2656*O2656</f>
        <v/>
      </c>
      <c r="X2656" s="12">
        <f>IF(LEFT(I2656,2)="MV",2*N2656*IF(L2656="1/C",O2656,1),0)</f>
        <v/>
      </c>
      <c r="Y2656" s="12">
        <f>IF(OR(LEFT(K2656,4)="LVAX",LEFT(K2656,6)="MV15AX",LEFT(K2656,4)="CTAX",LEFT(K2656,2)="W|"),2*N2656*O2656,0)</f>
        <v/>
      </c>
      <c r="Z2656" s="12" t="inlineStr">
        <is>
          <t>heat-trace cable itself by others</t>
        </is>
      </c>
      <c r="AA2656" s="12">
        <f>N2656*O2656</f>
        <v/>
      </c>
    </row>
    <row r="2657">
      <c r="A2657" s="12" t="inlineStr">
        <is>
          <t>D-P-0021</t>
        </is>
      </c>
      <c r="B2657" s="12" t="inlineStr">
        <is>
          <t>D</t>
        </is>
      </c>
      <c r="C2657" s="12" t="inlineStr">
        <is>
          <t>Fuel gas</t>
        </is>
      </c>
      <c r="D2657" s="12" t="inlineStr">
        <is>
          <t>Heat-trace circuit 2 (power to the trace junction box)</t>
        </is>
      </c>
      <c r="E2657" s="12" t="inlineStr">
        <is>
          <t>HTP-4</t>
        </is>
      </c>
      <c r="F2657" s="12" t="inlineStr">
        <is>
          <t>HTP-4: heat-trace panel (gas)</t>
        </is>
      </c>
      <c r="G2657" s="12" t="inlineStr">
        <is>
          <t>HTP-4</t>
        </is>
      </c>
      <c r="H2657" s="12" t="inlineStr">
        <is>
          <t>HTP-4: heat-trace panel (gas)</t>
        </is>
      </c>
      <c r="I2657" s="12" t="inlineStr">
        <is>
          <t>LV 600 V</t>
        </is>
      </c>
      <c r="J2657" s="12" t="inlineStr">
        <is>
          <t>Type TC-ER 600 V 3/C Cu XHHW-2 + ground, PVC jacket</t>
        </is>
      </c>
      <c r="K2657" s="12" t="inlineStr">
        <is>
          <t>LV|3/C+G|10</t>
        </is>
      </c>
      <c r="L2657" s="12" t="inlineStr">
        <is>
          <t>3/C+G</t>
        </is>
      </c>
      <c r="M2657" s="12" t="inlineStr">
        <is>
          <t>10</t>
        </is>
      </c>
      <c r="N2657" s="12" t="n">
        <v>1</v>
      </c>
      <c r="O2657" s="12" t="n">
        <v>1</v>
      </c>
      <c r="P2657" s="12" t="n">
        <v>480</v>
      </c>
      <c r="Q2657" s="12" t="n">
        <v>4</v>
      </c>
      <c r="R2657" s="12" t="n">
        <v>6</v>
      </c>
      <c r="S2657" s="12" t="inlineStr">
        <is>
          <t>Tray</t>
        </is>
      </c>
      <c r="T2657" s="15" t="n">
        <v>180</v>
      </c>
      <c r="U2657" s="15" t="n">
        <v>20</v>
      </c>
      <c r="V2657" s="15">
        <f>ROUNDUP((T2657+U2657+2*'Read Me'!$B$13)*(1+'Read Me'!$B$12),-1)</f>
        <v/>
      </c>
      <c r="W2657" s="15">
        <f>V2657*N2657*O2657</f>
        <v/>
      </c>
      <c r="X2657" s="12">
        <f>IF(LEFT(I2657,2)="MV",2*N2657*IF(L2657="1/C",O2657,1),0)</f>
        <v/>
      </c>
      <c r="Y2657" s="12">
        <f>IF(OR(LEFT(K2657,4)="LVAX",LEFT(K2657,6)="MV15AX",LEFT(K2657,4)="CTAX",LEFT(K2657,2)="W|"),2*N2657*O2657,0)</f>
        <v/>
      </c>
      <c r="Z2657" s="12" t="inlineStr">
        <is>
          <t>heat-trace cable itself by others</t>
        </is>
      </c>
      <c r="AA2657" s="12">
        <f>N2657*O2657</f>
        <v/>
      </c>
    </row>
    <row r="2658">
      <c r="A2658" s="12" t="inlineStr">
        <is>
          <t>D-P-0022</t>
        </is>
      </c>
      <c r="B2658" s="12" t="inlineStr">
        <is>
          <t>D</t>
        </is>
      </c>
      <c r="C2658" s="12" t="inlineStr">
        <is>
          <t>Fuel gas</t>
        </is>
      </c>
      <c r="D2658" s="12" t="inlineStr">
        <is>
          <t>Heat-trace circuit 3 (power to the trace junction box)</t>
        </is>
      </c>
      <c r="E2658" s="12" t="inlineStr">
        <is>
          <t>HTP-4</t>
        </is>
      </c>
      <c r="F2658" s="12" t="inlineStr">
        <is>
          <t>HTP-4: heat-trace panel (gas)</t>
        </is>
      </c>
      <c r="G2658" s="12" t="inlineStr">
        <is>
          <t>HTP-4</t>
        </is>
      </c>
      <c r="H2658" s="12" t="inlineStr">
        <is>
          <t>HTP-4: heat-trace panel (gas)</t>
        </is>
      </c>
      <c r="I2658" s="12" t="inlineStr">
        <is>
          <t>LV 600 V</t>
        </is>
      </c>
      <c r="J2658" s="12" t="inlineStr">
        <is>
          <t>Type TC-ER 600 V 3/C Cu XHHW-2 + ground, PVC jacket</t>
        </is>
      </c>
      <c r="K2658" s="12" t="inlineStr">
        <is>
          <t>LV|3/C+G|10</t>
        </is>
      </c>
      <c r="L2658" s="12" t="inlineStr">
        <is>
          <t>3/C+G</t>
        </is>
      </c>
      <c r="M2658" s="12" t="inlineStr">
        <is>
          <t>10</t>
        </is>
      </c>
      <c r="N2658" s="12" t="n">
        <v>1</v>
      </c>
      <c r="O2658" s="12" t="n">
        <v>1</v>
      </c>
      <c r="P2658" s="12" t="n">
        <v>480</v>
      </c>
      <c r="Q2658" s="12" t="n">
        <v>4</v>
      </c>
      <c r="R2658" s="12" t="n">
        <v>6</v>
      </c>
      <c r="S2658" s="12" t="inlineStr">
        <is>
          <t>Tray</t>
        </is>
      </c>
      <c r="T2658" s="15" t="n">
        <v>180</v>
      </c>
      <c r="U2658" s="15" t="n">
        <v>20</v>
      </c>
      <c r="V2658" s="15">
        <f>ROUNDUP((T2658+U2658+2*'Read Me'!$B$13)*(1+'Read Me'!$B$12),-1)</f>
        <v/>
      </c>
      <c r="W2658" s="15">
        <f>V2658*N2658*O2658</f>
        <v/>
      </c>
      <c r="X2658" s="12">
        <f>IF(LEFT(I2658,2)="MV",2*N2658*IF(L2658="1/C",O2658,1),0)</f>
        <v/>
      </c>
      <c r="Y2658" s="12">
        <f>IF(OR(LEFT(K2658,4)="LVAX",LEFT(K2658,6)="MV15AX",LEFT(K2658,4)="CTAX",LEFT(K2658,2)="W|"),2*N2658*O2658,0)</f>
        <v/>
      </c>
      <c r="Z2658" s="12" t="inlineStr">
        <is>
          <t>heat-trace cable itself by others</t>
        </is>
      </c>
      <c r="AA2658" s="12">
        <f>N2658*O2658</f>
        <v/>
      </c>
    </row>
    <row r="2659">
      <c r="A2659" s="12" t="inlineStr">
        <is>
          <t>D-P-0023</t>
        </is>
      </c>
      <c r="B2659" s="12" t="inlineStr">
        <is>
          <t>D</t>
        </is>
      </c>
      <c r="C2659" s="12" t="inlineStr">
        <is>
          <t>Fuel gas</t>
        </is>
      </c>
      <c r="D2659" s="12" t="inlineStr">
        <is>
          <t>Heat-trace circuit 4 (power to the trace junction box)</t>
        </is>
      </c>
      <c r="E2659" s="12" t="inlineStr">
        <is>
          <t>HTP-4</t>
        </is>
      </c>
      <c r="F2659" s="12" t="inlineStr">
        <is>
          <t>HTP-4: heat-trace panel (gas)</t>
        </is>
      </c>
      <c r="G2659" s="12" t="inlineStr">
        <is>
          <t>HTP-4</t>
        </is>
      </c>
      <c r="H2659" s="12" t="inlineStr">
        <is>
          <t>HTP-4: heat-trace panel (gas)</t>
        </is>
      </c>
      <c r="I2659" s="12" t="inlineStr">
        <is>
          <t>LV 600 V</t>
        </is>
      </c>
      <c r="J2659" s="12" t="inlineStr">
        <is>
          <t>Type TC-ER 600 V 3/C Cu XHHW-2 + ground, PVC jacket</t>
        </is>
      </c>
      <c r="K2659" s="12" t="inlineStr">
        <is>
          <t>LV|3/C+G|10</t>
        </is>
      </c>
      <c r="L2659" s="12" t="inlineStr">
        <is>
          <t>3/C+G</t>
        </is>
      </c>
      <c r="M2659" s="12" t="inlineStr">
        <is>
          <t>10</t>
        </is>
      </c>
      <c r="N2659" s="12" t="n">
        <v>1</v>
      </c>
      <c r="O2659" s="12" t="n">
        <v>1</v>
      </c>
      <c r="P2659" s="12" t="n">
        <v>480</v>
      </c>
      <c r="Q2659" s="12" t="n">
        <v>4</v>
      </c>
      <c r="R2659" s="12" t="n">
        <v>6</v>
      </c>
      <c r="S2659" s="12" t="inlineStr">
        <is>
          <t>Tray</t>
        </is>
      </c>
      <c r="T2659" s="15" t="n">
        <v>180</v>
      </c>
      <c r="U2659" s="15" t="n">
        <v>20</v>
      </c>
      <c r="V2659" s="15">
        <f>ROUNDUP((T2659+U2659+2*'Read Me'!$B$13)*(1+'Read Me'!$B$12),-1)</f>
        <v/>
      </c>
      <c r="W2659" s="15">
        <f>V2659*N2659*O2659</f>
        <v/>
      </c>
      <c r="X2659" s="12">
        <f>IF(LEFT(I2659,2)="MV",2*N2659*IF(L2659="1/C",O2659,1),0)</f>
        <v/>
      </c>
      <c r="Y2659" s="12">
        <f>IF(OR(LEFT(K2659,4)="LVAX",LEFT(K2659,6)="MV15AX",LEFT(K2659,4)="CTAX",LEFT(K2659,2)="W|"),2*N2659*O2659,0)</f>
        <v/>
      </c>
      <c r="Z2659" s="12" t="inlineStr">
        <is>
          <t>heat-trace cable itself by others</t>
        </is>
      </c>
      <c r="AA2659" s="12">
        <f>N2659*O2659</f>
        <v/>
      </c>
    </row>
    <row r="2660">
      <c r="A2660" s="12" t="inlineStr">
        <is>
          <t>D-P-0024</t>
        </is>
      </c>
      <c r="B2660" s="12" t="inlineStr">
        <is>
          <t>D</t>
        </is>
      </c>
      <c r="C2660" s="12" t="inlineStr">
        <is>
          <t>Fuel gas</t>
        </is>
      </c>
      <c r="D2660" s="12" t="inlineStr">
        <is>
          <t>Heat-trace circuit 5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5" t="n">
        <v>180</v>
      </c>
      <c r="U2660" s="15" t="n">
        <v>20</v>
      </c>
      <c r="V2660" s="15">
        <f>ROUNDUP((T2660+U2660+2*'Read Me'!$B$13)*(1+'Read Me'!$B$12),-1)</f>
        <v/>
      </c>
      <c r="W2660" s="15">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D-P-0025</t>
        </is>
      </c>
      <c r="B2661" s="12" t="inlineStr">
        <is>
          <t>D</t>
        </is>
      </c>
      <c r="C2661" s="12" t="inlineStr">
        <is>
          <t>Fuel gas</t>
        </is>
      </c>
      <c r="D2661" s="12" t="inlineStr">
        <is>
          <t>Heat-trace circuit 6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5" t="n">
        <v>180</v>
      </c>
      <c r="U2661" s="15" t="n">
        <v>20</v>
      </c>
      <c r="V2661" s="15">
        <f>ROUNDUP((T2661+U2661+2*'Read Me'!$B$13)*(1+'Read Me'!$B$12),-1)</f>
        <v/>
      </c>
      <c r="W2661" s="15">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D-P-0026</t>
        </is>
      </c>
      <c r="B2662" s="12" t="inlineStr">
        <is>
          <t>D</t>
        </is>
      </c>
      <c r="C2662" s="12" t="inlineStr">
        <is>
          <t>Fuel gas</t>
        </is>
      </c>
      <c r="D2662" s="12" t="inlineStr">
        <is>
          <t>Heat-trace circuit 7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5" t="n">
        <v>180</v>
      </c>
      <c r="U2662" s="15" t="n">
        <v>20</v>
      </c>
      <c r="V2662" s="15">
        <f>ROUNDUP((T2662+U2662+2*'Read Me'!$B$13)*(1+'Read Me'!$B$12),-1)</f>
        <v/>
      </c>
      <c r="W2662" s="15">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D-P-0027</t>
        </is>
      </c>
      <c r="B2663" s="12" t="inlineStr">
        <is>
          <t>D</t>
        </is>
      </c>
      <c r="C2663" s="12" t="inlineStr">
        <is>
          <t>Fuel gas</t>
        </is>
      </c>
      <c r="D2663" s="12" t="inlineStr">
        <is>
          <t>Heat-trace circuit 8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5" t="n">
        <v>180</v>
      </c>
      <c r="U2663" s="15" t="n">
        <v>20</v>
      </c>
      <c r="V2663" s="15">
        <f>ROUNDUP((T2663+U2663+2*'Read Me'!$B$13)*(1+'Read Me'!$B$12),-1)</f>
        <v/>
      </c>
      <c r="W2663" s="15">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D-P-0028</t>
        </is>
      </c>
      <c r="B2664" s="12" t="inlineStr">
        <is>
          <t>D</t>
        </is>
      </c>
      <c r="C2664" s="12" t="inlineStr">
        <is>
          <t>Fuel gas</t>
        </is>
      </c>
      <c r="D2664" s="12" t="inlineStr">
        <is>
          <t>Heat-trace circuit 9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5" t="n">
        <v>180</v>
      </c>
      <c r="U2664" s="15" t="n">
        <v>20</v>
      </c>
      <c r="V2664" s="15">
        <f>ROUNDUP((T2664+U2664+2*'Read Me'!$B$13)*(1+'Read Me'!$B$12),-1)</f>
        <v/>
      </c>
      <c r="W2664" s="15">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D-P-0029</t>
        </is>
      </c>
      <c r="B2665" s="12" t="inlineStr">
        <is>
          <t>D</t>
        </is>
      </c>
      <c r="C2665" s="12" t="inlineStr">
        <is>
          <t>Fuel gas</t>
        </is>
      </c>
      <c r="D2665" s="12" t="inlineStr">
        <is>
          <t>Heat-trace circuit 10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5" t="n">
        <v>180</v>
      </c>
      <c r="U2665" s="15" t="n">
        <v>20</v>
      </c>
      <c r="V2665" s="15">
        <f>ROUNDUP((T2665+U2665+2*'Read Me'!$B$13)*(1+'Read Me'!$B$12),-1)</f>
        <v/>
      </c>
      <c r="W2665" s="15">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D-P-0030</t>
        </is>
      </c>
      <c r="B2666" s="12" t="inlineStr">
        <is>
          <t>D</t>
        </is>
      </c>
      <c r="C2666" s="12" t="inlineStr">
        <is>
          <t>Fuel gas</t>
        </is>
      </c>
      <c r="D2666" s="12" t="inlineStr">
        <is>
          <t>Heat-trace circuit 11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5" t="n">
        <v>180</v>
      </c>
      <c r="U2666" s="15" t="n">
        <v>20</v>
      </c>
      <c r="V2666" s="15">
        <f>ROUNDUP((T2666+U2666+2*'Read Me'!$B$13)*(1+'Read Me'!$B$12),-1)</f>
        <v/>
      </c>
      <c r="W2666" s="15">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D-P-0031</t>
        </is>
      </c>
      <c r="B2667" s="12" t="inlineStr">
        <is>
          <t>D</t>
        </is>
      </c>
      <c r="C2667" s="12" t="inlineStr">
        <is>
          <t>Fuel gas</t>
        </is>
      </c>
      <c r="D2667" s="12" t="inlineStr">
        <is>
          <t>Heat-trace circuit 12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5" t="n">
        <v>180</v>
      </c>
      <c r="U2667" s="15" t="n">
        <v>20</v>
      </c>
      <c r="V2667" s="15">
        <f>ROUNDUP((T2667+U2667+2*'Read Me'!$B$13)*(1+'Read Me'!$B$12),-1)</f>
        <v/>
      </c>
      <c r="W2667" s="15">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D-P-0032</t>
        </is>
      </c>
      <c r="B2668" s="12" t="inlineStr">
        <is>
          <t>D</t>
        </is>
      </c>
      <c r="C2668" s="12" t="inlineStr">
        <is>
          <t>Fuel gas</t>
        </is>
      </c>
      <c r="D2668" s="12" t="inlineStr">
        <is>
          <t>Heat-trace circuit 13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5" t="n">
        <v>180</v>
      </c>
      <c r="U2668" s="15" t="n">
        <v>20</v>
      </c>
      <c r="V2668" s="15">
        <f>ROUNDUP((T2668+U2668+2*'Read Me'!$B$13)*(1+'Read Me'!$B$12),-1)</f>
        <v/>
      </c>
      <c r="W2668" s="15">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D-P-0033</t>
        </is>
      </c>
      <c r="B2669" s="12" t="inlineStr">
        <is>
          <t>D</t>
        </is>
      </c>
      <c r="C2669" s="12" t="inlineStr">
        <is>
          <t>Fuel gas</t>
        </is>
      </c>
      <c r="D2669" s="12" t="inlineStr">
        <is>
          <t>Heat-trace circuit 14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5" t="n">
        <v>180</v>
      </c>
      <c r="U2669" s="15" t="n">
        <v>20</v>
      </c>
      <c r="V2669" s="15">
        <f>ROUNDUP((T2669+U2669+2*'Read Me'!$B$13)*(1+'Read Me'!$B$12),-1)</f>
        <v/>
      </c>
      <c r="W2669" s="15">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D-P-0034</t>
        </is>
      </c>
      <c r="B2670" s="12" t="inlineStr">
        <is>
          <t>D</t>
        </is>
      </c>
      <c r="C2670" s="12" t="inlineStr">
        <is>
          <t>Fuel gas</t>
        </is>
      </c>
      <c r="D2670" s="12" t="inlineStr">
        <is>
          <t>Heat-trace circuit 15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5" t="n">
        <v>180</v>
      </c>
      <c r="U2670" s="15" t="n">
        <v>20</v>
      </c>
      <c r="V2670" s="15">
        <f>ROUNDUP((T2670+U2670+2*'Read Me'!$B$13)*(1+'Read Me'!$B$12),-1)</f>
        <v/>
      </c>
      <c r="W2670" s="15">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D-P-0035</t>
        </is>
      </c>
      <c r="B2671" s="12" t="inlineStr">
        <is>
          <t>D</t>
        </is>
      </c>
      <c r="C2671" s="12" t="inlineStr">
        <is>
          <t>Fuel gas</t>
        </is>
      </c>
      <c r="D2671" s="12" t="inlineStr">
        <is>
          <t>Heat-trace circuit 16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5" t="n">
        <v>180</v>
      </c>
      <c r="U2671" s="15" t="n">
        <v>20</v>
      </c>
      <c r="V2671" s="15">
        <f>ROUNDUP((T2671+U2671+2*'Read Me'!$B$13)*(1+'Read Me'!$B$12),-1)</f>
        <v/>
      </c>
      <c r="W2671" s="15">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D-P-0036</t>
        </is>
      </c>
      <c r="B2672" s="12" t="inlineStr">
        <is>
          <t>D</t>
        </is>
      </c>
      <c r="C2672" s="12" t="inlineStr">
        <is>
          <t>Fuel gas</t>
        </is>
      </c>
      <c r="D2672" s="12" t="inlineStr">
        <is>
          <t>Heat-trace circuit 17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5" t="n">
        <v>180</v>
      </c>
      <c r="U2672" s="15" t="n">
        <v>20</v>
      </c>
      <c r="V2672" s="15">
        <f>ROUNDUP((T2672+U2672+2*'Read Me'!$B$13)*(1+'Read Me'!$B$12),-1)</f>
        <v/>
      </c>
      <c r="W2672" s="15">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D-P-0037</t>
        </is>
      </c>
      <c r="B2673" s="12" t="inlineStr">
        <is>
          <t>D</t>
        </is>
      </c>
      <c r="C2673" s="12" t="inlineStr">
        <is>
          <t>Fuel gas</t>
        </is>
      </c>
      <c r="D2673" s="12" t="inlineStr">
        <is>
          <t>Heat-trace circuit 18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5" t="n">
        <v>180</v>
      </c>
      <c r="U2673" s="15" t="n">
        <v>20</v>
      </c>
      <c r="V2673" s="15">
        <f>ROUNDUP((T2673+U2673+2*'Read Me'!$B$13)*(1+'Read Me'!$B$12),-1)</f>
        <v/>
      </c>
      <c r="W2673" s="15">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D-P-0038</t>
        </is>
      </c>
      <c r="B2674" s="12" t="inlineStr">
        <is>
          <t>D</t>
        </is>
      </c>
      <c r="C2674" s="12" t="inlineStr">
        <is>
          <t>Fuel gas</t>
        </is>
      </c>
      <c r="D2674" s="12" t="inlineStr">
        <is>
          <t>Heat-trace circuit 19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5" t="n">
        <v>180</v>
      </c>
      <c r="U2674" s="15" t="n">
        <v>20</v>
      </c>
      <c r="V2674" s="15">
        <f>ROUNDUP((T2674+U2674+2*'Read Me'!$B$13)*(1+'Read Me'!$B$12),-1)</f>
        <v/>
      </c>
      <c r="W2674" s="15">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D-P-0039</t>
        </is>
      </c>
      <c r="B2675" s="12" t="inlineStr">
        <is>
          <t>D</t>
        </is>
      </c>
      <c r="C2675" s="12" t="inlineStr">
        <is>
          <t>Fuel gas</t>
        </is>
      </c>
      <c r="D2675" s="12" t="inlineStr">
        <is>
          <t>Heat-trace circuit 20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5" t="n">
        <v>180</v>
      </c>
      <c r="U2675" s="15" t="n">
        <v>20</v>
      </c>
      <c r="V2675" s="15">
        <f>ROUNDUP((T2675+U2675+2*'Read Me'!$B$13)*(1+'Read Me'!$B$12),-1)</f>
        <v/>
      </c>
      <c r="W2675" s="15">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D-P-0040</t>
        </is>
      </c>
      <c r="B2676" s="12" t="inlineStr">
        <is>
          <t>D</t>
        </is>
      </c>
      <c r="C2676" s="12" t="inlineStr">
        <is>
          <t>Fuel gas</t>
        </is>
      </c>
      <c r="D2676" s="12" t="inlineStr">
        <is>
          <t>Heat-trace circuit 21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5" t="n">
        <v>180</v>
      </c>
      <c r="U2676" s="15" t="n">
        <v>20</v>
      </c>
      <c r="V2676" s="15">
        <f>ROUNDUP((T2676+U2676+2*'Read Me'!$B$13)*(1+'Read Me'!$B$12),-1)</f>
        <v/>
      </c>
      <c r="W2676" s="15">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D-P-0041</t>
        </is>
      </c>
      <c r="B2677" s="12" t="inlineStr">
        <is>
          <t>D</t>
        </is>
      </c>
      <c r="C2677" s="12" t="inlineStr">
        <is>
          <t>Fuel gas</t>
        </is>
      </c>
      <c r="D2677" s="12" t="inlineStr">
        <is>
          <t>Heat-trace circuit 22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5" t="n">
        <v>180</v>
      </c>
      <c r="U2677" s="15" t="n">
        <v>20</v>
      </c>
      <c r="V2677" s="15">
        <f>ROUNDUP((T2677+U2677+2*'Read Me'!$B$13)*(1+'Read Me'!$B$12),-1)</f>
        <v/>
      </c>
      <c r="W2677" s="15">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D-P-0042</t>
        </is>
      </c>
      <c r="B2678" s="12" t="inlineStr">
        <is>
          <t>D</t>
        </is>
      </c>
      <c r="C2678" s="12" t="inlineStr">
        <is>
          <t>Fuel gas</t>
        </is>
      </c>
      <c r="D2678" s="12" t="inlineStr">
        <is>
          <t>Heat-trace circuit 23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5" t="n">
        <v>180</v>
      </c>
      <c r="U2678" s="15" t="n">
        <v>20</v>
      </c>
      <c r="V2678" s="15">
        <f>ROUNDUP((T2678+U2678+2*'Read Me'!$B$13)*(1+'Read Me'!$B$12),-1)</f>
        <v/>
      </c>
      <c r="W2678" s="15">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D-P-0043</t>
        </is>
      </c>
      <c r="B2679" s="12" t="inlineStr">
        <is>
          <t>D</t>
        </is>
      </c>
      <c r="C2679" s="12" t="inlineStr">
        <is>
          <t>Fuel gas</t>
        </is>
      </c>
      <c r="D2679" s="12" t="inlineStr">
        <is>
          <t>Heat-trace circuit 24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5" t="n">
        <v>180</v>
      </c>
      <c r="U2679" s="15" t="n">
        <v>20</v>
      </c>
      <c r="V2679" s="15">
        <f>ROUNDUP((T2679+U2679+2*'Read Me'!$B$13)*(1+'Read Me'!$B$12),-1)</f>
        <v/>
      </c>
      <c r="W2679" s="15">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D-MV-0001</t>
        </is>
      </c>
      <c r="B2680" s="12" t="inlineStr">
        <is>
          <t>D</t>
        </is>
      </c>
      <c r="C2680" s="12" t="inlineStr">
        <is>
          <t>Fuel gas</t>
        </is>
      </c>
      <c r="D2680" s="12" t="inlineStr">
        <is>
          <t>Fuel-gas compressor (conditional)</t>
        </is>
      </c>
      <c r="E2680" s="12" t="inlineStr">
        <is>
          <t>SWGR-13.8-3</t>
        </is>
      </c>
      <c r="F2680" s="12" t="inlineStr">
        <is>
          <t>R1 SWGR-13.8-3 (11 x 36 in cubicles, 15 kV metal-clad)</t>
        </is>
      </c>
      <c r="G2680" s="12" t="inlineStr"/>
      <c r="H2680" s="12" t="inlineStr">
        <is>
          <t>CONDITIONAL: fuel-gas compressors</t>
        </is>
      </c>
      <c r="I2680" s="12" t="inlineStr">
        <is>
          <t>MV 15 kV</t>
        </is>
      </c>
      <c r="J2680" s="12" t="inlineStr">
        <is>
          <t>ARMOR-X MC-HL / MV-105 15 kV 3/C Cu, EPR 133%, tape shield, gnd, CWA, red PVC</t>
        </is>
      </c>
      <c r="K2680" s="12" t="inlineStr">
        <is>
          <t>MV15AX|3/C|1/0</t>
        </is>
      </c>
      <c r="L2680" s="12" t="inlineStr">
        <is>
          <t>3/C</t>
        </is>
      </c>
      <c r="M2680" s="12" t="inlineStr">
        <is>
          <t>1/0</t>
        </is>
      </c>
      <c r="N2680" s="12" t="n">
        <v>1</v>
      </c>
      <c r="O2680" s="12" t="n">
        <v>1</v>
      </c>
      <c r="P2680" s="12" t="n">
        <v>13800</v>
      </c>
      <c r="Q2680" s="12" t="n">
        <v>3000</v>
      </c>
      <c r="R2680" s="12" t="n">
        <v>139</v>
      </c>
      <c r="S2680" s="12" t="inlineStr">
        <is>
          <t>Duct bank</t>
        </is>
      </c>
      <c r="T2680" s="15" t="n">
        <v>2400</v>
      </c>
      <c r="U2680" s="15" t="n">
        <v>68</v>
      </c>
      <c r="V2680" s="15">
        <f>ROUNDUP((T2680+U2680+2*'Read Me'!$B$13)*(1+'Read Me'!$B$12),-1)</f>
        <v/>
      </c>
      <c r="W2680" s="15">
        <f>V2680*N2680*O2680</f>
        <v/>
      </c>
      <c r="X2680" s="12">
        <f>IF(LEFT(I2680,2)="MV",2*N2680*IF(L2680="1/C",O2680,1),0)</f>
        <v/>
      </c>
      <c r="Y2680" s="12">
        <f>IF(OR(LEFT(K2680,4)="LVAX",LEFT(K2680,6)="MV15AX",LEFT(K2680,4)="CTAX",LEFT(K2680,2)="W|"),2*N2680*O2680,0)</f>
        <v/>
      </c>
      <c r="Z2680" s="12" t="inlineStr"/>
      <c r="AA2680" s="12">
        <f>N2680*O2680</f>
        <v/>
      </c>
    </row>
    <row r="2681">
      <c r="A2681" s="12" t="inlineStr">
        <is>
          <t>D-MV-0002</t>
        </is>
      </c>
      <c r="B2681" s="12" t="inlineStr">
        <is>
          <t>D</t>
        </is>
      </c>
      <c r="C2681" s="12" t="inlineStr">
        <is>
          <t>Fuel gas</t>
        </is>
      </c>
      <c r="D2681" s="12" t="inlineStr">
        <is>
          <t>Fuel-gas compressor (conditional)</t>
        </is>
      </c>
      <c r="E2681" s="12" t="inlineStr">
        <is>
          <t>SWGR-13.8-3</t>
        </is>
      </c>
      <c r="F2681" s="12" t="inlineStr">
        <is>
          <t>R1 SWGR-13.8-3 (11 x 36 in cubicles, 15 kV metal-clad)</t>
        </is>
      </c>
      <c r="G2681" s="12" t="inlineStr"/>
      <c r="H2681" s="12" t="inlineStr">
        <is>
          <t>CONDITIONAL: fuel-gas compressors</t>
        </is>
      </c>
      <c r="I2681" s="12" t="inlineStr">
        <is>
          <t>MV 15 kV</t>
        </is>
      </c>
      <c r="J2681" s="12" t="inlineStr">
        <is>
          <t>ARMOR-X MC-HL / MV-105 15 kV 3/C Cu, EPR 133%, tape shield, gnd, CWA, red PVC</t>
        </is>
      </c>
      <c r="K2681" s="12" t="inlineStr">
        <is>
          <t>MV15AX|3/C|1/0</t>
        </is>
      </c>
      <c r="L2681" s="12" t="inlineStr">
        <is>
          <t>3/C</t>
        </is>
      </c>
      <c r="M2681" s="12" t="inlineStr">
        <is>
          <t>1/0</t>
        </is>
      </c>
      <c r="N2681" s="12" t="n">
        <v>1</v>
      </c>
      <c r="O2681" s="12" t="n">
        <v>1</v>
      </c>
      <c r="P2681" s="12" t="n">
        <v>13800</v>
      </c>
      <c r="Q2681" s="12" t="n">
        <v>3000</v>
      </c>
      <c r="R2681" s="12" t="n">
        <v>139</v>
      </c>
      <c r="S2681" s="12" t="inlineStr">
        <is>
          <t>Duct bank</t>
        </is>
      </c>
      <c r="T2681" s="15" t="n">
        <v>2400</v>
      </c>
      <c r="U2681" s="15" t="n">
        <v>68</v>
      </c>
      <c r="V2681" s="15">
        <f>ROUNDUP((T2681+U2681+2*'Read Me'!$B$13)*(1+'Read Me'!$B$12),-1)</f>
        <v/>
      </c>
      <c r="W2681" s="15">
        <f>V2681*N2681*O2681</f>
        <v/>
      </c>
      <c r="X2681" s="12">
        <f>IF(LEFT(I2681,2)="MV",2*N2681*IF(L2681="1/C",O2681,1),0)</f>
        <v/>
      </c>
      <c r="Y2681" s="12">
        <f>IF(OR(LEFT(K2681,4)="LVAX",LEFT(K2681,6)="MV15AX",LEFT(K2681,4)="CTAX",LEFT(K2681,2)="W|"),2*N2681*O2681,0)</f>
        <v/>
      </c>
      <c r="Z2681" s="12" t="inlineStr"/>
      <c r="AA2681" s="12">
        <f>N2681*O2681</f>
        <v/>
      </c>
    </row>
    <row r="2682">
      <c r="A2682" s="12" t="inlineStr">
        <is>
          <t>D-MV-0003</t>
        </is>
      </c>
      <c r="B2682" s="12" t="inlineStr">
        <is>
          <t>D</t>
        </is>
      </c>
      <c r="C2682" s="12" t="inlineStr">
        <is>
          <t>Fuel gas</t>
        </is>
      </c>
      <c r="D2682" s="12" t="inlineStr">
        <is>
          <t>Fuel-gas compressor (conditional)</t>
        </is>
      </c>
      <c r="E2682" s="12" t="inlineStr">
        <is>
          <t>SWGR-13.8-3</t>
        </is>
      </c>
      <c r="F2682" s="12" t="inlineStr">
        <is>
          <t>R1 SWGR-13.8-3 (11 x 36 in cubicles, 15 kV metal-clad)</t>
        </is>
      </c>
      <c r="G2682" s="12" t="inlineStr"/>
      <c r="H2682" s="12" t="inlineStr">
        <is>
          <t>CONDITIONAL: fuel-gas compressors</t>
        </is>
      </c>
      <c r="I2682" s="12" t="inlineStr">
        <is>
          <t>MV 15 kV</t>
        </is>
      </c>
      <c r="J2682" s="12" t="inlineStr">
        <is>
          <t>ARMOR-X MC-HL / MV-105 15 kV 3/C Cu, EPR 133%, tape shield, gnd, CWA, red PVC</t>
        </is>
      </c>
      <c r="K2682" s="12" t="inlineStr">
        <is>
          <t>MV15AX|3/C|1/0</t>
        </is>
      </c>
      <c r="L2682" s="12" t="inlineStr">
        <is>
          <t>3/C</t>
        </is>
      </c>
      <c r="M2682" s="12" t="inlineStr">
        <is>
          <t>1/0</t>
        </is>
      </c>
      <c r="N2682" s="12" t="n">
        <v>1</v>
      </c>
      <c r="O2682" s="12" t="n">
        <v>1</v>
      </c>
      <c r="P2682" s="12" t="n">
        <v>13800</v>
      </c>
      <c r="Q2682" s="12" t="n">
        <v>3000</v>
      </c>
      <c r="R2682" s="12" t="n">
        <v>139</v>
      </c>
      <c r="S2682" s="12" t="inlineStr">
        <is>
          <t>Duct bank</t>
        </is>
      </c>
      <c r="T2682" s="15" t="n">
        <v>2400</v>
      </c>
      <c r="U2682" s="15" t="n">
        <v>68</v>
      </c>
      <c r="V2682" s="15">
        <f>ROUNDUP((T2682+U2682+2*'Read Me'!$B$13)*(1+'Read Me'!$B$12),-1)</f>
        <v/>
      </c>
      <c r="W2682" s="15">
        <f>V2682*N2682*O2682</f>
        <v/>
      </c>
      <c r="X2682" s="12">
        <f>IF(LEFT(I2682,2)="MV",2*N2682*IF(L2682="1/C",O2682,1),0)</f>
        <v/>
      </c>
      <c r="Y2682" s="12">
        <f>IF(OR(LEFT(K2682,4)="LVAX",LEFT(K2682,6)="MV15AX",LEFT(K2682,4)="CTAX",LEFT(K2682,2)="W|"),2*N2682*O2682,0)</f>
        <v/>
      </c>
      <c r="Z2682" s="12" t="inlineStr"/>
      <c r="AA2682" s="12">
        <f>N2682*O2682</f>
        <v/>
      </c>
    </row>
    <row r="2683">
      <c r="A2683" s="12" t="inlineStr">
        <is>
          <t>E-L-0001</t>
        </is>
      </c>
      <c r="B2683" s="12" t="inlineStr">
        <is>
          <t>E</t>
        </is>
      </c>
      <c r="C2683" s="12" t="inlineStr">
        <is>
          <t>Water / utilities</t>
        </is>
      </c>
      <c r="D2683" s="12" t="inlineStr">
        <is>
          <t>Lighting, receptacles and small power branch circuits (allowance)</t>
        </is>
      </c>
      <c r="E2683" s="12" t="inlineStr"/>
      <c r="F2683" s="12" t="inlineStr">
        <is>
          <t>Fire pump house</t>
        </is>
      </c>
      <c r="G2683" s="12" t="inlineStr"/>
      <c r="H2683" s="12" t="inlineStr">
        <is>
          <t>Fire pump house</t>
        </is>
      </c>
      <c r="I2683" s="12" t="inlineStr">
        <is>
          <t>Building wire</t>
        </is>
      </c>
      <c r="J2683" s="12" t="inlineStr">
        <is>
          <t>SIMpull THHN/THWN-2 600 V 1/C Cu (lighting, receptacles, small power)</t>
        </is>
      </c>
      <c r="K2683" s="12" t="inlineStr">
        <is>
          <t>THHN|1/C|12</t>
        </is>
      </c>
      <c r="L2683" s="12" t="inlineStr">
        <is>
          <t>1/C</t>
        </is>
      </c>
      <c r="M2683" s="12" t="inlineStr">
        <is>
          <t>12</t>
        </is>
      </c>
      <c r="N2683" s="12" t="n">
        <v>1</v>
      </c>
      <c r="O2683" s="12" t="n">
        <v>1</v>
      </c>
      <c r="P2683" s="12" t="n">
        <v>277</v>
      </c>
      <c r="Q2683" s="12" t="n"/>
      <c r="R2683" s="12" t="n"/>
      <c r="S2683" s="12" t="inlineStr">
        <is>
          <t>Conduit</t>
        </is>
      </c>
      <c r="T2683" s="15" t="n">
        <v>1920</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allowance: 1.6 ft of conductor per ft2 of floor</t>
        </is>
      </c>
      <c r="AA2683" s="12">
        <f>N2683*O2683</f>
        <v/>
      </c>
    </row>
    <row r="2684">
      <c r="A2684" s="12" t="inlineStr">
        <is>
          <t>E-L-0002</t>
        </is>
      </c>
      <c r="B2684" s="12" t="inlineStr">
        <is>
          <t>E</t>
        </is>
      </c>
      <c r="C2684" s="12" t="inlineStr">
        <is>
          <t>Water / utilities</t>
        </is>
      </c>
      <c r="D2684" s="12" t="inlineStr">
        <is>
          <t>Lighting, receptacles and small power branch circuits (allowance)</t>
        </is>
      </c>
      <c r="E2684" s="12" t="inlineStr">
        <is>
          <t>R-WT</t>
        </is>
      </c>
      <c r="F2684" s="12" t="inlineStr">
        <is>
          <t>Water treatment building (incl. R-WT electrical room)</t>
        </is>
      </c>
      <c r="G2684" s="12" t="inlineStr">
        <is>
          <t>R-WT</t>
        </is>
      </c>
      <c r="H2684" s="12" t="inlineStr">
        <is>
          <t>Water treatment building (incl. R-WT electrical room)</t>
        </is>
      </c>
      <c r="I2684" s="12" t="inlineStr">
        <is>
          <t>Building wire</t>
        </is>
      </c>
      <c r="J2684" s="12" t="inlineStr">
        <is>
          <t>SIMpull THHN/THWN-2 600 V 1/C Cu (lighting, receptacles, small power)</t>
        </is>
      </c>
      <c r="K2684" s="12" t="inlineStr">
        <is>
          <t>THHN|1/C|12</t>
        </is>
      </c>
      <c r="L2684" s="12" t="inlineStr">
        <is>
          <t>1/C</t>
        </is>
      </c>
      <c r="M2684" s="12" t="inlineStr">
        <is>
          <t>12</t>
        </is>
      </c>
      <c r="N2684" s="12" t="n">
        <v>1</v>
      </c>
      <c r="O2684" s="12" t="n">
        <v>1</v>
      </c>
      <c r="P2684" s="12" t="n">
        <v>277</v>
      </c>
      <c r="Q2684" s="12" t="n"/>
      <c r="R2684" s="12" t="n"/>
      <c r="S2684" s="12" t="inlineStr">
        <is>
          <t>Conduit</t>
        </is>
      </c>
      <c r="T2684" s="15" t="n">
        <v>21760</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allowance: 1.6 ft of conductor per ft2 of floor</t>
        </is>
      </c>
      <c r="AA2684" s="12">
        <f>N2684*O2684</f>
        <v/>
      </c>
    </row>
    <row r="2685">
      <c r="A2685" s="12" t="inlineStr">
        <is>
          <t>E-C-0001</t>
        </is>
      </c>
      <c r="B2685" s="12" t="inlineStr">
        <is>
          <t>E</t>
        </is>
      </c>
      <c r="C2685" s="12" t="inlineStr">
        <is>
          <t>Water / utilities</t>
        </is>
      </c>
      <c r="D2685" s="12" t="inlineStr">
        <is>
          <t>Motor 1 of 2: control / local station</t>
        </is>
      </c>
      <c r="E2685" s="12" t="inlineStr">
        <is>
          <t>MCC-C2</t>
        </is>
      </c>
      <c r="F2685" s="12" t="inlineStr">
        <is>
          <t>R1 MCC-C2</t>
        </is>
      </c>
      <c r="G2685" s="12" t="inlineStr"/>
      <c r="H2685" s="12" t="inlineStr">
        <is>
          <t>Ammonia storage (aqueous, SCR reagent)</t>
        </is>
      </c>
      <c r="I2685" s="12" t="inlineStr">
        <is>
          <t>Control</t>
        </is>
      </c>
      <c r="J2685" s="12" t="inlineStr">
        <is>
          <t>Control cable 600 V Type TC-ER, Cu #14 AWG, PVC jacket</t>
        </is>
      </c>
      <c r="K2685" s="12" t="inlineStr">
        <is>
          <t>CT|7/C|14</t>
        </is>
      </c>
      <c r="L2685" s="12" t="inlineStr">
        <is>
          <t>7/C</t>
        </is>
      </c>
      <c r="M2685" s="12" t="inlineStr">
        <is>
          <t>14</t>
        </is>
      </c>
      <c r="N2685" s="12" t="n">
        <v>1</v>
      </c>
      <c r="O2685" s="12" t="n">
        <v>1</v>
      </c>
      <c r="P2685" s="12" t="n"/>
      <c r="Q2685" s="12" t="n"/>
      <c r="R2685" s="12" t="n"/>
      <c r="S2685" s="12" t="inlineStr">
        <is>
          <t>Estimated</t>
        </is>
      </c>
      <c r="T2685" s="15" t="n">
        <v>1158</v>
      </c>
      <c r="U2685" s="15" t="n">
        <v>40</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E-C-0002</t>
        </is>
      </c>
      <c r="B2686" s="12" t="inlineStr">
        <is>
          <t>E</t>
        </is>
      </c>
      <c r="C2686" s="12" t="inlineStr">
        <is>
          <t>Water / utilities</t>
        </is>
      </c>
      <c r="D2686" s="12" t="inlineStr">
        <is>
          <t>Motor 2 of 2: control / local station</t>
        </is>
      </c>
      <c r="E2686" s="12" t="inlineStr">
        <is>
          <t>MCC-C2</t>
        </is>
      </c>
      <c r="F2686" s="12" t="inlineStr">
        <is>
          <t>R1 MCC-C2</t>
        </is>
      </c>
      <c r="G2686" s="12" t="inlineStr"/>
      <c r="H2686" s="12" t="inlineStr">
        <is>
          <t>Ammonia storage (aqueous, SCR reagent)</t>
        </is>
      </c>
      <c r="I2686" s="12" t="inlineStr">
        <is>
          <t>Control</t>
        </is>
      </c>
      <c r="J2686" s="12" t="inlineStr">
        <is>
          <t>Control cable 600 V Type TC-ER, Cu #14 AWG, PVC jacket</t>
        </is>
      </c>
      <c r="K2686" s="12" t="inlineStr">
        <is>
          <t>CT|7/C|14</t>
        </is>
      </c>
      <c r="L2686" s="12" t="inlineStr">
        <is>
          <t>7/C</t>
        </is>
      </c>
      <c r="M2686" s="12" t="inlineStr">
        <is>
          <t>14</t>
        </is>
      </c>
      <c r="N2686" s="12" t="n">
        <v>1</v>
      </c>
      <c r="O2686" s="12" t="n">
        <v>1</v>
      </c>
      <c r="P2686" s="12" t="n"/>
      <c r="Q2686" s="12" t="n"/>
      <c r="R2686" s="12" t="n"/>
      <c r="S2686" s="12" t="inlineStr">
        <is>
          <t>Estimated</t>
        </is>
      </c>
      <c r="T2686" s="15" t="n">
        <v>1158</v>
      </c>
      <c r="U2686" s="15" t="n">
        <v>40</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E-C-0003</t>
        </is>
      </c>
      <c r="B2687" s="12" t="inlineStr">
        <is>
          <t>E</t>
        </is>
      </c>
      <c r="C2687" s="12" t="inlineStr">
        <is>
          <t>Water / utilities</t>
        </is>
      </c>
      <c r="D2687" s="12" t="inlineStr">
        <is>
          <t>Motor 1 of 3: control / local station</t>
        </is>
      </c>
      <c r="E2687" s="12" t="inlineStr">
        <is>
          <t>MCC-C2</t>
        </is>
      </c>
      <c r="F2687" s="12" t="inlineStr">
        <is>
          <t>R1 MCC-C2</t>
        </is>
      </c>
      <c r="G2687" s="12" t="inlineStr"/>
      <c r="H2687" s="12" t="inlineStr">
        <is>
          <t>Auxiliary boiler</t>
        </is>
      </c>
      <c r="I2687" s="12" t="inlineStr">
        <is>
          <t>Control</t>
        </is>
      </c>
      <c r="J2687" s="12" t="inlineStr">
        <is>
          <t>Control cable 600 V Type TC-ER, Cu #14 AWG, PVC jacket</t>
        </is>
      </c>
      <c r="K2687" s="12" t="inlineStr">
        <is>
          <t>CT|7/C|14</t>
        </is>
      </c>
      <c r="L2687" s="12" t="inlineStr">
        <is>
          <t>7/C</t>
        </is>
      </c>
      <c r="M2687" s="12" t="inlineStr">
        <is>
          <t>14</t>
        </is>
      </c>
      <c r="N2687" s="12" t="n">
        <v>1</v>
      </c>
      <c r="O2687" s="12" t="n">
        <v>1</v>
      </c>
      <c r="P2687" s="12" t="n"/>
      <c r="Q2687" s="12" t="n"/>
      <c r="R2687" s="12" t="n"/>
      <c r="S2687" s="12" t="inlineStr">
        <is>
          <t>Estimated</t>
        </is>
      </c>
      <c r="T2687" s="15" t="n">
        <v>1311</v>
      </c>
      <c r="U2687" s="15" t="n">
        <v>40</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E-C-0004</t>
        </is>
      </c>
      <c r="B2688" s="12" t="inlineStr">
        <is>
          <t>E</t>
        </is>
      </c>
      <c r="C2688" s="12" t="inlineStr">
        <is>
          <t>Water / utilities</t>
        </is>
      </c>
      <c r="D2688" s="12" t="inlineStr">
        <is>
          <t>Motor 2 of 3: control / local station</t>
        </is>
      </c>
      <c r="E2688" s="12" t="inlineStr">
        <is>
          <t>MCC-C2</t>
        </is>
      </c>
      <c r="F2688" s="12" t="inlineStr">
        <is>
          <t>R1 MCC-C2</t>
        </is>
      </c>
      <c r="G2688" s="12" t="inlineStr"/>
      <c r="H2688" s="12" t="inlineStr">
        <is>
          <t>Auxiliary boiler</t>
        </is>
      </c>
      <c r="I2688" s="12" t="inlineStr">
        <is>
          <t>Control</t>
        </is>
      </c>
      <c r="J2688" s="12" t="inlineStr">
        <is>
          <t>Control cable 600 V Type TC-ER, Cu #14 AWG, PVC jacket</t>
        </is>
      </c>
      <c r="K2688" s="12" t="inlineStr">
        <is>
          <t>CT|7/C|14</t>
        </is>
      </c>
      <c r="L2688" s="12" t="inlineStr">
        <is>
          <t>7/C</t>
        </is>
      </c>
      <c r="M2688" s="12" t="inlineStr">
        <is>
          <t>14</t>
        </is>
      </c>
      <c r="N2688" s="12" t="n">
        <v>1</v>
      </c>
      <c r="O2688" s="12" t="n">
        <v>1</v>
      </c>
      <c r="P2688" s="12" t="n"/>
      <c r="Q2688" s="12" t="n"/>
      <c r="R2688" s="12" t="n"/>
      <c r="S2688" s="12" t="inlineStr">
        <is>
          <t>Estimated</t>
        </is>
      </c>
      <c r="T2688" s="15" t="n">
        <v>1311</v>
      </c>
      <c r="U2688" s="15" t="n">
        <v>40</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E-C-0005</t>
        </is>
      </c>
      <c r="B2689" s="12" t="inlineStr">
        <is>
          <t>E</t>
        </is>
      </c>
      <c r="C2689" s="12" t="inlineStr">
        <is>
          <t>Water / utilities</t>
        </is>
      </c>
      <c r="D2689" s="12" t="inlineStr">
        <is>
          <t>Motor 3 of 3: control / local station</t>
        </is>
      </c>
      <c r="E2689" s="12" t="inlineStr">
        <is>
          <t>MCC-C2</t>
        </is>
      </c>
      <c r="F2689" s="12" t="inlineStr">
        <is>
          <t>R1 MCC-C2</t>
        </is>
      </c>
      <c r="G2689" s="12" t="inlineStr"/>
      <c r="H2689" s="12" t="inlineStr">
        <is>
          <t>Auxiliary boiler</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Estimated</t>
        </is>
      </c>
      <c r="T2689" s="15" t="n">
        <v>1311</v>
      </c>
      <c r="U2689" s="15" t="n">
        <v>40</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E-C-0006</t>
        </is>
      </c>
      <c r="B2690" s="12" t="inlineStr">
        <is>
          <t>E</t>
        </is>
      </c>
      <c r="C2690" s="12" t="inlineStr">
        <is>
          <t>Water / utilities</t>
        </is>
      </c>
      <c r="D2690" s="12" t="inlineStr">
        <is>
          <t>Control</t>
        </is>
      </c>
      <c r="E2690" s="12" t="inlineStr">
        <is>
          <t>R-WT</t>
        </is>
      </c>
      <c r="F2690" s="12" t="inlineStr">
        <is>
          <t>Water treatment building (incl. R-WT electrical room)</t>
        </is>
      </c>
      <c r="G2690" s="12" t="inlineStr">
        <is>
          <t>CPR-2</t>
        </is>
      </c>
      <c r="H2690" s="12" t="inlineStr">
        <is>
          <t>CPR-2: cathodic-protection rectifier</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Conduit link</t>
        </is>
      </c>
      <c r="T2690" s="15" t="n">
        <v>169</v>
      </c>
      <c r="U2690" s="15" t="n">
        <v>32</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E-C-0007</t>
        </is>
      </c>
      <c r="B2691" s="12" t="inlineStr">
        <is>
          <t>E</t>
        </is>
      </c>
      <c r="C2691" s="12" t="inlineStr">
        <is>
          <t>Water / utilities</t>
        </is>
      </c>
      <c r="D2691" s="12" t="inlineStr">
        <is>
          <t>Motor 1 of 1: control / local station</t>
        </is>
      </c>
      <c r="E2691" s="12" t="inlineStr">
        <is>
          <t>MCC-C2</t>
        </is>
      </c>
      <c r="F2691" s="12" t="inlineStr">
        <is>
          <t>R1 MCC-C2</t>
        </is>
      </c>
      <c r="G2691" s="12" t="inlineStr"/>
      <c r="H2691" s="12" t="inlineStr">
        <is>
          <t>Fire pump house</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Estimated</t>
        </is>
      </c>
      <c r="T2691" s="15" t="n">
        <v>1161</v>
      </c>
      <c r="U2691" s="15" t="n">
        <v>40</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E-C-0008</t>
        </is>
      </c>
      <c r="B2692" s="12" t="inlineStr">
        <is>
          <t>E</t>
        </is>
      </c>
      <c r="C2692" s="12" t="inlineStr">
        <is>
          <t>Water / utilities</t>
        </is>
      </c>
      <c r="D2692" s="12" t="inlineStr">
        <is>
          <t>Motor 1 of 1: control / local station</t>
        </is>
      </c>
      <c r="E2692" s="12" t="inlineStr">
        <is>
          <t>MCC-C2</t>
        </is>
      </c>
      <c r="F2692" s="12" t="inlineStr">
        <is>
          <t>R1 MCC-C2</t>
        </is>
      </c>
      <c r="G2692" s="12" t="inlineStr"/>
      <c r="H2692" s="12" t="inlineStr">
        <is>
          <t>Fire pump house</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Estimated</t>
        </is>
      </c>
      <c r="T2692" s="15" t="n">
        <v>1161</v>
      </c>
      <c r="U2692" s="15" t="n">
        <v>40</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E-C-0009</t>
        </is>
      </c>
      <c r="B2693" s="12" t="inlineStr">
        <is>
          <t>E</t>
        </is>
      </c>
      <c r="C2693" s="12" t="inlineStr">
        <is>
          <t>Water / utilities</t>
        </is>
      </c>
      <c r="D2693" s="12" t="inlineStr">
        <is>
          <t>Control</t>
        </is>
      </c>
      <c r="E2693" s="12" t="inlineStr">
        <is>
          <t>R-WT</t>
        </is>
      </c>
      <c r="F2693" s="12" t="inlineStr">
        <is>
          <t>Water treatment building (incl. R-WT electrical room)</t>
        </is>
      </c>
      <c r="G2693" s="12" t="inlineStr">
        <is>
          <t>HTP-2</t>
        </is>
      </c>
      <c r="H2693" s="12" t="inlineStr">
        <is>
          <t>HTP-2: heat-trace panel (NH3)</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5" t="n">
        <v>292</v>
      </c>
      <c r="U2693" s="15" t="n">
        <v>108</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E-C-0010</t>
        </is>
      </c>
      <c r="B2694" s="12" t="inlineStr">
        <is>
          <t>E</t>
        </is>
      </c>
      <c r="C2694" s="12" t="inlineStr">
        <is>
          <t>Water / utilities</t>
        </is>
      </c>
      <c r="D2694" s="12" t="inlineStr">
        <is>
          <t>Motor 1 of 2: control / local station</t>
        </is>
      </c>
      <c r="E2694" s="12" t="inlineStr">
        <is>
          <t>MCC-C2</t>
        </is>
      </c>
      <c r="F2694" s="12" t="inlineStr">
        <is>
          <t>R1 MCC-C2</t>
        </is>
      </c>
      <c r="G2694" s="12" t="inlineStr"/>
      <c r="H2694" s="12" t="inlineStr">
        <is>
          <t>Oil-water separator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5" t="n">
        <v>2002</v>
      </c>
      <c r="U2694" s="15" t="n">
        <v>347</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E-C-0011</t>
        </is>
      </c>
      <c r="B2695" s="12" t="inlineStr">
        <is>
          <t>E</t>
        </is>
      </c>
      <c r="C2695" s="12" t="inlineStr">
        <is>
          <t>Water / utilities</t>
        </is>
      </c>
      <c r="D2695" s="12" t="inlineStr">
        <is>
          <t>Motor 2 of 2: control / local station</t>
        </is>
      </c>
      <c r="E2695" s="12" t="inlineStr">
        <is>
          <t>MCC-C2</t>
        </is>
      </c>
      <c r="F2695" s="12" t="inlineStr">
        <is>
          <t>R1 MCC-C2</t>
        </is>
      </c>
      <c r="G2695" s="12" t="inlineStr"/>
      <c r="H2695" s="12" t="inlineStr">
        <is>
          <t>Oil-water separator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5" t="n">
        <v>2002</v>
      </c>
      <c r="U2695" s="15" t="n">
        <v>347</v>
      </c>
      <c r="V2695" s="15">
        <f>ROUNDUP((T2695+U2695+2*'Read Me'!$B$13)*(1+'Read Me'!$B$12),-1)</f>
        <v/>
      </c>
      <c r="W2695" s="15">
        <f>V2695*N2695*O2695</f>
        <v/>
      </c>
      <c r="X2695" s="12">
        <f>IF(LEFT(I2695,2)="MV",2*N2695*IF(L2695="1/C",O2695,1),0)</f>
        <v/>
      </c>
      <c r="Y2695" s="12">
        <f>IF(OR(LEFT(K2695,4)="LVAX",LEFT(K2695,6)="MV15AX",LEFT(K2695,4)="CTAX",LEFT(K2695,2)="W|"),2*N2695*O2695,0)</f>
        <v/>
      </c>
      <c r="Z2695" s="12" t="inlineStr"/>
      <c r="AA2695" s="12">
        <f>N2695*O2695</f>
        <v/>
      </c>
    </row>
    <row r="2696">
      <c r="A2696" s="12" t="inlineStr">
        <is>
          <t>E-C-0012</t>
        </is>
      </c>
      <c r="B2696" s="12" t="inlineStr">
        <is>
          <t>E</t>
        </is>
      </c>
      <c r="C2696" s="12" t="inlineStr">
        <is>
          <t>Water / utilities</t>
        </is>
      </c>
      <c r="D2696" s="12" t="inlineStr">
        <is>
          <t>Motor 1 of 8: control / local station</t>
        </is>
      </c>
      <c r="E2696" s="12" t="inlineStr">
        <is>
          <t>MCC-C2</t>
        </is>
      </c>
      <c r="F2696" s="12" t="inlineStr">
        <is>
          <t>R1 MCC-C2</t>
        </is>
      </c>
      <c r="G2696" s="12" t="inlineStr"/>
      <c r="H2696" s="12" t="inlineStr">
        <is>
          <t>Wastewater treatment</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Estimated</t>
        </is>
      </c>
      <c r="T2696" s="15" t="n">
        <v>1021</v>
      </c>
      <c r="U2696" s="15" t="n">
        <v>40</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E-C-0013</t>
        </is>
      </c>
      <c r="B2697" s="12" t="inlineStr">
        <is>
          <t>E</t>
        </is>
      </c>
      <c r="C2697" s="12" t="inlineStr">
        <is>
          <t>Water / utilities</t>
        </is>
      </c>
      <c r="D2697" s="12" t="inlineStr">
        <is>
          <t>Motor 2 of 8: control / local station</t>
        </is>
      </c>
      <c r="E2697" s="12" t="inlineStr">
        <is>
          <t>MCC-C2</t>
        </is>
      </c>
      <c r="F2697" s="12" t="inlineStr">
        <is>
          <t>R1 MCC-C2</t>
        </is>
      </c>
      <c r="G2697" s="12" t="inlineStr"/>
      <c r="H2697" s="12" t="inlineStr">
        <is>
          <t>Wastewater treatment</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Estimated</t>
        </is>
      </c>
      <c r="T2697" s="15" t="n">
        <v>1021</v>
      </c>
      <c r="U2697" s="15" t="n">
        <v>40</v>
      </c>
      <c r="V2697" s="15">
        <f>ROUNDUP((T2697+U2697+2*'Read Me'!$B$13)*(1+'Read Me'!$B$12),-1)</f>
        <v/>
      </c>
      <c r="W2697" s="15">
        <f>V2697*N2697*O2697</f>
        <v/>
      </c>
      <c r="X2697" s="12">
        <f>IF(LEFT(I2697,2)="MV",2*N2697*IF(L2697="1/C",O2697,1),0)</f>
        <v/>
      </c>
      <c r="Y2697" s="12">
        <f>IF(OR(LEFT(K2697,4)="LVAX",LEFT(K2697,6)="MV15AX",LEFT(K2697,4)="CTAX",LEFT(K2697,2)="W|"),2*N2697*O2697,0)</f>
        <v/>
      </c>
      <c r="Z2697" s="12" t="inlineStr"/>
      <c r="AA2697" s="12">
        <f>N2697*O2697</f>
        <v/>
      </c>
    </row>
    <row r="2698">
      <c r="A2698" s="12" t="inlineStr">
        <is>
          <t>E-C-0014</t>
        </is>
      </c>
      <c r="B2698" s="12" t="inlineStr">
        <is>
          <t>E</t>
        </is>
      </c>
      <c r="C2698" s="12" t="inlineStr">
        <is>
          <t>Water / utilities</t>
        </is>
      </c>
      <c r="D2698" s="12" t="inlineStr">
        <is>
          <t>Motor 3 of 8: control / local station</t>
        </is>
      </c>
      <c r="E2698" s="12" t="inlineStr">
        <is>
          <t>MCC-C2</t>
        </is>
      </c>
      <c r="F2698" s="12" t="inlineStr">
        <is>
          <t>R1 MCC-C2</t>
        </is>
      </c>
      <c r="G2698" s="12" t="inlineStr"/>
      <c r="H2698" s="12" t="inlineStr">
        <is>
          <t>Wastewater treatment</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Estimated</t>
        </is>
      </c>
      <c r="T2698" s="15" t="n">
        <v>1021</v>
      </c>
      <c r="U2698" s="15" t="n">
        <v>40</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E-C-0015</t>
        </is>
      </c>
      <c r="B2699" s="12" t="inlineStr">
        <is>
          <t>E</t>
        </is>
      </c>
      <c r="C2699" s="12" t="inlineStr">
        <is>
          <t>Water / utilities</t>
        </is>
      </c>
      <c r="D2699" s="12" t="inlineStr">
        <is>
          <t>Motor 4 of 8: control / local station</t>
        </is>
      </c>
      <c r="E2699" s="12" t="inlineStr">
        <is>
          <t>MCC-C2</t>
        </is>
      </c>
      <c r="F2699" s="12" t="inlineStr">
        <is>
          <t>R1 MCC-C2</t>
        </is>
      </c>
      <c r="G2699" s="12" t="inlineStr"/>
      <c r="H2699" s="12" t="inlineStr">
        <is>
          <t>Wastewater treatment</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Estimated</t>
        </is>
      </c>
      <c r="T2699" s="15" t="n">
        <v>1021</v>
      </c>
      <c r="U2699" s="15" t="n">
        <v>40</v>
      </c>
      <c r="V2699" s="15">
        <f>ROUNDUP((T2699+U2699+2*'Read Me'!$B$13)*(1+'Read Me'!$B$12),-1)</f>
        <v/>
      </c>
      <c r="W2699" s="15">
        <f>V2699*N2699*O2699</f>
        <v/>
      </c>
      <c r="X2699" s="12">
        <f>IF(LEFT(I2699,2)="MV",2*N2699*IF(L2699="1/C",O2699,1),0)</f>
        <v/>
      </c>
      <c r="Y2699" s="12">
        <f>IF(OR(LEFT(K2699,4)="LVAX",LEFT(K2699,6)="MV15AX",LEFT(K2699,4)="CTAX",LEFT(K2699,2)="W|"),2*N2699*O2699,0)</f>
        <v/>
      </c>
      <c r="Z2699" s="12" t="inlineStr"/>
      <c r="AA2699" s="12">
        <f>N2699*O2699</f>
        <v/>
      </c>
    </row>
    <row r="2700">
      <c r="A2700" s="12" t="inlineStr">
        <is>
          <t>E-C-0016</t>
        </is>
      </c>
      <c r="B2700" s="12" t="inlineStr">
        <is>
          <t>E</t>
        </is>
      </c>
      <c r="C2700" s="12" t="inlineStr">
        <is>
          <t>Water / utilities</t>
        </is>
      </c>
      <c r="D2700" s="12" t="inlineStr">
        <is>
          <t>Motor 5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Estimated</t>
        </is>
      </c>
      <c r="T2700" s="15" t="n">
        <v>1021</v>
      </c>
      <c r="U2700" s="15" t="n">
        <v>40</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E-C-0017</t>
        </is>
      </c>
      <c r="B2701" s="12" t="inlineStr">
        <is>
          <t>E</t>
        </is>
      </c>
      <c r="C2701" s="12" t="inlineStr">
        <is>
          <t>Water / utilities</t>
        </is>
      </c>
      <c r="D2701" s="12" t="inlineStr">
        <is>
          <t>Motor 6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Estimated</t>
        </is>
      </c>
      <c r="T2701" s="15" t="n">
        <v>1021</v>
      </c>
      <c r="U2701" s="15" t="n">
        <v>40</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E-C-0018</t>
        </is>
      </c>
      <c r="B2702" s="12" t="inlineStr">
        <is>
          <t>E</t>
        </is>
      </c>
      <c r="C2702" s="12" t="inlineStr">
        <is>
          <t>Water / utilities</t>
        </is>
      </c>
      <c r="D2702" s="12" t="inlineStr">
        <is>
          <t>Motor 7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Estimated</t>
        </is>
      </c>
      <c r="T2702" s="15" t="n">
        <v>1021</v>
      </c>
      <c r="U2702" s="15" t="n">
        <v>40</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E-C-0019</t>
        </is>
      </c>
      <c r="B2703" s="12" t="inlineStr">
        <is>
          <t>E</t>
        </is>
      </c>
      <c r="C2703" s="12" t="inlineStr">
        <is>
          <t>Water / utilities</t>
        </is>
      </c>
      <c r="D2703" s="12" t="inlineStr">
        <is>
          <t>Motor 8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Estimated</t>
        </is>
      </c>
      <c r="T2703" s="15" t="n">
        <v>1021</v>
      </c>
      <c r="U2703" s="15" t="n">
        <v>40</v>
      </c>
      <c r="V2703" s="15">
        <f>ROUNDUP((T2703+U2703+2*'Read Me'!$B$13)*(1+'Read Me'!$B$12),-1)</f>
        <v/>
      </c>
      <c r="W2703" s="15">
        <f>V2703*N2703*O2703</f>
        <v/>
      </c>
      <c r="X2703" s="12">
        <f>IF(LEFT(I2703,2)="MV",2*N2703*IF(L2703="1/C",O2703,1),0)</f>
        <v/>
      </c>
      <c r="Y2703" s="12">
        <f>IF(OR(LEFT(K2703,4)="LVAX",LEFT(K2703,6)="MV15AX",LEFT(K2703,4)="CTAX",LEFT(K2703,2)="W|"),2*N2703*O2703,0)</f>
        <v/>
      </c>
      <c r="Z2703" s="12" t="inlineStr"/>
      <c r="AA2703" s="12">
        <f>N2703*O2703</f>
        <v/>
      </c>
    </row>
    <row r="2704">
      <c r="A2704" s="12" t="inlineStr">
        <is>
          <t>E-C-0020</t>
        </is>
      </c>
      <c r="B2704" s="12" t="inlineStr">
        <is>
          <t>E</t>
        </is>
      </c>
      <c r="C2704" s="12" t="inlineStr">
        <is>
          <t>Water / utilities</t>
        </is>
      </c>
      <c r="D2704" s="12" t="inlineStr">
        <is>
          <t>Motor 1 of 20: control / local station</t>
        </is>
      </c>
      <c r="E2704" s="12" t="inlineStr">
        <is>
          <t>MCC-C2</t>
        </is>
      </c>
      <c r="F2704" s="12" t="inlineStr">
        <is>
          <t>R1 MCC-C2</t>
        </is>
      </c>
      <c r="G2704" s="12" t="inlineStr">
        <is>
          <t>R-WT</t>
        </is>
      </c>
      <c r="H2704" s="12" t="inlineStr">
        <is>
          <t>Water treatment building (incl. R-WT electrical room)</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5" t="n">
        <v>1714</v>
      </c>
      <c r="U2704" s="15" t="n">
        <v>109</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E-C-0021</t>
        </is>
      </c>
      <c r="B2705" s="12" t="inlineStr">
        <is>
          <t>E</t>
        </is>
      </c>
      <c r="C2705" s="12" t="inlineStr">
        <is>
          <t>Water / utilities</t>
        </is>
      </c>
      <c r="D2705" s="12" t="inlineStr">
        <is>
          <t>Motor 2 of 20: control / local station</t>
        </is>
      </c>
      <c r="E2705" s="12" t="inlineStr">
        <is>
          <t>MCC-C2</t>
        </is>
      </c>
      <c r="F2705" s="12" t="inlineStr">
        <is>
          <t>R1 MCC-C2</t>
        </is>
      </c>
      <c r="G2705" s="12" t="inlineStr">
        <is>
          <t>R-WT</t>
        </is>
      </c>
      <c r="H2705" s="12" t="inlineStr">
        <is>
          <t>Water treatment building (incl. R-WT electrical room)</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5" t="n">
        <v>1714</v>
      </c>
      <c r="U2705" s="15" t="n">
        <v>109</v>
      </c>
      <c r="V2705" s="15">
        <f>ROUNDUP((T2705+U2705+2*'Read Me'!$B$13)*(1+'Read Me'!$B$12),-1)</f>
        <v/>
      </c>
      <c r="W2705" s="15">
        <f>V2705*N2705*O2705</f>
        <v/>
      </c>
      <c r="X2705" s="12">
        <f>IF(LEFT(I2705,2)="MV",2*N2705*IF(L2705="1/C",O2705,1),0)</f>
        <v/>
      </c>
      <c r="Y2705" s="12">
        <f>IF(OR(LEFT(K2705,4)="LVAX",LEFT(K2705,6)="MV15AX",LEFT(K2705,4)="CTAX",LEFT(K2705,2)="W|"),2*N2705*O2705,0)</f>
        <v/>
      </c>
      <c r="Z2705" s="12" t="inlineStr"/>
      <c r="AA2705" s="12">
        <f>N2705*O2705</f>
        <v/>
      </c>
    </row>
    <row r="2706">
      <c r="A2706" s="12" t="inlineStr">
        <is>
          <t>E-C-0022</t>
        </is>
      </c>
      <c r="B2706" s="12" t="inlineStr">
        <is>
          <t>E</t>
        </is>
      </c>
      <c r="C2706" s="12" t="inlineStr">
        <is>
          <t>Water / utilities</t>
        </is>
      </c>
      <c r="D2706" s="12" t="inlineStr">
        <is>
          <t>Motor 3 of 20: control / local station</t>
        </is>
      </c>
      <c r="E2706" s="12" t="inlineStr">
        <is>
          <t>MCC-C2</t>
        </is>
      </c>
      <c r="F2706" s="12" t="inlineStr">
        <is>
          <t>R1 MCC-C2</t>
        </is>
      </c>
      <c r="G2706" s="12" t="inlineStr">
        <is>
          <t>R-WT</t>
        </is>
      </c>
      <c r="H2706" s="12" t="inlineStr">
        <is>
          <t>Water treatment building (incl. R-WT electrical room)</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5" t="n">
        <v>1714</v>
      </c>
      <c r="U2706" s="15" t="n">
        <v>109</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E-C-0023</t>
        </is>
      </c>
      <c r="B2707" s="12" t="inlineStr">
        <is>
          <t>E</t>
        </is>
      </c>
      <c r="C2707" s="12" t="inlineStr">
        <is>
          <t>Water / utilities</t>
        </is>
      </c>
      <c r="D2707" s="12" t="inlineStr">
        <is>
          <t>Motor 4 of 20: control / local station</t>
        </is>
      </c>
      <c r="E2707" s="12" t="inlineStr">
        <is>
          <t>MCC-C2</t>
        </is>
      </c>
      <c r="F2707" s="12" t="inlineStr">
        <is>
          <t>R1 MCC-C2</t>
        </is>
      </c>
      <c r="G2707" s="12" t="inlineStr">
        <is>
          <t>R-WT</t>
        </is>
      </c>
      <c r="H2707" s="12" t="inlineStr">
        <is>
          <t>Water treatment building (incl. R-WT electrical room)</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5" t="n">
        <v>1714</v>
      </c>
      <c r="U2707" s="15" t="n">
        <v>109</v>
      </c>
      <c r="V2707" s="15">
        <f>ROUNDUP((T2707+U2707+2*'Read Me'!$B$13)*(1+'Read Me'!$B$12),-1)</f>
        <v/>
      </c>
      <c r="W2707" s="15">
        <f>V2707*N2707*O2707</f>
        <v/>
      </c>
      <c r="X2707" s="12">
        <f>IF(LEFT(I2707,2)="MV",2*N2707*IF(L2707="1/C",O2707,1),0)</f>
        <v/>
      </c>
      <c r="Y2707" s="12">
        <f>IF(OR(LEFT(K2707,4)="LVAX",LEFT(K2707,6)="MV15AX",LEFT(K2707,4)="CTAX",LEFT(K2707,2)="W|"),2*N2707*O2707,0)</f>
        <v/>
      </c>
      <c r="Z2707" s="12" t="inlineStr"/>
      <c r="AA2707" s="12">
        <f>N2707*O2707</f>
        <v/>
      </c>
    </row>
    <row r="2708">
      <c r="A2708" s="12" t="inlineStr">
        <is>
          <t>E-C-0024</t>
        </is>
      </c>
      <c r="B2708" s="12" t="inlineStr">
        <is>
          <t>E</t>
        </is>
      </c>
      <c r="C2708" s="12" t="inlineStr">
        <is>
          <t>Water / utilities</t>
        </is>
      </c>
      <c r="D2708" s="12" t="inlineStr">
        <is>
          <t>Motor 5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5" t="n">
        <v>1714</v>
      </c>
      <c r="U2708" s="15" t="n">
        <v>109</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E-C-0025</t>
        </is>
      </c>
      <c r="B2709" s="12" t="inlineStr">
        <is>
          <t>E</t>
        </is>
      </c>
      <c r="C2709" s="12" t="inlineStr">
        <is>
          <t>Water / utilities</t>
        </is>
      </c>
      <c r="D2709" s="12" t="inlineStr">
        <is>
          <t>Motor 6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5" t="n">
        <v>1714</v>
      </c>
      <c r="U2709" s="15" t="n">
        <v>109</v>
      </c>
      <c r="V2709" s="15">
        <f>ROUNDUP((T2709+U2709+2*'Read Me'!$B$13)*(1+'Read Me'!$B$12),-1)</f>
        <v/>
      </c>
      <c r="W2709" s="15">
        <f>V2709*N2709*O2709</f>
        <v/>
      </c>
      <c r="X2709" s="12">
        <f>IF(LEFT(I2709,2)="MV",2*N2709*IF(L2709="1/C",O2709,1),0)</f>
        <v/>
      </c>
      <c r="Y2709" s="12">
        <f>IF(OR(LEFT(K2709,4)="LVAX",LEFT(K2709,6)="MV15AX",LEFT(K2709,4)="CTAX",LEFT(K2709,2)="W|"),2*N2709*O2709,0)</f>
        <v/>
      </c>
      <c r="Z2709" s="12" t="inlineStr"/>
      <c r="AA2709" s="12">
        <f>N2709*O2709</f>
        <v/>
      </c>
    </row>
    <row r="2710">
      <c r="A2710" s="12" t="inlineStr">
        <is>
          <t>E-C-0026</t>
        </is>
      </c>
      <c r="B2710" s="12" t="inlineStr">
        <is>
          <t>E</t>
        </is>
      </c>
      <c r="C2710" s="12" t="inlineStr">
        <is>
          <t>Water / utilities</t>
        </is>
      </c>
      <c r="D2710" s="12" t="inlineStr">
        <is>
          <t>Motor 7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5" t="n">
        <v>1714</v>
      </c>
      <c r="U2710" s="15" t="n">
        <v>109</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E-C-0027</t>
        </is>
      </c>
      <c r="B2711" s="12" t="inlineStr">
        <is>
          <t>E</t>
        </is>
      </c>
      <c r="C2711" s="12" t="inlineStr">
        <is>
          <t>Water / utilities</t>
        </is>
      </c>
      <c r="D2711" s="12" t="inlineStr">
        <is>
          <t>Motor 8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5" t="n">
        <v>1714</v>
      </c>
      <c r="U2711" s="15" t="n">
        <v>109</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E-C-0028</t>
        </is>
      </c>
      <c r="B2712" s="12" t="inlineStr">
        <is>
          <t>E</t>
        </is>
      </c>
      <c r="C2712" s="12" t="inlineStr">
        <is>
          <t>Water / utilities</t>
        </is>
      </c>
      <c r="D2712" s="12" t="inlineStr">
        <is>
          <t>Motor 9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5" t="n">
        <v>1714</v>
      </c>
      <c r="U2712" s="15" t="n">
        <v>109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E-C-0029</t>
        </is>
      </c>
      <c r="B2713" s="12" t="inlineStr">
        <is>
          <t>E</t>
        </is>
      </c>
      <c r="C2713" s="12" t="inlineStr">
        <is>
          <t>Water / utilities</t>
        </is>
      </c>
      <c r="D2713" s="12" t="inlineStr">
        <is>
          <t>Motor 10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5" t="n">
        <v>1714</v>
      </c>
      <c r="U2713" s="15" t="n">
        <v>109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E-C-0030</t>
        </is>
      </c>
      <c r="B2714" s="12" t="inlineStr">
        <is>
          <t>E</t>
        </is>
      </c>
      <c r="C2714" s="12" t="inlineStr">
        <is>
          <t>Water / utilities</t>
        </is>
      </c>
      <c r="D2714" s="12" t="inlineStr">
        <is>
          <t>Motor 11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5" t="n">
        <v>1714</v>
      </c>
      <c r="U2714" s="15" t="n">
        <v>109</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E-C-0031</t>
        </is>
      </c>
      <c r="B2715" s="12" t="inlineStr">
        <is>
          <t>E</t>
        </is>
      </c>
      <c r="C2715" s="12" t="inlineStr">
        <is>
          <t>Water / utilities</t>
        </is>
      </c>
      <c r="D2715" s="12" t="inlineStr">
        <is>
          <t>Motor 12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5" t="n">
        <v>1714</v>
      </c>
      <c r="U2715" s="15" t="n">
        <v>109</v>
      </c>
      <c r="V2715" s="15">
        <f>ROUNDUP((T2715+U2715+2*'Read Me'!$B$13)*(1+'Read Me'!$B$12),-1)</f>
        <v/>
      </c>
      <c r="W2715" s="15">
        <f>V2715*N2715*O2715</f>
        <v/>
      </c>
      <c r="X2715" s="12">
        <f>IF(LEFT(I2715,2)="MV",2*N2715*IF(L2715="1/C",O2715,1),0)</f>
        <v/>
      </c>
      <c r="Y2715" s="12">
        <f>IF(OR(LEFT(K2715,4)="LVAX",LEFT(K2715,6)="MV15AX",LEFT(K2715,4)="CTAX",LEFT(K2715,2)="W|"),2*N2715*O2715,0)</f>
        <v/>
      </c>
      <c r="Z2715" s="12" t="inlineStr"/>
      <c r="AA2715" s="12">
        <f>N2715*O2715</f>
        <v/>
      </c>
    </row>
    <row r="2716">
      <c r="A2716" s="12" t="inlineStr">
        <is>
          <t>E-C-0032</t>
        </is>
      </c>
      <c r="B2716" s="12" t="inlineStr">
        <is>
          <t>E</t>
        </is>
      </c>
      <c r="C2716" s="12" t="inlineStr">
        <is>
          <t>Water / utilities</t>
        </is>
      </c>
      <c r="D2716" s="12" t="inlineStr">
        <is>
          <t>Motor 13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5" t="n">
        <v>1714</v>
      </c>
      <c r="U2716" s="15" t="n">
        <v>109</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E-C-0033</t>
        </is>
      </c>
      <c r="B2717" s="12" t="inlineStr">
        <is>
          <t>E</t>
        </is>
      </c>
      <c r="C2717" s="12" t="inlineStr">
        <is>
          <t>Water / utilities</t>
        </is>
      </c>
      <c r="D2717" s="12" t="inlineStr">
        <is>
          <t>Motor 14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5" t="n">
        <v>1714</v>
      </c>
      <c r="U2717" s="15" t="n">
        <v>109</v>
      </c>
      <c r="V2717" s="15">
        <f>ROUNDUP((T2717+U2717+2*'Read Me'!$B$13)*(1+'Read Me'!$B$12),-1)</f>
        <v/>
      </c>
      <c r="W2717" s="15">
        <f>V2717*N2717*O2717</f>
        <v/>
      </c>
      <c r="X2717" s="12">
        <f>IF(LEFT(I2717,2)="MV",2*N2717*IF(L2717="1/C",O2717,1),0)</f>
        <v/>
      </c>
      <c r="Y2717" s="12">
        <f>IF(OR(LEFT(K2717,4)="LVAX",LEFT(K2717,6)="MV15AX",LEFT(K2717,4)="CTAX",LEFT(K2717,2)="W|"),2*N2717*O2717,0)</f>
        <v/>
      </c>
      <c r="Z2717" s="12" t="inlineStr"/>
      <c r="AA2717" s="12">
        <f>N2717*O2717</f>
        <v/>
      </c>
    </row>
    <row r="2718">
      <c r="A2718" s="12" t="inlineStr">
        <is>
          <t>E-C-0034</t>
        </is>
      </c>
      <c r="B2718" s="12" t="inlineStr">
        <is>
          <t>E</t>
        </is>
      </c>
      <c r="C2718" s="12" t="inlineStr">
        <is>
          <t>Water / utilities</t>
        </is>
      </c>
      <c r="D2718" s="12" t="inlineStr">
        <is>
          <t>Motor 15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5" t="n">
        <v>1714</v>
      </c>
      <c r="U2718" s="15" t="n">
        <v>109</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E-C-0035</t>
        </is>
      </c>
      <c r="B2719" s="12" t="inlineStr">
        <is>
          <t>E</t>
        </is>
      </c>
      <c r="C2719" s="12" t="inlineStr">
        <is>
          <t>Water / utilities</t>
        </is>
      </c>
      <c r="D2719" s="12" t="inlineStr">
        <is>
          <t>Motor 16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5" t="n">
        <v>1714</v>
      </c>
      <c r="U2719" s="15" t="n">
        <v>109</v>
      </c>
      <c r="V2719" s="15">
        <f>ROUNDUP((T2719+U2719+2*'Read Me'!$B$13)*(1+'Read Me'!$B$12),-1)</f>
        <v/>
      </c>
      <c r="W2719" s="15">
        <f>V2719*N2719*O2719</f>
        <v/>
      </c>
      <c r="X2719" s="12">
        <f>IF(LEFT(I2719,2)="MV",2*N2719*IF(L2719="1/C",O2719,1),0)</f>
        <v/>
      </c>
      <c r="Y2719" s="12">
        <f>IF(OR(LEFT(K2719,4)="LVAX",LEFT(K2719,6)="MV15AX",LEFT(K2719,4)="CTAX",LEFT(K2719,2)="W|"),2*N2719*O2719,0)</f>
        <v/>
      </c>
      <c r="Z2719" s="12" t="inlineStr"/>
      <c r="AA2719" s="12">
        <f>N2719*O2719</f>
        <v/>
      </c>
    </row>
    <row r="2720">
      <c r="A2720" s="12" t="inlineStr">
        <is>
          <t>E-C-0036</t>
        </is>
      </c>
      <c r="B2720" s="12" t="inlineStr">
        <is>
          <t>E</t>
        </is>
      </c>
      <c r="C2720" s="12" t="inlineStr">
        <is>
          <t>Water / utilities</t>
        </is>
      </c>
      <c r="D2720" s="12" t="inlineStr">
        <is>
          <t>Motor 17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5" t="n">
        <v>1714</v>
      </c>
      <c r="U2720" s="15" t="n">
        <v>109</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E-C-0037</t>
        </is>
      </c>
      <c r="B2721" s="12" t="inlineStr">
        <is>
          <t>E</t>
        </is>
      </c>
      <c r="C2721" s="12" t="inlineStr">
        <is>
          <t>Water / utilities</t>
        </is>
      </c>
      <c r="D2721" s="12" t="inlineStr">
        <is>
          <t>Motor 18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5" t="n">
        <v>1714</v>
      </c>
      <c r="U2721" s="15" t="n">
        <v>109</v>
      </c>
      <c r="V2721" s="15">
        <f>ROUNDUP((T2721+U2721+2*'Read Me'!$B$13)*(1+'Read Me'!$B$12),-1)</f>
        <v/>
      </c>
      <c r="W2721" s="15">
        <f>V2721*N2721*O2721</f>
        <v/>
      </c>
      <c r="X2721" s="12">
        <f>IF(LEFT(I2721,2)="MV",2*N2721*IF(L2721="1/C",O2721,1),0)</f>
        <v/>
      </c>
      <c r="Y2721" s="12">
        <f>IF(OR(LEFT(K2721,4)="LVAX",LEFT(K2721,6)="MV15AX",LEFT(K2721,4)="CTAX",LEFT(K2721,2)="W|"),2*N2721*O2721,0)</f>
        <v/>
      </c>
      <c r="Z2721" s="12" t="inlineStr"/>
      <c r="AA2721" s="12">
        <f>N2721*O2721</f>
        <v/>
      </c>
    </row>
    <row r="2722">
      <c r="A2722" s="12" t="inlineStr">
        <is>
          <t>E-C-0038</t>
        </is>
      </c>
      <c r="B2722" s="12" t="inlineStr">
        <is>
          <t>E</t>
        </is>
      </c>
      <c r="C2722" s="12" t="inlineStr">
        <is>
          <t>Water / utilities</t>
        </is>
      </c>
      <c r="D2722" s="12" t="inlineStr">
        <is>
          <t>Motor 19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5" t="n">
        <v>1714</v>
      </c>
      <c r="U2722" s="15" t="n">
        <v>109</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E-C-0039</t>
        </is>
      </c>
      <c r="B2723" s="12" t="inlineStr">
        <is>
          <t>E</t>
        </is>
      </c>
      <c r="C2723" s="12" t="inlineStr">
        <is>
          <t>Water / utilities</t>
        </is>
      </c>
      <c r="D2723" s="12" t="inlineStr">
        <is>
          <t>Motor 20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5" t="n">
        <v>1714</v>
      </c>
      <c r="U2723" s="15" t="n">
        <v>109</v>
      </c>
      <c r="V2723" s="15">
        <f>ROUNDUP((T2723+U2723+2*'Read Me'!$B$13)*(1+'Read Me'!$B$12),-1)</f>
        <v/>
      </c>
      <c r="W2723" s="15">
        <f>V2723*N2723*O2723</f>
        <v/>
      </c>
      <c r="X2723" s="12">
        <f>IF(LEFT(I2723,2)="MV",2*N2723*IF(L2723="1/C",O2723,1),0)</f>
        <v/>
      </c>
      <c r="Y2723" s="12">
        <f>IF(OR(LEFT(K2723,4)="LVAX",LEFT(K2723,6)="MV15AX",LEFT(K2723,4)="CTAX",LEFT(K2723,2)="W|"),2*N2723*O2723,0)</f>
        <v/>
      </c>
      <c r="Z2723" s="12" t="inlineStr"/>
      <c r="AA2723" s="12">
        <f>N2723*O2723</f>
        <v/>
      </c>
    </row>
    <row r="2724">
      <c r="A2724" s="12" t="inlineStr">
        <is>
          <t>E-F-0001</t>
        </is>
      </c>
      <c r="B2724" s="12" t="inlineStr">
        <is>
          <t>E</t>
        </is>
      </c>
      <c r="C2724" s="12" t="inlineStr">
        <is>
          <t>Water / utilities</t>
        </is>
      </c>
      <c r="D2724" s="12" t="inlineStr">
        <is>
          <t>Plant network / DCS fibre</t>
        </is>
      </c>
      <c r="E2724" s="12" t="inlineStr">
        <is>
          <t>CR</t>
        </is>
      </c>
      <c r="F2724" s="12" t="inlineStr">
        <is>
          <t>Control / admin building (main control room)</t>
        </is>
      </c>
      <c r="G2724" s="12" t="inlineStr">
        <is>
          <t>R-WT</t>
        </is>
      </c>
      <c r="H2724" s="12" t="inlineStr">
        <is>
          <t>Water treatment building (incl. R-WT electrical room)</t>
        </is>
      </c>
      <c r="I2724" s="12" t="inlineStr">
        <is>
          <t>Fibre / data</t>
        </is>
      </c>
      <c r="J2724" s="12" t="inlineStr">
        <is>
          <t>Fibre optic, single-mode, 12-fibre, armored, orange jacket</t>
        </is>
      </c>
      <c r="K2724" s="12" t="inlineStr">
        <is>
          <t>FO|12 SM|-</t>
        </is>
      </c>
      <c r="L2724" s="12" t="inlineStr">
        <is>
          <t>12 SM</t>
        </is>
      </c>
      <c r="M2724" s="12" t="inlineStr">
        <is>
          <t>-</t>
        </is>
      </c>
      <c r="N2724" s="12" t="n">
        <v>1</v>
      </c>
      <c r="O2724" s="12" t="n">
        <v>1</v>
      </c>
      <c r="P2724" s="12" t="n"/>
      <c r="Q2724" s="12" t="n"/>
      <c r="R2724" s="12" t="n"/>
      <c r="S2724" s="12" t="inlineStr">
        <is>
          <t>Duct bank</t>
        </is>
      </c>
      <c r="T2724" s="15" t="n">
        <v>1194</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E-FA-0001</t>
        </is>
      </c>
      <c r="B2725" s="12" t="inlineStr">
        <is>
          <t>E</t>
        </is>
      </c>
      <c r="C2725" s="12" t="inlineStr">
        <is>
          <t>Water / utilities</t>
        </is>
      </c>
      <c r="D2725" s="12" t="inlineStr">
        <is>
          <t>Fire alarm / F&amp;G loop (to the local FACP / F&amp;G node)</t>
        </is>
      </c>
      <c r="E2725" s="12" t="inlineStr">
        <is>
          <t>R-WT</t>
        </is>
      </c>
      <c r="F2725" s="12" t="inlineStr">
        <is>
          <t>Water treatment building (incl. R-WT electrical room)</t>
        </is>
      </c>
      <c r="G2725" s="12" t="inlineStr"/>
      <c r="H2725" s="12" t="inlineStr">
        <is>
          <t>Auxiliary boiler</t>
        </is>
      </c>
      <c r="I2725" s="12" t="inlineStr">
        <is>
          <t>Fire alarm</t>
        </is>
      </c>
      <c r="J2725" s="12" t="inlineStr">
        <is>
          <t>Fire alarm FPLR 2/C #14 shielded, red jacket (NEC 760)</t>
        </is>
      </c>
      <c r="K2725" s="12" t="inlineStr">
        <is>
          <t>FA|2/C|14</t>
        </is>
      </c>
      <c r="L2725" s="12" t="inlineStr">
        <is>
          <t>2/C</t>
        </is>
      </c>
      <c r="M2725" s="12" t="inlineStr">
        <is>
          <t>14</t>
        </is>
      </c>
      <c r="N2725" s="12" t="n">
        <v>1</v>
      </c>
      <c r="O2725" s="12" t="n">
        <v>1</v>
      </c>
      <c r="P2725" s="12" t="n"/>
      <c r="Q2725" s="12" t="n"/>
      <c r="R2725" s="12" t="n"/>
      <c r="S2725" s="12" t="inlineStr">
        <is>
          <t>Duct bank</t>
        </is>
      </c>
      <c r="T2725" s="15" t="n">
        <v>370</v>
      </c>
      <c r="U2725" s="15" t="n">
        <v>52</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E-FA-0002</t>
        </is>
      </c>
      <c r="B2726" s="12" t="inlineStr">
        <is>
          <t>E</t>
        </is>
      </c>
      <c r="C2726" s="12" t="inlineStr">
        <is>
          <t>Water / utilities</t>
        </is>
      </c>
      <c r="D2726" s="12" t="inlineStr">
        <is>
          <t>Fire alarm / F&amp;G loop (to the local FACP / F&amp;G node)</t>
        </is>
      </c>
      <c r="E2726" s="12" t="inlineStr">
        <is>
          <t>R-WT</t>
        </is>
      </c>
      <c r="F2726" s="12" t="inlineStr">
        <is>
          <t>Water treatment building (incl. R-WT electrical room)</t>
        </is>
      </c>
      <c r="G2726" s="12" t="inlineStr"/>
      <c r="H2726" s="12" t="inlineStr">
        <is>
          <t>Fire pump house</t>
        </is>
      </c>
      <c r="I2726" s="12" t="inlineStr">
        <is>
          <t>Fire alarm</t>
        </is>
      </c>
      <c r="J2726" s="12" t="inlineStr">
        <is>
          <t>Fire alarm FPLR 2/C #14 shielded, red jacket (NEC 760)</t>
        </is>
      </c>
      <c r="K2726" s="12" t="inlineStr">
        <is>
          <t>FA|2/C|14</t>
        </is>
      </c>
      <c r="L2726" s="12" t="inlineStr">
        <is>
          <t>2/C</t>
        </is>
      </c>
      <c r="M2726" s="12" t="inlineStr">
        <is>
          <t>14</t>
        </is>
      </c>
      <c r="N2726" s="12" t="n">
        <v>1</v>
      </c>
      <c r="O2726" s="12" t="n">
        <v>1</v>
      </c>
      <c r="P2726" s="12" t="n"/>
      <c r="Q2726" s="12" t="n"/>
      <c r="R2726" s="12" t="n"/>
      <c r="S2726" s="12" t="inlineStr">
        <is>
          <t>Conduit link</t>
        </is>
      </c>
      <c r="T2726" s="15" t="n">
        <v>214</v>
      </c>
      <c r="U2726" s="15" t="n">
        <v>32</v>
      </c>
      <c r="V2726" s="15">
        <f>ROUNDUP((T2726+U2726+2*'Read Me'!$B$13)*(1+'Read Me'!$B$12),-1)</f>
        <v/>
      </c>
      <c r="W2726" s="15">
        <f>V2726*N2726*O2726</f>
        <v/>
      </c>
      <c r="X2726" s="12">
        <f>IF(LEFT(I2726,2)="MV",2*N2726*IF(L2726="1/C",O2726,1),0)</f>
        <v/>
      </c>
      <c r="Y2726" s="12">
        <f>IF(OR(LEFT(K2726,4)="LVAX",LEFT(K2726,6)="MV15AX",LEFT(K2726,4)="CTAX",LEFT(K2726,2)="W|"),2*N2726*O2726,0)</f>
        <v/>
      </c>
      <c r="Z2726" s="12" t="inlineStr"/>
      <c r="AA2726" s="12">
        <f>N2726*O2726</f>
        <v/>
      </c>
    </row>
    <row r="2727">
      <c r="A2727" s="12" t="inlineStr">
        <is>
          <t>E-FA-0003</t>
        </is>
      </c>
      <c r="B2727" s="12" t="inlineStr">
        <is>
          <t>E</t>
        </is>
      </c>
      <c r="C2727" s="12" t="inlineStr">
        <is>
          <t>Water / utilities</t>
        </is>
      </c>
      <c r="D2727" s="12" t="inlineStr">
        <is>
          <t>Fire alarm / F&amp;G loop (to the local FACP / F&amp;G node)</t>
        </is>
      </c>
      <c r="E2727" s="12" t="inlineStr">
        <is>
          <t>R-WT</t>
        </is>
      </c>
      <c r="F2727" s="12" t="inlineStr">
        <is>
          <t>Water treatment building (incl. R-WT electrical room)</t>
        </is>
      </c>
      <c r="G2727" s="12" t="inlineStr">
        <is>
          <t>R-WT</t>
        </is>
      </c>
      <c r="H2727" s="12" t="inlineStr">
        <is>
          <t>Water treatment building (incl. R-WT electrical room)</t>
        </is>
      </c>
      <c r="I2727" s="12" t="inlineStr">
        <is>
          <t>Fire alarm</t>
        </is>
      </c>
      <c r="J2727" s="12" t="inlineStr">
        <is>
          <t>Fire alarm FPLR 2/C #14 shielded, red jacket (NEC 760)</t>
        </is>
      </c>
      <c r="K2727" s="12" t="inlineStr">
        <is>
          <t>FA|2/C|14</t>
        </is>
      </c>
      <c r="L2727" s="12" t="inlineStr">
        <is>
          <t>2/C</t>
        </is>
      </c>
      <c r="M2727" s="12" t="inlineStr">
        <is>
          <t>14</t>
        </is>
      </c>
      <c r="N2727" s="12" t="n">
        <v>1</v>
      </c>
      <c r="O2727" s="12" t="n">
        <v>1</v>
      </c>
      <c r="P2727" s="12" t="n"/>
      <c r="Q2727" s="12" t="n"/>
      <c r="R2727" s="12" t="n"/>
      <c r="S2727" s="12" t="inlineStr">
        <is>
          <t>Tray</t>
        </is>
      </c>
      <c r="T2727" s="15" t="n">
        <v>0</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E-I-0001</t>
        </is>
      </c>
      <c r="B2728" s="12" t="inlineStr">
        <is>
          <t>E</t>
        </is>
      </c>
      <c r="C2728" s="12" t="inlineStr">
        <is>
          <t>Water / utilities</t>
        </is>
      </c>
      <c r="D2728" s="12" t="inlineStr">
        <is>
          <t>Analog instrument to JB JB-Ammonia storage (a-AI01: 8 x 1 pr (field cables)</t>
        </is>
      </c>
      <c r="E2728" s="12" t="inlineStr"/>
      <c r="F2728" s="12" t="inlineStr">
        <is>
          <t>Ammonia storage (aqueous, SCR reagent)</t>
        </is>
      </c>
      <c r="G2728" s="12" t="inlineStr">
        <is>
          <t>JB-Ammonia storage (a-AI01</t>
        </is>
      </c>
      <c r="H2728" s="12" t="inlineStr">
        <is>
          <t>Ammonia storage (aqueous, SCR reagent)</t>
        </is>
      </c>
      <c r="I2728" s="12" t="inlineStr">
        <is>
          <t>Instrumentation</t>
        </is>
      </c>
      <c r="J2728" s="12" t="inlineStr">
        <is>
          <t>Instrumentation PLTC / TC-ER 300 V, #18 twisted shielded pairs, overall shield</t>
        </is>
      </c>
      <c r="K2728" s="12" t="inlineStr">
        <is>
          <t>PLTC|1 pr|16</t>
        </is>
      </c>
      <c r="L2728" s="12" t="inlineStr">
        <is>
          <t>1 pr</t>
        </is>
      </c>
      <c r="M2728" s="12" t="inlineStr">
        <is>
          <t>16</t>
        </is>
      </c>
      <c r="N2728" s="12" t="n">
        <v>8</v>
      </c>
      <c r="O2728" s="12" t="n">
        <v>1</v>
      </c>
      <c r="P2728" s="12" t="n"/>
      <c r="Q2728" s="12" t="n"/>
      <c r="R2728" s="12" t="n"/>
      <c r="S2728" s="12" t="inlineStr">
        <is>
          <t>Tray / conduit</t>
        </is>
      </c>
      <c r="T2728" s="15" t="n">
        <v>90</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E-I-0002</t>
        </is>
      </c>
      <c r="B2729" s="12" t="inlineStr">
        <is>
          <t>E</t>
        </is>
      </c>
      <c r="C2729" s="12" t="inlineStr">
        <is>
          <t>Water / utilities</t>
        </is>
      </c>
      <c r="D2729" s="12" t="inlineStr">
        <is>
          <t>Home run JB-Ammonia storage (a-AI01 to the control / marshalling room</t>
        </is>
      </c>
      <c r="E2729" s="12" t="inlineStr">
        <is>
          <t>R-WT</t>
        </is>
      </c>
      <c r="F2729" s="12" t="inlineStr">
        <is>
          <t>Water treatment building (incl. R-WT electrical room)</t>
        </is>
      </c>
      <c r="G2729" s="12" t="inlineStr">
        <is>
          <t>JB-Ammonia storage (a-AI01</t>
        </is>
      </c>
      <c r="H2729" s="12" t="inlineStr">
        <is>
          <t>Ammonia storage (aqueous, SCR reagent)</t>
        </is>
      </c>
      <c r="I2729" s="12" t="inlineStr">
        <is>
          <t>Instrumentation</t>
        </is>
      </c>
      <c r="J2729" s="12" t="inlineStr">
        <is>
          <t>Instrumentation PLTC / TC-ER 300 V, #18 twisted shielded pairs, overall shield</t>
        </is>
      </c>
      <c r="K2729" s="12" t="inlineStr">
        <is>
          <t>PLTC|24 pr|18</t>
        </is>
      </c>
      <c r="L2729" s="12" t="inlineStr">
        <is>
          <t>24 pr</t>
        </is>
      </c>
      <c r="M2729" s="12" t="inlineStr">
        <is>
          <t>18</t>
        </is>
      </c>
      <c r="N2729" s="12" t="n">
        <v>1</v>
      </c>
      <c r="O2729" s="12" t="n">
        <v>1</v>
      </c>
      <c r="P2729" s="12" t="n"/>
      <c r="Q2729" s="12" t="n"/>
      <c r="R2729" s="12" t="n"/>
      <c r="S2729" s="12" t="inlineStr">
        <is>
          <t>Duct bank</t>
        </is>
      </c>
      <c r="T2729" s="15" t="n">
        <v>292</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E-I-0003</t>
        </is>
      </c>
      <c r="B2730" s="12" t="inlineStr">
        <is>
          <t>E</t>
        </is>
      </c>
      <c r="C2730" s="12" t="inlineStr">
        <is>
          <t>Water / utilities</t>
        </is>
      </c>
      <c r="D2730" s="12" t="inlineStr">
        <is>
          <t>Discrete device to JB JB-Ammonia storage (a-DI01: 10 x 1 pr (field cables)</t>
        </is>
      </c>
      <c r="E2730" s="12" t="inlineStr"/>
      <c r="F2730" s="12" t="inlineStr">
        <is>
          <t>Ammonia storage (aqueous, SCR reagent)</t>
        </is>
      </c>
      <c r="G2730" s="12" t="inlineStr">
        <is>
          <t>JB-Ammonia storage (a-DI01</t>
        </is>
      </c>
      <c r="H2730" s="12" t="inlineStr">
        <is>
          <t>Ammonia storage (aqueous, SCR reagent)</t>
        </is>
      </c>
      <c r="I2730" s="12" t="inlineStr">
        <is>
          <t>Instrumentation</t>
        </is>
      </c>
      <c r="J2730" s="12" t="inlineStr">
        <is>
          <t>Instrumentation PLTC / TC-ER 300 V, #18 twisted shielded pairs, overall shield</t>
        </is>
      </c>
      <c r="K2730" s="12" t="inlineStr">
        <is>
          <t>PLTC|1 pr|16</t>
        </is>
      </c>
      <c r="L2730" s="12" t="inlineStr">
        <is>
          <t>1 pr</t>
        </is>
      </c>
      <c r="M2730" s="12" t="inlineStr">
        <is>
          <t>16</t>
        </is>
      </c>
      <c r="N2730" s="12" t="n">
        <v>10</v>
      </c>
      <c r="O2730" s="12" t="n">
        <v>1</v>
      </c>
      <c r="P2730" s="12" t="n"/>
      <c r="Q2730" s="12" t="n"/>
      <c r="R2730" s="12" t="n"/>
      <c r="S2730" s="12" t="inlineStr">
        <is>
          <t>Tray / conduit</t>
        </is>
      </c>
      <c r="T2730" s="15" t="n">
        <v>90</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E-I-0004</t>
        </is>
      </c>
      <c r="B2731" s="12" t="inlineStr">
        <is>
          <t>E</t>
        </is>
      </c>
      <c r="C2731" s="12" t="inlineStr">
        <is>
          <t>Water / utilities</t>
        </is>
      </c>
      <c r="D2731" s="12" t="inlineStr">
        <is>
          <t>Home run JB-Ammonia storage (a-DI01 to the control / marshalling room</t>
        </is>
      </c>
      <c r="E2731" s="12" t="inlineStr">
        <is>
          <t>R-WT</t>
        </is>
      </c>
      <c r="F2731" s="12" t="inlineStr">
        <is>
          <t>Water treatment building (incl. R-WT electrical room)</t>
        </is>
      </c>
      <c r="G2731" s="12" t="inlineStr">
        <is>
          <t>JB-Ammonia storage (a-DI01</t>
        </is>
      </c>
      <c r="H2731" s="12" t="inlineStr">
        <is>
          <t>Ammonia storage (aqueous, SCR reagent)</t>
        </is>
      </c>
      <c r="I2731" s="12" t="inlineStr">
        <is>
          <t>Instrumentation</t>
        </is>
      </c>
      <c r="J2731" s="12" t="inlineStr">
        <is>
          <t>Instrumentation PLTC / TC-ER 300 V, #18 twisted shielded pairs, overall shield</t>
        </is>
      </c>
      <c r="K2731" s="12" t="inlineStr">
        <is>
          <t>PLTC|24 pr|18</t>
        </is>
      </c>
      <c r="L2731" s="12" t="inlineStr">
        <is>
          <t>24 pr</t>
        </is>
      </c>
      <c r="M2731" s="12" t="inlineStr">
        <is>
          <t>18</t>
        </is>
      </c>
      <c r="N2731" s="12" t="n">
        <v>1</v>
      </c>
      <c r="O2731" s="12" t="n">
        <v>1</v>
      </c>
      <c r="P2731" s="12" t="n"/>
      <c r="Q2731" s="12" t="n"/>
      <c r="R2731" s="12" t="n"/>
      <c r="S2731" s="12" t="inlineStr">
        <is>
          <t>Duct bank</t>
        </is>
      </c>
      <c r="T2731" s="15" t="n">
        <v>292</v>
      </c>
      <c r="U2731" s="15" t="n">
        <v>32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E-I-0005</t>
        </is>
      </c>
      <c r="B2732" s="12" t="inlineStr">
        <is>
          <t>E</t>
        </is>
      </c>
      <c r="C2732" s="12" t="inlineStr">
        <is>
          <t>Water / utilities</t>
        </is>
      </c>
      <c r="D2732" s="12" t="inlineStr">
        <is>
          <t>Analog instrument to JB JB-Auxiliary boiler-AI01: 20 x 1 pr (field cables)</t>
        </is>
      </c>
      <c r="E2732" s="12" t="inlineStr"/>
      <c r="F2732" s="12" t="inlineStr">
        <is>
          <t>Auxiliary boiler</t>
        </is>
      </c>
      <c r="G2732" s="12" t="inlineStr">
        <is>
          <t>JB-Auxiliary boiler-AI01</t>
        </is>
      </c>
      <c r="H2732" s="12" t="inlineStr">
        <is>
          <t>Auxiliary boiler</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20</v>
      </c>
      <c r="O2732" s="12" t="n">
        <v>1</v>
      </c>
      <c r="P2732" s="12" t="n"/>
      <c r="Q2732" s="12" t="n"/>
      <c r="R2732" s="12" t="n"/>
      <c r="S2732" s="12" t="inlineStr">
        <is>
          <t>Tray / conduit</t>
        </is>
      </c>
      <c r="T2732" s="15" t="n">
        <v>128</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E-I-0006</t>
        </is>
      </c>
      <c r="B2733" s="12" t="inlineStr">
        <is>
          <t>E</t>
        </is>
      </c>
      <c r="C2733" s="12" t="inlineStr">
        <is>
          <t>Water / utilities</t>
        </is>
      </c>
      <c r="D2733" s="12" t="inlineStr">
        <is>
          <t>Home run JB-Auxiliary boiler-AI01 to the control / marshalling room</t>
        </is>
      </c>
      <c r="E2733" s="12" t="inlineStr">
        <is>
          <t>R-WT</t>
        </is>
      </c>
      <c r="F2733" s="12" t="inlineStr">
        <is>
          <t>Water treatment building (incl. R-WT electrical room)</t>
        </is>
      </c>
      <c r="G2733" s="12" t="inlineStr">
        <is>
          <t>JB-Auxiliary boiler-AI01</t>
        </is>
      </c>
      <c r="H2733" s="12" t="inlineStr">
        <is>
          <t>Auxiliary boiler</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5" t="n">
        <v>370</v>
      </c>
      <c r="U2733" s="15" t="n">
        <v>52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E-I-0007</t>
        </is>
      </c>
      <c r="B2734" s="12" t="inlineStr">
        <is>
          <t>E</t>
        </is>
      </c>
      <c r="C2734" s="12" t="inlineStr">
        <is>
          <t>Water / utilities</t>
        </is>
      </c>
      <c r="D2734" s="12" t="inlineStr">
        <is>
          <t>Analog instrument to JB JB-Auxiliary boiler-AI02: 5 x 1 pr (field cables)</t>
        </is>
      </c>
      <c r="E2734" s="12" t="inlineStr"/>
      <c r="F2734" s="12" t="inlineStr">
        <is>
          <t>Auxiliary boiler</t>
        </is>
      </c>
      <c r="G2734" s="12" t="inlineStr">
        <is>
          <t>JB-Auxiliary boiler-AI02</t>
        </is>
      </c>
      <c r="H2734" s="12" t="inlineStr">
        <is>
          <t>Auxiliary boiler</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5</v>
      </c>
      <c r="O2734" s="12" t="n">
        <v>1</v>
      </c>
      <c r="P2734" s="12" t="n"/>
      <c r="Q2734" s="12" t="n"/>
      <c r="R2734" s="12" t="n"/>
      <c r="S2734" s="12" t="inlineStr">
        <is>
          <t>Tray / conduit</t>
        </is>
      </c>
      <c r="T2734" s="15" t="n">
        <v>128</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E-I-0008</t>
        </is>
      </c>
      <c r="B2735" s="12" t="inlineStr">
        <is>
          <t>E</t>
        </is>
      </c>
      <c r="C2735" s="12" t="inlineStr">
        <is>
          <t>Water / utilities</t>
        </is>
      </c>
      <c r="D2735" s="12" t="inlineStr">
        <is>
          <t>Home run JB-Auxiliary boiler-AI02 to the control / marshalling room</t>
        </is>
      </c>
      <c r="E2735" s="12" t="inlineStr">
        <is>
          <t>R-WT</t>
        </is>
      </c>
      <c r="F2735" s="12" t="inlineStr">
        <is>
          <t>Water treatment building (incl. R-WT electrical room)</t>
        </is>
      </c>
      <c r="G2735" s="12" t="inlineStr">
        <is>
          <t>JB-Auxiliary boiler-AI02</t>
        </is>
      </c>
      <c r="H2735" s="12" t="inlineStr">
        <is>
          <t>Auxiliary boiler</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5" t="n">
        <v>370</v>
      </c>
      <c r="U2735" s="15" t="n">
        <v>52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E-I-0009</t>
        </is>
      </c>
      <c r="B2736" s="12" t="inlineStr">
        <is>
          <t>E</t>
        </is>
      </c>
      <c r="C2736" s="12" t="inlineStr">
        <is>
          <t>Water / utilities</t>
        </is>
      </c>
      <c r="D2736" s="12" t="inlineStr">
        <is>
          <t>Discrete device to JB JB-Auxiliary boiler-DI01: 20 x 1 pr (field cables)</t>
        </is>
      </c>
      <c r="E2736" s="12" t="inlineStr"/>
      <c r="F2736" s="12" t="inlineStr">
        <is>
          <t>Auxiliary boiler</t>
        </is>
      </c>
      <c r="G2736" s="12" t="inlineStr">
        <is>
          <t>JB-Auxiliary boiler-DI01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5" t="n">
        <v>128</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E-I-0010</t>
        </is>
      </c>
      <c r="B2737" s="12" t="inlineStr">
        <is>
          <t>E</t>
        </is>
      </c>
      <c r="C2737" s="12" t="inlineStr">
        <is>
          <t>Water / utilities</t>
        </is>
      </c>
      <c r="D2737" s="12" t="inlineStr">
        <is>
          <t>Home run JB-Auxiliary boiler-DI01 to the control / marshalling room</t>
        </is>
      </c>
      <c r="E2737" s="12" t="inlineStr">
        <is>
          <t>R-WT</t>
        </is>
      </c>
      <c r="F2737" s="12" t="inlineStr">
        <is>
          <t>Water treatment building (incl. R-WT electrical room)</t>
        </is>
      </c>
      <c r="G2737" s="12" t="inlineStr">
        <is>
          <t>JB-Auxiliary boiler-DI01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5" t="n">
        <v>370</v>
      </c>
      <c r="U2737" s="15" t="n">
        <v>52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E-I-0011</t>
        </is>
      </c>
      <c r="B2738" s="12" t="inlineStr">
        <is>
          <t>E</t>
        </is>
      </c>
      <c r="C2738" s="12" t="inlineStr">
        <is>
          <t>Water / utilities</t>
        </is>
      </c>
      <c r="D2738" s="12" t="inlineStr">
        <is>
          <t>Discrete device to JB JB-Auxiliary boiler-DI02: 5 x 1 pr (field cables)</t>
        </is>
      </c>
      <c r="E2738" s="12" t="inlineStr"/>
      <c r="F2738" s="12" t="inlineStr">
        <is>
          <t>Auxiliary boiler</t>
        </is>
      </c>
      <c r="G2738" s="12" t="inlineStr">
        <is>
          <t>JB-Auxiliary boiler-DI02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5" t="n">
        <v>128</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E-I-0012</t>
        </is>
      </c>
      <c r="B2739" s="12" t="inlineStr">
        <is>
          <t>E</t>
        </is>
      </c>
      <c r="C2739" s="12" t="inlineStr">
        <is>
          <t>Water / utilities</t>
        </is>
      </c>
      <c r="D2739" s="12" t="inlineStr">
        <is>
          <t>Home run JB-Auxiliary boiler-DI02 to the control / marshalling room</t>
        </is>
      </c>
      <c r="E2739" s="12" t="inlineStr">
        <is>
          <t>R-WT</t>
        </is>
      </c>
      <c r="F2739" s="12" t="inlineStr">
        <is>
          <t>Water treatment building (incl. R-WT electrical room)</t>
        </is>
      </c>
      <c r="G2739" s="12" t="inlineStr">
        <is>
          <t>JB-Auxiliary boiler-DI02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5" t="n">
        <v>370</v>
      </c>
      <c r="U2739" s="15" t="n">
        <v>52</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E-I-0013</t>
        </is>
      </c>
      <c r="B2740" s="12" t="inlineStr">
        <is>
          <t>E</t>
        </is>
      </c>
      <c r="C2740" s="12" t="inlineStr">
        <is>
          <t>Water / utilities</t>
        </is>
      </c>
      <c r="D2740" s="12" t="inlineStr">
        <is>
          <t>Instrumentation</t>
        </is>
      </c>
      <c r="E2740" s="12" t="inlineStr">
        <is>
          <t>R-WT</t>
        </is>
      </c>
      <c r="F2740" s="12" t="inlineStr">
        <is>
          <t>Water treatment building (incl. R-WT electrical room)</t>
        </is>
      </c>
      <c r="G2740" s="12" t="inlineStr">
        <is>
          <t>CPR-2</t>
        </is>
      </c>
      <c r="H2740" s="12" t="inlineStr">
        <is>
          <t>CPR-2: cathodic-protection rectifier</t>
        </is>
      </c>
      <c r="I2740" s="12" t="inlineStr">
        <is>
          <t>Instrumentation</t>
        </is>
      </c>
      <c r="J2740" s="12" t="inlineStr">
        <is>
          <t>Instrumentation PLTC / TC-ER 300 V, #18 twisted shielded pairs, overall shield</t>
        </is>
      </c>
      <c r="K2740" s="12" t="inlineStr">
        <is>
          <t>PLTC|4 pr|18</t>
        </is>
      </c>
      <c r="L2740" s="12" t="inlineStr">
        <is>
          <t>4 pr</t>
        </is>
      </c>
      <c r="M2740" s="12" t="inlineStr">
        <is>
          <t>18</t>
        </is>
      </c>
      <c r="N2740" s="12" t="n">
        <v>1</v>
      </c>
      <c r="O2740" s="12" t="n">
        <v>1</v>
      </c>
      <c r="P2740" s="12" t="n"/>
      <c r="Q2740" s="12" t="n"/>
      <c r="R2740" s="12" t="n"/>
      <c r="S2740" s="12" t="inlineStr">
        <is>
          <t>Conduit link</t>
        </is>
      </c>
      <c r="T2740" s="15" t="n">
        <v>169</v>
      </c>
      <c r="U2740" s="15" t="n">
        <v>32</v>
      </c>
      <c r="V2740" s="15">
        <f>ROUNDUP((T2740+U2740+2*'Read Me'!$B$13)*(1+'Read Me'!$B$12),-1)</f>
        <v/>
      </c>
      <c r="W2740" s="15">
        <f>V2740*N2740*O2740</f>
        <v/>
      </c>
      <c r="X2740" s="12">
        <f>IF(LEFT(I2740,2)="MV",2*N2740*IF(L2740="1/C",O2740,1),0)</f>
        <v/>
      </c>
      <c r="Y2740" s="12">
        <f>IF(OR(LEFT(K2740,4)="LVAX",LEFT(K2740,6)="MV15AX",LEFT(K2740,4)="CTAX",LEFT(K2740,2)="W|"),2*N2740*O2740,0)</f>
        <v/>
      </c>
      <c r="Z2740" s="12" t="inlineStr"/>
      <c r="AA2740" s="12">
        <f>N2740*O2740</f>
        <v/>
      </c>
    </row>
    <row r="2741">
      <c r="A2741" s="12" t="inlineStr">
        <is>
          <t>E-I-0014</t>
        </is>
      </c>
      <c r="B2741" s="12" t="inlineStr">
        <is>
          <t>E</t>
        </is>
      </c>
      <c r="C2741" s="12" t="inlineStr">
        <is>
          <t>Water / utilities</t>
        </is>
      </c>
      <c r="D2741" s="12" t="inlineStr">
        <is>
          <t>Analog instrument to JB JB-Demineralised wate-AI01: 4 x 1 pr (field cables)</t>
        </is>
      </c>
      <c r="E2741" s="12" t="inlineStr"/>
      <c r="F2741" s="12" t="inlineStr">
        <is>
          <t>Demineralised water tank</t>
        </is>
      </c>
      <c r="G2741" s="12" t="inlineStr">
        <is>
          <t>JB-Demineralised wate-AI01</t>
        </is>
      </c>
      <c r="H2741" s="12" t="inlineStr">
        <is>
          <t>Demineralised water tank</t>
        </is>
      </c>
      <c r="I2741" s="12" t="inlineStr">
        <is>
          <t>Instrumentation</t>
        </is>
      </c>
      <c r="J2741" s="12" t="inlineStr">
        <is>
          <t>Instrumentation PLTC / TC-ER 300 V, #18 twisted shielded pairs, overall shield</t>
        </is>
      </c>
      <c r="K2741" s="12" t="inlineStr">
        <is>
          <t>PLTC|1 pr|16</t>
        </is>
      </c>
      <c r="L2741" s="12" t="inlineStr">
        <is>
          <t>1 pr</t>
        </is>
      </c>
      <c r="M2741" s="12" t="inlineStr">
        <is>
          <t>16</t>
        </is>
      </c>
      <c r="N2741" s="12" t="n">
        <v>4</v>
      </c>
      <c r="O2741" s="12" t="n">
        <v>1</v>
      </c>
      <c r="P2741" s="12" t="n"/>
      <c r="Q2741" s="12" t="n"/>
      <c r="R2741" s="12" t="n"/>
      <c r="S2741" s="12" t="inlineStr">
        <is>
          <t>Tray / conduit</t>
        </is>
      </c>
      <c r="T2741" s="15" t="n">
        <v>86</v>
      </c>
      <c r="U2741" s="15" t="n">
        <v>10</v>
      </c>
      <c r="V2741" s="15">
        <f>ROUNDUP((T2741+U2741+2*'Read Me'!$B$13)*(1+'Read Me'!$B$12),-1)</f>
        <v/>
      </c>
      <c r="W2741" s="15">
        <f>V2741*N2741*O2741</f>
        <v/>
      </c>
      <c r="X2741" s="12">
        <f>IF(LEFT(I2741,2)="MV",2*N2741*IF(L2741="1/C",O2741,1),0)</f>
        <v/>
      </c>
      <c r="Y2741" s="12">
        <f>IF(OR(LEFT(K2741,4)="LVAX",LEFT(K2741,6)="MV15AX",LEFT(K2741,4)="CTAX",LEFT(K2741,2)="W|"),2*N2741*O2741,0)</f>
        <v/>
      </c>
      <c r="Z2741" s="12" t="inlineStr">
        <is>
          <t>device-to-JB field wiring, one cable per device</t>
        </is>
      </c>
      <c r="AA2741" s="12">
        <f>N2741*O2741</f>
        <v/>
      </c>
    </row>
    <row r="2742">
      <c r="A2742" s="12" t="inlineStr">
        <is>
          <t>E-I-0015</t>
        </is>
      </c>
      <c r="B2742" s="12" t="inlineStr">
        <is>
          <t>E</t>
        </is>
      </c>
      <c r="C2742" s="12" t="inlineStr">
        <is>
          <t>Water / utilities</t>
        </is>
      </c>
      <c r="D2742" s="12" t="inlineStr">
        <is>
          <t>Home run JB-Demineralised wate-AI01 to the control / marshalling room</t>
        </is>
      </c>
      <c r="E2742" s="12" t="inlineStr">
        <is>
          <t>R-WT</t>
        </is>
      </c>
      <c r="F2742" s="12" t="inlineStr">
        <is>
          <t>Water treatment building (incl. R-WT electrical room)</t>
        </is>
      </c>
      <c r="G2742" s="12" t="inlineStr">
        <is>
          <t>JB-Demineralised wate-AI01</t>
        </is>
      </c>
      <c r="H2742" s="12" t="inlineStr">
        <is>
          <t>Demineralised water tank</t>
        </is>
      </c>
      <c r="I2742" s="12" t="inlineStr">
        <is>
          <t>Instrumentation</t>
        </is>
      </c>
      <c r="J2742" s="12" t="inlineStr">
        <is>
          <t>Instrumentation PLTC / TC-ER 300 V, #18 twisted shielded pairs, overall shield</t>
        </is>
      </c>
      <c r="K2742" s="12" t="inlineStr">
        <is>
          <t>PLTC|24 pr|18</t>
        </is>
      </c>
      <c r="L2742" s="12" t="inlineStr">
        <is>
          <t>24 pr</t>
        </is>
      </c>
      <c r="M2742" s="12" t="inlineStr">
        <is>
          <t>18</t>
        </is>
      </c>
      <c r="N2742" s="12" t="n">
        <v>1</v>
      </c>
      <c r="O2742" s="12" t="n">
        <v>1</v>
      </c>
      <c r="P2742" s="12" t="n"/>
      <c r="Q2742" s="12" t="n"/>
      <c r="R2742" s="12" t="n"/>
      <c r="S2742" s="12" t="inlineStr">
        <is>
          <t>Conduit link</t>
        </is>
      </c>
      <c r="T2742" s="15" t="n">
        <v>40</v>
      </c>
      <c r="U2742" s="15" t="n">
        <v>79</v>
      </c>
      <c r="V2742" s="15">
        <f>ROUNDUP((T2742+U2742+2*'Read Me'!$B$13)*(1+'Read Me'!$B$12),-1)</f>
        <v/>
      </c>
      <c r="W2742" s="15">
        <f>V2742*N2742*O2742</f>
        <v/>
      </c>
      <c r="X2742" s="12">
        <f>IF(LEFT(I2742,2)="MV",2*N2742*IF(L2742="1/C",O2742,1),0)</f>
        <v/>
      </c>
      <c r="Y2742" s="12">
        <f>IF(OR(LEFT(K2742,4)="LVAX",LEFT(K2742,6)="MV15AX",LEFT(K2742,4)="CTAX",LEFT(K2742,2)="W|"),2*N2742*O2742,0)</f>
        <v/>
      </c>
      <c r="Z2742" s="12" t="inlineStr"/>
      <c r="AA2742" s="12">
        <f>N2742*O2742</f>
        <v/>
      </c>
    </row>
    <row r="2743">
      <c r="A2743" s="12" t="inlineStr">
        <is>
          <t>E-I-0016</t>
        </is>
      </c>
      <c r="B2743" s="12" t="inlineStr">
        <is>
          <t>E</t>
        </is>
      </c>
      <c r="C2743" s="12" t="inlineStr">
        <is>
          <t>Water / utilities</t>
        </is>
      </c>
      <c r="D2743" s="12" t="inlineStr">
        <is>
          <t>Discrete device to JB JB-Demineralised wate-DI01: 4 x 1 pr (field cables)</t>
        </is>
      </c>
      <c r="E2743" s="12" t="inlineStr"/>
      <c r="F2743" s="12" t="inlineStr">
        <is>
          <t>Demineralised water tank</t>
        </is>
      </c>
      <c r="G2743" s="12" t="inlineStr">
        <is>
          <t>JB-Demineralised wate-DI01</t>
        </is>
      </c>
      <c r="H2743" s="12" t="inlineStr">
        <is>
          <t>Demineralised water tank</t>
        </is>
      </c>
      <c r="I2743" s="12" t="inlineStr">
        <is>
          <t>Instrumentation</t>
        </is>
      </c>
      <c r="J2743" s="12" t="inlineStr">
        <is>
          <t>Instrumentation PLTC / TC-ER 300 V, #18 twisted shielded pairs, overall shield</t>
        </is>
      </c>
      <c r="K2743" s="12" t="inlineStr">
        <is>
          <t>PLTC|1 pr|16</t>
        </is>
      </c>
      <c r="L2743" s="12" t="inlineStr">
        <is>
          <t>1 pr</t>
        </is>
      </c>
      <c r="M2743" s="12" t="inlineStr">
        <is>
          <t>16</t>
        </is>
      </c>
      <c r="N2743" s="12" t="n">
        <v>4</v>
      </c>
      <c r="O2743" s="12" t="n">
        <v>1</v>
      </c>
      <c r="P2743" s="12" t="n"/>
      <c r="Q2743" s="12" t="n"/>
      <c r="R2743" s="12" t="n"/>
      <c r="S2743" s="12" t="inlineStr">
        <is>
          <t>Tray / conduit</t>
        </is>
      </c>
      <c r="T2743" s="15" t="n">
        <v>86</v>
      </c>
      <c r="U2743" s="15" t="n">
        <v>10</v>
      </c>
      <c r="V2743" s="15">
        <f>ROUNDUP((T2743+U2743+2*'Read Me'!$B$13)*(1+'Read Me'!$B$12),-1)</f>
        <v/>
      </c>
      <c r="W2743" s="15">
        <f>V2743*N2743*O2743</f>
        <v/>
      </c>
      <c r="X2743" s="12">
        <f>IF(LEFT(I2743,2)="MV",2*N2743*IF(L2743="1/C",O2743,1),0)</f>
        <v/>
      </c>
      <c r="Y2743" s="12">
        <f>IF(OR(LEFT(K2743,4)="LVAX",LEFT(K2743,6)="MV15AX",LEFT(K2743,4)="CTAX",LEFT(K2743,2)="W|"),2*N2743*O2743,0)</f>
        <v/>
      </c>
      <c r="Z2743" s="12" t="inlineStr">
        <is>
          <t>device-to-JB field wiring, one cable per device</t>
        </is>
      </c>
      <c r="AA2743" s="12">
        <f>N2743*O2743</f>
        <v/>
      </c>
    </row>
    <row r="2744">
      <c r="A2744" s="12" t="inlineStr">
        <is>
          <t>E-I-0017</t>
        </is>
      </c>
      <c r="B2744" s="12" t="inlineStr">
        <is>
          <t>E</t>
        </is>
      </c>
      <c r="C2744" s="12" t="inlineStr">
        <is>
          <t>Water / utilities</t>
        </is>
      </c>
      <c r="D2744" s="12" t="inlineStr">
        <is>
          <t>Home run JB-Demineralised wate-DI01 to the control / marshalling room</t>
        </is>
      </c>
      <c r="E2744" s="12" t="inlineStr">
        <is>
          <t>R-WT</t>
        </is>
      </c>
      <c r="F2744" s="12" t="inlineStr">
        <is>
          <t>Water treatment building (incl. R-WT electrical room)</t>
        </is>
      </c>
      <c r="G2744" s="12" t="inlineStr">
        <is>
          <t>JB-Demineralised wate-DI01</t>
        </is>
      </c>
      <c r="H2744" s="12" t="inlineStr">
        <is>
          <t>Demineralised water tank</t>
        </is>
      </c>
      <c r="I2744" s="12" t="inlineStr">
        <is>
          <t>Instrumentation</t>
        </is>
      </c>
      <c r="J2744" s="12" t="inlineStr">
        <is>
          <t>Instrumentation PLTC / TC-ER 300 V, #18 twisted shielded pairs, overall shield</t>
        </is>
      </c>
      <c r="K2744" s="12" t="inlineStr">
        <is>
          <t>PLTC|24 pr|18</t>
        </is>
      </c>
      <c r="L2744" s="12" t="inlineStr">
        <is>
          <t>24 pr</t>
        </is>
      </c>
      <c r="M2744" s="12" t="inlineStr">
        <is>
          <t>18</t>
        </is>
      </c>
      <c r="N2744" s="12" t="n">
        <v>1</v>
      </c>
      <c r="O2744" s="12" t="n">
        <v>1</v>
      </c>
      <c r="P2744" s="12" t="n"/>
      <c r="Q2744" s="12" t="n"/>
      <c r="R2744" s="12" t="n"/>
      <c r="S2744" s="12" t="inlineStr">
        <is>
          <t>Conduit link</t>
        </is>
      </c>
      <c r="T2744" s="15" t="n">
        <v>40</v>
      </c>
      <c r="U2744" s="15" t="n">
        <v>79</v>
      </c>
      <c r="V2744" s="15">
        <f>ROUNDUP((T2744+U2744+2*'Read Me'!$B$13)*(1+'Read Me'!$B$12),-1)</f>
        <v/>
      </c>
      <c r="W2744" s="15">
        <f>V2744*N2744*O2744</f>
        <v/>
      </c>
      <c r="X2744" s="12">
        <f>IF(LEFT(I2744,2)="MV",2*N2744*IF(L2744="1/C",O2744,1),0)</f>
        <v/>
      </c>
      <c r="Y2744" s="12">
        <f>IF(OR(LEFT(K2744,4)="LVAX",LEFT(K2744,6)="MV15AX",LEFT(K2744,4)="CTAX",LEFT(K2744,2)="W|"),2*N2744*O2744,0)</f>
        <v/>
      </c>
      <c r="Z2744" s="12" t="inlineStr"/>
      <c r="AA2744" s="12">
        <f>N2744*O2744</f>
        <v/>
      </c>
    </row>
    <row r="2745">
      <c r="A2745" s="12" t="inlineStr">
        <is>
          <t>E-I-0018</t>
        </is>
      </c>
      <c r="B2745" s="12" t="inlineStr">
        <is>
          <t>E</t>
        </is>
      </c>
      <c r="C2745" s="12" t="inlineStr">
        <is>
          <t>Water / utilities</t>
        </is>
      </c>
      <c r="D2745" s="12" t="inlineStr">
        <is>
          <t>Analog instrument to JB JB-Fire / service wat-AI01: 4 x 1 pr (field cables)</t>
        </is>
      </c>
      <c r="E2745" s="12" t="inlineStr"/>
      <c r="F2745" s="12" t="inlineStr">
        <is>
          <t>Fire / service water tank</t>
        </is>
      </c>
      <c r="G2745" s="12" t="inlineStr">
        <is>
          <t>JB-Fire / service wat-AI01</t>
        </is>
      </c>
      <c r="H2745" s="12" t="inlineStr">
        <is>
          <t>Fire / service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5" t="n">
        <v>95</v>
      </c>
      <c r="U2745" s="15" t="n">
        <v>10</v>
      </c>
      <c r="V2745" s="15">
        <f>ROUNDUP((T2745+U2745+2*'Read Me'!$B$13)*(1+'Read Me'!$B$12),-1)</f>
        <v/>
      </c>
      <c r="W2745" s="15">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E-I-0019</t>
        </is>
      </c>
      <c r="B2746" s="12" t="inlineStr">
        <is>
          <t>E</t>
        </is>
      </c>
      <c r="C2746" s="12" t="inlineStr">
        <is>
          <t>Water / utilities</t>
        </is>
      </c>
      <c r="D2746" s="12" t="inlineStr">
        <is>
          <t>Home run JB-Fire / service wat-AI01 to the control / marshalling room</t>
        </is>
      </c>
      <c r="E2746" s="12" t="inlineStr">
        <is>
          <t>R-WT</t>
        </is>
      </c>
      <c r="F2746" s="12" t="inlineStr">
        <is>
          <t>Water treatment building (incl. R-WT electrical room)</t>
        </is>
      </c>
      <c r="G2746" s="12" t="inlineStr">
        <is>
          <t>JB-Fire / service wat-AI01</t>
        </is>
      </c>
      <c r="H2746" s="12" t="inlineStr">
        <is>
          <t>Fire / service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Conduit link</t>
        </is>
      </c>
      <c r="T2746" s="15" t="n">
        <v>20</v>
      </c>
      <c r="U2746" s="15" t="n">
        <v>120</v>
      </c>
      <c r="V2746" s="15">
        <f>ROUNDUP((T2746+U2746+2*'Read Me'!$B$13)*(1+'Read Me'!$B$12),-1)</f>
        <v/>
      </c>
      <c r="W2746" s="15">
        <f>V2746*N2746*O2746</f>
        <v/>
      </c>
      <c r="X2746" s="12">
        <f>IF(LEFT(I2746,2)="MV",2*N2746*IF(L2746="1/C",O2746,1),0)</f>
        <v/>
      </c>
      <c r="Y2746" s="12">
        <f>IF(OR(LEFT(K2746,4)="LVAX",LEFT(K2746,6)="MV15AX",LEFT(K2746,4)="CTAX",LEFT(K2746,2)="W|"),2*N2746*O2746,0)</f>
        <v/>
      </c>
      <c r="Z2746" s="12" t="inlineStr"/>
      <c r="AA2746" s="12">
        <f>N2746*O2746</f>
        <v/>
      </c>
    </row>
    <row r="2747">
      <c r="A2747" s="12" t="inlineStr">
        <is>
          <t>E-I-0020</t>
        </is>
      </c>
      <c r="B2747" s="12" t="inlineStr">
        <is>
          <t>E</t>
        </is>
      </c>
      <c r="C2747" s="12" t="inlineStr">
        <is>
          <t>Water / utilities</t>
        </is>
      </c>
      <c r="D2747" s="12" t="inlineStr">
        <is>
          <t>Discrete device to JB JB-Fire / service wat-DI01: 4 x 1 pr (field cables)</t>
        </is>
      </c>
      <c r="E2747" s="12" t="inlineStr"/>
      <c r="F2747" s="12" t="inlineStr">
        <is>
          <t>Fire / service water tank</t>
        </is>
      </c>
      <c r="G2747" s="12" t="inlineStr">
        <is>
          <t>JB-Fire / service wat-DI01</t>
        </is>
      </c>
      <c r="H2747" s="12" t="inlineStr">
        <is>
          <t>Fire / service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5" t="n">
        <v>95</v>
      </c>
      <c r="U2747" s="15" t="n">
        <v>10</v>
      </c>
      <c r="V2747" s="15">
        <f>ROUNDUP((T2747+U2747+2*'Read Me'!$B$13)*(1+'Read Me'!$B$12),-1)</f>
        <v/>
      </c>
      <c r="W2747" s="15">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E-I-0021</t>
        </is>
      </c>
      <c r="B2748" s="12" t="inlineStr">
        <is>
          <t>E</t>
        </is>
      </c>
      <c r="C2748" s="12" t="inlineStr">
        <is>
          <t>Water / utilities</t>
        </is>
      </c>
      <c r="D2748" s="12" t="inlineStr">
        <is>
          <t>Home run JB-Fire / service wat-DI01 to the control / marshalling room</t>
        </is>
      </c>
      <c r="E2748" s="12" t="inlineStr">
        <is>
          <t>R-WT</t>
        </is>
      </c>
      <c r="F2748" s="12" t="inlineStr">
        <is>
          <t>Water treatment building (incl. R-WT electrical room)</t>
        </is>
      </c>
      <c r="G2748" s="12" t="inlineStr">
        <is>
          <t>JB-Fire / service wat-DI01</t>
        </is>
      </c>
      <c r="H2748" s="12" t="inlineStr">
        <is>
          <t>Fire / service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Conduit link</t>
        </is>
      </c>
      <c r="T2748" s="15" t="n">
        <v>20</v>
      </c>
      <c r="U2748" s="15" t="n">
        <v>120</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E-I-0022</t>
        </is>
      </c>
      <c r="B2749" s="12" t="inlineStr">
        <is>
          <t>E</t>
        </is>
      </c>
      <c r="C2749" s="12" t="inlineStr">
        <is>
          <t>Water / utilities</t>
        </is>
      </c>
      <c r="D2749" s="12" t="inlineStr">
        <is>
          <t>Analog instrument to JB JB-Fire pump house-AI01: 10 x 1 pr (field cables)</t>
        </is>
      </c>
      <c r="E2749" s="12" t="inlineStr"/>
      <c r="F2749" s="12" t="inlineStr">
        <is>
          <t>Fire pump house</t>
        </is>
      </c>
      <c r="G2749" s="12" t="inlineStr">
        <is>
          <t>JB-Fire pump house-AI01</t>
        </is>
      </c>
      <c r="H2749" s="12" t="inlineStr">
        <is>
          <t>Fire pump house</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10</v>
      </c>
      <c r="O2749" s="12" t="n">
        <v>1</v>
      </c>
      <c r="P2749" s="12" t="n"/>
      <c r="Q2749" s="12" t="n"/>
      <c r="R2749" s="12" t="n"/>
      <c r="S2749" s="12" t="inlineStr">
        <is>
          <t>Tray / conduit</t>
        </is>
      </c>
      <c r="T2749" s="15" t="n">
        <v>66</v>
      </c>
      <c r="U2749" s="15" t="n">
        <v>10</v>
      </c>
      <c r="V2749" s="15">
        <f>ROUNDUP((T2749+U2749+2*'Read Me'!$B$13)*(1+'Read Me'!$B$12),-1)</f>
        <v/>
      </c>
      <c r="W2749" s="15">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E-I-0023</t>
        </is>
      </c>
      <c r="B2750" s="12" t="inlineStr">
        <is>
          <t>E</t>
        </is>
      </c>
      <c r="C2750" s="12" t="inlineStr">
        <is>
          <t>Water / utilities</t>
        </is>
      </c>
      <c r="D2750" s="12" t="inlineStr">
        <is>
          <t>Home run JB-Fire pump house-AI01 to the control / marshalling room</t>
        </is>
      </c>
      <c r="E2750" s="12" t="inlineStr">
        <is>
          <t>R-WT</t>
        </is>
      </c>
      <c r="F2750" s="12" t="inlineStr">
        <is>
          <t>Water treatment building (incl. R-WT electrical room)</t>
        </is>
      </c>
      <c r="G2750" s="12" t="inlineStr">
        <is>
          <t>JB-Fire pump house-AI01</t>
        </is>
      </c>
      <c r="H2750" s="12" t="inlineStr">
        <is>
          <t>Fire pump house</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Conduit link</t>
        </is>
      </c>
      <c r="T2750" s="15" t="n">
        <v>214</v>
      </c>
      <c r="U2750" s="15" t="n">
        <v>32</v>
      </c>
      <c r="V2750" s="15">
        <f>ROUNDUP((T2750+U2750+2*'Read Me'!$B$13)*(1+'Read Me'!$B$12),-1)</f>
        <v/>
      </c>
      <c r="W2750" s="15">
        <f>V2750*N2750*O2750</f>
        <v/>
      </c>
      <c r="X2750" s="12">
        <f>IF(LEFT(I2750,2)="MV",2*N2750*IF(L2750="1/C",O2750,1),0)</f>
        <v/>
      </c>
      <c r="Y2750" s="12">
        <f>IF(OR(LEFT(K2750,4)="LVAX",LEFT(K2750,6)="MV15AX",LEFT(K2750,4)="CTAX",LEFT(K2750,2)="W|"),2*N2750*O2750,0)</f>
        <v/>
      </c>
      <c r="Z2750" s="12" t="inlineStr"/>
      <c r="AA2750" s="12">
        <f>N2750*O2750</f>
        <v/>
      </c>
    </row>
    <row r="2751">
      <c r="A2751" s="12" t="inlineStr">
        <is>
          <t>E-I-0024</t>
        </is>
      </c>
      <c r="B2751" s="12" t="inlineStr">
        <is>
          <t>E</t>
        </is>
      </c>
      <c r="C2751" s="12" t="inlineStr">
        <is>
          <t>Water / utilities</t>
        </is>
      </c>
      <c r="D2751" s="12" t="inlineStr">
        <is>
          <t>Discrete device to JB JB-Fire pump house-DI01: 20 x 1 pr (field cables)</t>
        </is>
      </c>
      <c r="E2751" s="12" t="inlineStr"/>
      <c r="F2751" s="12" t="inlineStr">
        <is>
          <t>Fire pump house</t>
        </is>
      </c>
      <c r="G2751" s="12" t="inlineStr">
        <is>
          <t>JB-Fire pump house-DI01</t>
        </is>
      </c>
      <c r="H2751" s="12" t="inlineStr">
        <is>
          <t>Fire pump house</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20</v>
      </c>
      <c r="O2751" s="12" t="n">
        <v>1</v>
      </c>
      <c r="P2751" s="12" t="n"/>
      <c r="Q2751" s="12" t="n"/>
      <c r="R2751" s="12" t="n"/>
      <c r="S2751" s="12" t="inlineStr">
        <is>
          <t>Tray / conduit</t>
        </is>
      </c>
      <c r="T2751" s="15" t="n">
        <v>66</v>
      </c>
      <c r="U2751" s="15" t="n">
        <v>10</v>
      </c>
      <c r="V2751" s="15">
        <f>ROUNDUP((T2751+U2751+2*'Read Me'!$B$13)*(1+'Read Me'!$B$12),-1)</f>
        <v/>
      </c>
      <c r="W2751" s="15">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E-I-0025</t>
        </is>
      </c>
      <c r="B2752" s="12" t="inlineStr">
        <is>
          <t>E</t>
        </is>
      </c>
      <c r="C2752" s="12" t="inlineStr">
        <is>
          <t>Water / utilities</t>
        </is>
      </c>
      <c r="D2752" s="12" t="inlineStr">
        <is>
          <t>Home run JB-Fire pump house-DI01 to the control / marshalling room</t>
        </is>
      </c>
      <c r="E2752" s="12" t="inlineStr">
        <is>
          <t>R-WT</t>
        </is>
      </c>
      <c r="F2752" s="12" t="inlineStr">
        <is>
          <t>Water treatment building (incl. R-WT electrical room)</t>
        </is>
      </c>
      <c r="G2752" s="12" t="inlineStr">
        <is>
          <t>JB-Fire pump house-DI01</t>
        </is>
      </c>
      <c r="H2752" s="12" t="inlineStr">
        <is>
          <t>Fire pump house</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Conduit link</t>
        </is>
      </c>
      <c r="T2752" s="15" t="n">
        <v>214</v>
      </c>
      <c r="U2752" s="15" t="n">
        <v>32</v>
      </c>
      <c r="V2752" s="15">
        <f>ROUNDUP((T2752+U2752+2*'Read Me'!$B$13)*(1+'Read Me'!$B$12),-1)</f>
        <v/>
      </c>
      <c r="W2752" s="15">
        <f>V2752*N2752*O2752</f>
        <v/>
      </c>
      <c r="X2752" s="12">
        <f>IF(LEFT(I2752,2)="MV",2*N2752*IF(L2752="1/C",O2752,1),0)</f>
        <v/>
      </c>
      <c r="Y2752" s="12">
        <f>IF(OR(LEFT(K2752,4)="LVAX",LEFT(K2752,6)="MV15AX",LEFT(K2752,4)="CTAX",LEFT(K2752,2)="W|"),2*N2752*O2752,0)</f>
        <v/>
      </c>
      <c r="Z2752" s="12" t="inlineStr"/>
      <c r="AA2752" s="12">
        <f>N2752*O2752</f>
        <v/>
      </c>
    </row>
    <row r="2753">
      <c r="A2753" s="12" t="inlineStr">
        <is>
          <t>E-I-0026</t>
        </is>
      </c>
      <c r="B2753" s="12" t="inlineStr">
        <is>
          <t>E</t>
        </is>
      </c>
      <c r="C2753" s="12" t="inlineStr">
        <is>
          <t>Water / utilities</t>
        </is>
      </c>
      <c r="D2753" s="12" t="inlineStr">
        <is>
          <t>Discrete device to JB JB-Fire pump house-DI02: 10 x 1 pr (field cables)</t>
        </is>
      </c>
      <c r="E2753" s="12" t="inlineStr"/>
      <c r="F2753" s="12" t="inlineStr">
        <is>
          <t>Fire pump house</t>
        </is>
      </c>
      <c r="G2753" s="12" t="inlineStr">
        <is>
          <t>JB-Fire pump house-DI02</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5" t="n">
        <v>66</v>
      </c>
      <c r="U2753" s="15" t="n">
        <v>10</v>
      </c>
      <c r="V2753" s="15">
        <f>ROUNDUP((T2753+U2753+2*'Read Me'!$B$13)*(1+'Read Me'!$B$12),-1)</f>
        <v/>
      </c>
      <c r="W2753" s="15">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E-I-0027</t>
        </is>
      </c>
      <c r="B2754" s="12" t="inlineStr">
        <is>
          <t>E</t>
        </is>
      </c>
      <c r="C2754" s="12" t="inlineStr">
        <is>
          <t>Water / utilities</t>
        </is>
      </c>
      <c r="D2754" s="12" t="inlineStr">
        <is>
          <t>Home run JB-Fire pump house-DI02 to the control / marshalling room</t>
        </is>
      </c>
      <c r="E2754" s="12" t="inlineStr">
        <is>
          <t>R-WT</t>
        </is>
      </c>
      <c r="F2754" s="12" t="inlineStr">
        <is>
          <t>Water treatment building (incl. R-WT electrical room)</t>
        </is>
      </c>
      <c r="G2754" s="12" t="inlineStr">
        <is>
          <t>JB-Fire pump house-DI02</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Conduit link</t>
        </is>
      </c>
      <c r="T2754" s="15" t="n">
        <v>214</v>
      </c>
      <c r="U2754" s="15" t="n">
        <v>32</v>
      </c>
      <c r="V2754" s="15">
        <f>ROUNDUP((T2754+U2754+2*'Read Me'!$B$13)*(1+'Read Me'!$B$12),-1)</f>
        <v/>
      </c>
      <c r="W2754" s="15">
        <f>V2754*N2754*O2754</f>
        <v/>
      </c>
      <c r="X2754" s="12">
        <f>IF(LEFT(I2754,2)="MV",2*N2754*IF(L2754="1/C",O2754,1),0)</f>
        <v/>
      </c>
      <c r="Y2754" s="12">
        <f>IF(OR(LEFT(K2754,4)="LVAX",LEFT(K2754,6)="MV15AX",LEFT(K2754,4)="CTAX",LEFT(K2754,2)="W|"),2*N2754*O2754,0)</f>
        <v/>
      </c>
      <c r="Z2754" s="12" t="inlineStr"/>
      <c r="AA2754" s="12">
        <f>N2754*O2754</f>
        <v/>
      </c>
    </row>
    <row r="2755">
      <c r="A2755" s="12" t="inlineStr">
        <is>
          <t>E-I-0028</t>
        </is>
      </c>
      <c r="B2755" s="12" t="inlineStr">
        <is>
          <t>E</t>
        </is>
      </c>
      <c r="C2755" s="12" t="inlineStr">
        <is>
          <t>Water / utilities</t>
        </is>
      </c>
      <c r="D2755" s="12" t="inlineStr">
        <is>
          <t>Analog instrument to JB JB-H2 / CO2 storage (-AI01: 8 x 1 pr (field cables)</t>
        </is>
      </c>
      <c r="E2755" s="12" t="inlineStr"/>
      <c r="F2755" s="12" t="inlineStr">
        <is>
          <t>H2 / CO2 storage (generator gas)</t>
        </is>
      </c>
      <c r="G2755" s="12" t="inlineStr">
        <is>
          <t>JB-H2 / CO2 storage (-AI01</t>
        </is>
      </c>
      <c r="H2755" s="12" t="inlineStr">
        <is>
          <t>H2 / CO2 storage (generator gas)</t>
        </is>
      </c>
      <c r="I2755" s="12" t="inlineStr">
        <is>
          <t>Instrumentation</t>
        </is>
      </c>
      <c r="J2755" s="12" t="inlineStr">
        <is>
          <t>Instrumentation ITC / PLTC, IS, #18 shielded pairs, blue jacket</t>
        </is>
      </c>
      <c r="K2755" s="12" t="inlineStr">
        <is>
          <t>ITC|1 pr|16</t>
        </is>
      </c>
      <c r="L2755" s="12" t="inlineStr">
        <is>
          <t>1 pr</t>
        </is>
      </c>
      <c r="M2755" s="12" t="inlineStr">
        <is>
          <t>16</t>
        </is>
      </c>
      <c r="N2755" s="12" t="n">
        <v>8</v>
      </c>
      <c r="O2755" s="12" t="n">
        <v>1</v>
      </c>
      <c r="P2755" s="12" t="n"/>
      <c r="Q2755" s="12" t="n"/>
      <c r="R2755" s="12" t="n"/>
      <c r="S2755" s="12" t="inlineStr">
        <is>
          <t>Tray / conduit</t>
        </is>
      </c>
      <c r="T2755" s="15" t="n">
        <v>82</v>
      </c>
      <c r="U2755" s="15" t="n">
        <v>10</v>
      </c>
      <c r="V2755" s="15">
        <f>ROUNDUP((T2755+U2755+2*'Read Me'!$B$13)*(1+'Read Me'!$B$12),-1)</f>
        <v/>
      </c>
      <c r="W2755" s="15">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E-I-0029</t>
        </is>
      </c>
      <c r="B2756" s="12" t="inlineStr">
        <is>
          <t>E</t>
        </is>
      </c>
      <c r="C2756" s="12" t="inlineStr">
        <is>
          <t>Water / utilities</t>
        </is>
      </c>
      <c r="D2756" s="12" t="inlineStr">
        <is>
          <t>Home run JB-H2 / CO2 storage (-AI01 to the control / marshalling room</t>
        </is>
      </c>
      <c r="E2756" s="12" t="inlineStr">
        <is>
          <t>R-WT</t>
        </is>
      </c>
      <c r="F2756" s="12" t="inlineStr">
        <is>
          <t>Water treatment building (incl. R-WT electrical room)</t>
        </is>
      </c>
      <c r="G2756" s="12" t="inlineStr">
        <is>
          <t>JB-H2 / CO2 storage (-AI01</t>
        </is>
      </c>
      <c r="H2756" s="12" t="inlineStr">
        <is>
          <t>H2 / CO2 storage (generator gas)</t>
        </is>
      </c>
      <c r="I2756" s="12" t="inlineStr">
        <is>
          <t>Instrumentation</t>
        </is>
      </c>
      <c r="J2756" s="12" t="inlineStr">
        <is>
          <t>Instrumentation ITC / PLTC, IS, #18 shielded pairs, blue jacket</t>
        </is>
      </c>
      <c r="K2756" s="12" t="inlineStr">
        <is>
          <t>ITC|24 pr|18</t>
        </is>
      </c>
      <c r="L2756" s="12" t="inlineStr">
        <is>
          <t>24 pr</t>
        </is>
      </c>
      <c r="M2756" s="12" t="inlineStr">
        <is>
          <t>18</t>
        </is>
      </c>
      <c r="N2756" s="12" t="n">
        <v>1</v>
      </c>
      <c r="O2756" s="12" t="n">
        <v>1</v>
      </c>
      <c r="P2756" s="12" t="n"/>
      <c r="Q2756" s="12" t="n"/>
      <c r="R2756" s="12" t="n"/>
      <c r="S2756" s="12" t="inlineStr">
        <is>
          <t>Duct bank</t>
        </is>
      </c>
      <c r="T2756" s="15" t="n">
        <v>535</v>
      </c>
      <c r="U2756" s="15" t="n">
        <v>32</v>
      </c>
      <c r="V2756" s="15">
        <f>ROUNDUP((T2756+U2756+2*'Read Me'!$B$13)*(1+'Read Me'!$B$12),-1)</f>
        <v/>
      </c>
      <c r="W2756" s="15">
        <f>V2756*N2756*O2756</f>
        <v/>
      </c>
      <c r="X2756" s="12">
        <f>IF(LEFT(I2756,2)="MV",2*N2756*IF(L2756="1/C",O2756,1),0)</f>
        <v/>
      </c>
      <c r="Y2756" s="12">
        <f>IF(OR(LEFT(K2756,4)="LVAX",LEFT(K2756,6)="MV15AX",LEFT(K2756,4)="CTAX",LEFT(K2756,2)="W|"),2*N2756*O2756,0)</f>
        <v/>
      </c>
      <c r="Z2756" s="12" t="inlineStr"/>
      <c r="AA2756" s="12">
        <f>N2756*O2756</f>
        <v/>
      </c>
    </row>
    <row r="2757">
      <c r="A2757" s="12" t="inlineStr">
        <is>
          <t>E-I-0030</t>
        </is>
      </c>
      <c r="B2757" s="12" t="inlineStr">
        <is>
          <t>E</t>
        </is>
      </c>
      <c r="C2757" s="12" t="inlineStr">
        <is>
          <t>Water / utilities</t>
        </is>
      </c>
      <c r="D2757" s="12" t="inlineStr">
        <is>
          <t>Discrete device to JB JB-H2 / CO2 storage (-DI01: 8 x 1 pr (field cables)</t>
        </is>
      </c>
      <c r="E2757" s="12" t="inlineStr"/>
      <c r="F2757" s="12" t="inlineStr">
        <is>
          <t>H2 / CO2 storage (generator gas)</t>
        </is>
      </c>
      <c r="G2757" s="12" t="inlineStr">
        <is>
          <t>JB-H2 / CO2 storage (-DI01</t>
        </is>
      </c>
      <c r="H2757" s="12" t="inlineStr">
        <is>
          <t>H2 / CO2 storage (generator gas)</t>
        </is>
      </c>
      <c r="I2757" s="12" t="inlineStr">
        <is>
          <t>Instrumentation</t>
        </is>
      </c>
      <c r="J2757" s="12" t="inlineStr">
        <is>
          <t>Instrumentation ITC / PLTC, IS, #18 shielded pairs, blue jacket</t>
        </is>
      </c>
      <c r="K2757" s="12" t="inlineStr">
        <is>
          <t>ITC|1 pr|16</t>
        </is>
      </c>
      <c r="L2757" s="12" t="inlineStr">
        <is>
          <t>1 pr</t>
        </is>
      </c>
      <c r="M2757" s="12" t="inlineStr">
        <is>
          <t>16</t>
        </is>
      </c>
      <c r="N2757" s="12" t="n">
        <v>8</v>
      </c>
      <c r="O2757" s="12" t="n">
        <v>1</v>
      </c>
      <c r="P2757" s="12" t="n"/>
      <c r="Q2757" s="12" t="n"/>
      <c r="R2757" s="12" t="n"/>
      <c r="S2757" s="12" t="inlineStr">
        <is>
          <t>Tray / conduit</t>
        </is>
      </c>
      <c r="T2757" s="15" t="n">
        <v>82</v>
      </c>
      <c r="U2757" s="15" t="n">
        <v>10</v>
      </c>
      <c r="V2757" s="15">
        <f>ROUNDUP((T2757+U2757+2*'Read Me'!$B$13)*(1+'Read Me'!$B$12),-1)</f>
        <v/>
      </c>
      <c r="W2757" s="15">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E-I-0031</t>
        </is>
      </c>
      <c r="B2758" s="12" t="inlineStr">
        <is>
          <t>E</t>
        </is>
      </c>
      <c r="C2758" s="12" t="inlineStr">
        <is>
          <t>Water / utilities</t>
        </is>
      </c>
      <c r="D2758" s="12" t="inlineStr">
        <is>
          <t>Home run JB-H2 / CO2 storage (-DI01 to the control / marshalling room</t>
        </is>
      </c>
      <c r="E2758" s="12" t="inlineStr">
        <is>
          <t>R-WT</t>
        </is>
      </c>
      <c r="F2758" s="12" t="inlineStr">
        <is>
          <t>Water treatment building (incl. R-WT electrical room)</t>
        </is>
      </c>
      <c r="G2758" s="12" t="inlineStr">
        <is>
          <t>JB-H2 / CO2 storage (-DI01</t>
        </is>
      </c>
      <c r="H2758" s="12" t="inlineStr">
        <is>
          <t>H2 / CO2 storage (generator gas)</t>
        </is>
      </c>
      <c r="I2758" s="12" t="inlineStr">
        <is>
          <t>Instrumentation</t>
        </is>
      </c>
      <c r="J2758" s="12" t="inlineStr">
        <is>
          <t>Instrumentation ITC / PLTC, IS, #18 shielded pairs, blue jacket</t>
        </is>
      </c>
      <c r="K2758" s="12" t="inlineStr">
        <is>
          <t>ITC|24 pr|18</t>
        </is>
      </c>
      <c r="L2758" s="12" t="inlineStr">
        <is>
          <t>24 pr</t>
        </is>
      </c>
      <c r="M2758" s="12" t="inlineStr">
        <is>
          <t>18</t>
        </is>
      </c>
      <c r="N2758" s="12" t="n">
        <v>1</v>
      </c>
      <c r="O2758" s="12" t="n">
        <v>1</v>
      </c>
      <c r="P2758" s="12" t="n"/>
      <c r="Q2758" s="12" t="n"/>
      <c r="R2758" s="12" t="n"/>
      <c r="S2758" s="12" t="inlineStr">
        <is>
          <t>Duct bank</t>
        </is>
      </c>
      <c r="T2758" s="15" t="n">
        <v>535</v>
      </c>
      <c r="U2758" s="15" t="n">
        <v>32</v>
      </c>
      <c r="V2758" s="15">
        <f>ROUNDUP((T2758+U2758+2*'Read Me'!$B$13)*(1+'Read Me'!$B$12),-1)</f>
        <v/>
      </c>
      <c r="W2758" s="15">
        <f>V2758*N2758*O2758</f>
        <v/>
      </c>
      <c r="X2758" s="12">
        <f>IF(LEFT(I2758,2)="MV",2*N2758*IF(L2758="1/C",O2758,1),0)</f>
        <v/>
      </c>
      <c r="Y2758" s="12">
        <f>IF(OR(LEFT(K2758,4)="LVAX",LEFT(K2758,6)="MV15AX",LEFT(K2758,4)="CTAX",LEFT(K2758,2)="W|"),2*N2758*O2758,0)</f>
        <v/>
      </c>
      <c r="Z2758" s="12" t="inlineStr"/>
      <c r="AA2758" s="12">
        <f>N2758*O2758</f>
        <v/>
      </c>
    </row>
    <row r="2759">
      <c r="A2759" s="12" t="inlineStr">
        <is>
          <t>E-I-0032</t>
        </is>
      </c>
      <c r="B2759" s="12" t="inlineStr">
        <is>
          <t>E</t>
        </is>
      </c>
      <c r="C2759" s="12" t="inlineStr">
        <is>
          <t>Water / utilities</t>
        </is>
      </c>
      <c r="D2759" s="12" t="inlineStr">
        <is>
          <t>Analog instrument to JB JB-HTP-3-AI01: 4 x 1 pr (field cables)</t>
        </is>
      </c>
      <c r="E2759" s="12" t="inlineStr">
        <is>
          <t>HTP-3</t>
        </is>
      </c>
      <c r="F2759" s="12" t="inlineStr">
        <is>
          <t>HTP-3: heat-trace panel (tanks)</t>
        </is>
      </c>
      <c r="G2759" s="12" t="inlineStr">
        <is>
          <t>JB-HTP-3-AI01</t>
        </is>
      </c>
      <c r="H2759" s="12" t="inlineStr">
        <is>
          <t>HTP-3: heat-trace panel (tanks)</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4</v>
      </c>
      <c r="O2759" s="12" t="n">
        <v>1</v>
      </c>
      <c r="P2759" s="12" t="n"/>
      <c r="Q2759" s="12" t="n"/>
      <c r="R2759" s="12" t="n"/>
      <c r="S2759" s="12" t="inlineStr">
        <is>
          <t>Tray / conduit</t>
        </is>
      </c>
      <c r="T2759" s="15" t="n">
        <v>40</v>
      </c>
      <c r="U2759" s="15" t="n">
        <v>10</v>
      </c>
      <c r="V2759" s="15">
        <f>ROUNDUP((T2759+U2759+2*'Read Me'!$B$13)*(1+'Read Me'!$B$12),-1)</f>
        <v/>
      </c>
      <c r="W2759" s="15">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E-I-0033</t>
        </is>
      </c>
      <c r="B2760" s="12" t="inlineStr">
        <is>
          <t>E</t>
        </is>
      </c>
      <c r="C2760" s="12" t="inlineStr">
        <is>
          <t>Water / utilities</t>
        </is>
      </c>
      <c r="D2760" s="12" t="inlineStr">
        <is>
          <t>Home run JB-HTP-3-AI01 to the control / marshalling room</t>
        </is>
      </c>
      <c r="E2760" s="12" t="inlineStr">
        <is>
          <t>R-WT</t>
        </is>
      </c>
      <c r="F2760" s="12" t="inlineStr">
        <is>
          <t>Water treatment building (incl. R-WT electrical room)</t>
        </is>
      </c>
      <c r="G2760" s="12" t="inlineStr">
        <is>
          <t>JB-HTP-3-AI01</t>
        </is>
      </c>
      <c r="H2760" s="12" t="inlineStr">
        <is>
          <t>HTP-3: heat-trace panel (tanks)</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Conduit link</t>
        </is>
      </c>
      <c r="T2760" s="15" t="n">
        <v>40</v>
      </c>
      <c r="U2760" s="15" t="n">
        <v>52</v>
      </c>
      <c r="V2760" s="15">
        <f>ROUNDUP((T2760+U2760+2*'Read Me'!$B$13)*(1+'Read Me'!$B$12),-1)</f>
        <v/>
      </c>
      <c r="W2760" s="15">
        <f>V2760*N2760*O2760</f>
        <v/>
      </c>
      <c r="X2760" s="12">
        <f>IF(LEFT(I2760,2)="MV",2*N2760*IF(L2760="1/C",O2760,1),0)</f>
        <v/>
      </c>
      <c r="Y2760" s="12">
        <f>IF(OR(LEFT(K2760,4)="LVAX",LEFT(K2760,6)="MV15AX",LEFT(K2760,4)="CTAX",LEFT(K2760,2)="W|"),2*N2760*O2760,0)</f>
        <v/>
      </c>
      <c r="Z2760" s="12" t="inlineStr"/>
      <c r="AA2760" s="12">
        <f>N2760*O2760</f>
        <v/>
      </c>
    </row>
    <row r="2761">
      <c r="A2761" s="12" t="inlineStr">
        <is>
          <t>E-I-0034</t>
        </is>
      </c>
      <c r="B2761" s="12" t="inlineStr">
        <is>
          <t>E</t>
        </is>
      </c>
      <c r="C2761" s="12" t="inlineStr">
        <is>
          <t>Water / utilities</t>
        </is>
      </c>
      <c r="D2761" s="12" t="inlineStr">
        <is>
          <t>Discrete device to JB JB-HTP-3-DI01: 4 x 1 pr (field cables)</t>
        </is>
      </c>
      <c r="E2761" s="12" t="inlineStr">
        <is>
          <t>HTP-3</t>
        </is>
      </c>
      <c r="F2761" s="12" t="inlineStr">
        <is>
          <t>HTP-3: heat-trace panel (tanks)</t>
        </is>
      </c>
      <c r="G2761" s="12" t="inlineStr">
        <is>
          <t>JB-HTP-3-DI01</t>
        </is>
      </c>
      <c r="H2761" s="12" t="inlineStr">
        <is>
          <t>HTP-3: heat-trace panel (tanks)</t>
        </is>
      </c>
      <c r="I2761" s="12" t="inlineStr">
        <is>
          <t>Instrumentation</t>
        </is>
      </c>
      <c r="J2761" s="12" t="inlineStr">
        <is>
          <t>Instrumentation PLTC / TC-ER 300 V, #18 twisted shielded pairs, overall shield</t>
        </is>
      </c>
      <c r="K2761" s="12" t="inlineStr">
        <is>
          <t>PLTC|1 pr|16</t>
        </is>
      </c>
      <c r="L2761" s="12" t="inlineStr">
        <is>
          <t>1 pr</t>
        </is>
      </c>
      <c r="M2761" s="12" t="inlineStr">
        <is>
          <t>16</t>
        </is>
      </c>
      <c r="N2761" s="12" t="n">
        <v>4</v>
      </c>
      <c r="O2761" s="12" t="n">
        <v>1</v>
      </c>
      <c r="P2761" s="12" t="n"/>
      <c r="Q2761" s="12" t="n"/>
      <c r="R2761" s="12" t="n"/>
      <c r="S2761" s="12" t="inlineStr">
        <is>
          <t>Tray / conduit</t>
        </is>
      </c>
      <c r="T2761" s="15" t="n">
        <v>40</v>
      </c>
      <c r="U2761" s="15" t="n">
        <v>10</v>
      </c>
      <c r="V2761" s="15">
        <f>ROUNDUP((T2761+U2761+2*'Read Me'!$B$13)*(1+'Read Me'!$B$12),-1)</f>
        <v/>
      </c>
      <c r="W2761" s="15">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E-I-0035</t>
        </is>
      </c>
      <c r="B2762" s="12" t="inlineStr">
        <is>
          <t>E</t>
        </is>
      </c>
      <c r="C2762" s="12" t="inlineStr">
        <is>
          <t>Water / utilities</t>
        </is>
      </c>
      <c r="D2762" s="12" t="inlineStr">
        <is>
          <t>Home run JB-HTP-3-DI01 to the control / marshalling room</t>
        </is>
      </c>
      <c r="E2762" s="12" t="inlineStr">
        <is>
          <t>R-WT</t>
        </is>
      </c>
      <c r="F2762" s="12" t="inlineStr">
        <is>
          <t>Water treatment building (incl. R-WT electrical room)</t>
        </is>
      </c>
      <c r="G2762" s="12" t="inlineStr">
        <is>
          <t>JB-HTP-3-DI01</t>
        </is>
      </c>
      <c r="H2762" s="12" t="inlineStr">
        <is>
          <t>HTP-3: heat-trace panel (tanks)</t>
        </is>
      </c>
      <c r="I2762" s="12" t="inlineStr">
        <is>
          <t>Instrumentation</t>
        </is>
      </c>
      <c r="J2762" s="12" t="inlineStr">
        <is>
          <t>Instrumentation PLTC / TC-ER 300 V, #18 twisted shielded pairs, overall shield</t>
        </is>
      </c>
      <c r="K2762" s="12" t="inlineStr">
        <is>
          <t>PLTC|24 pr|18</t>
        </is>
      </c>
      <c r="L2762" s="12" t="inlineStr">
        <is>
          <t>24 pr</t>
        </is>
      </c>
      <c r="M2762" s="12" t="inlineStr">
        <is>
          <t>18</t>
        </is>
      </c>
      <c r="N2762" s="12" t="n">
        <v>1</v>
      </c>
      <c r="O2762" s="12" t="n">
        <v>1</v>
      </c>
      <c r="P2762" s="12" t="n"/>
      <c r="Q2762" s="12" t="n"/>
      <c r="R2762" s="12" t="n"/>
      <c r="S2762" s="12" t="inlineStr">
        <is>
          <t>Conduit link</t>
        </is>
      </c>
      <c r="T2762" s="15" t="n">
        <v>40</v>
      </c>
      <c r="U2762" s="15" t="n">
        <v>52</v>
      </c>
      <c r="V2762" s="15">
        <f>ROUNDUP((T2762+U2762+2*'Read Me'!$B$13)*(1+'Read Me'!$B$12),-1)</f>
        <v/>
      </c>
      <c r="W2762" s="15">
        <f>V2762*N2762*O2762</f>
        <v/>
      </c>
      <c r="X2762" s="12">
        <f>IF(LEFT(I2762,2)="MV",2*N2762*IF(L2762="1/C",O2762,1),0)</f>
        <v/>
      </c>
      <c r="Y2762" s="12">
        <f>IF(OR(LEFT(K2762,4)="LVAX",LEFT(K2762,6)="MV15AX",LEFT(K2762,4)="CTAX",LEFT(K2762,2)="W|"),2*N2762*O2762,0)</f>
        <v/>
      </c>
      <c r="Z2762" s="12" t="inlineStr"/>
      <c r="AA2762" s="12">
        <f>N2762*O2762</f>
        <v/>
      </c>
    </row>
    <row r="2763">
      <c r="A2763" s="12" t="inlineStr">
        <is>
          <t>E-I-0036</t>
        </is>
      </c>
      <c r="B2763" s="12" t="inlineStr">
        <is>
          <t>E</t>
        </is>
      </c>
      <c r="C2763" s="12" t="inlineStr">
        <is>
          <t>Water / utilities</t>
        </is>
      </c>
      <c r="D2763" s="12" t="inlineStr">
        <is>
          <t>Analog instrument to JB JB-Oil-water separato-AI01: 4 x 1 pr (field cables)</t>
        </is>
      </c>
      <c r="E2763" s="12" t="inlineStr"/>
      <c r="F2763" s="12" t="inlineStr">
        <is>
          <t>Oil-water separator</t>
        </is>
      </c>
      <c r="G2763" s="12" t="inlineStr">
        <is>
          <t>JB-Oil-water separato-AI01</t>
        </is>
      </c>
      <c r="H2763" s="12" t="inlineStr">
        <is>
          <t>Oil-water separator</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5" t="n">
        <v>45</v>
      </c>
      <c r="U2763" s="15" t="n">
        <v>10</v>
      </c>
      <c r="V2763" s="15">
        <f>ROUNDUP((T2763+U2763+2*'Read Me'!$B$13)*(1+'Read Me'!$B$12),-1)</f>
        <v/>
      </c>
      <c r="W2763" s="15">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E-I-0037</t>
        </is>
      </c>
      <c r="B2764" s="12" t="inlineStr">
        <is>
          <t>E</t>
        </is>
      </c>
      <c r="C2764" s="12" t="inlineStr">
        <is>
          <t>Water / utilities</t>
        </is>
      </c>
      <c r="D2764" s="12" t="inlineStr">
        <is>
          <t>Home run JB-Oil-water separato-AI01 to the control / marshalling room</t>
        </is>
      </c>
      <c r="E2764" s="12" t="inlineStr">
        <is>
          <t>R-WT</t>
        </is>
      </c>
      <c r="F2764" s="12" t="inlineStr">
        <is>
          <t>Water treatment building (incl. R-WT electrical room)</t>
        </is>
      </c>
      <c r="G2764" s="12" t="inlineStr">
        <is>
          <t>JB-Oil-water separato-AI01</t>
        </is>
      </c>
      <c r="H2764" s="12" t="inlineStr">
        <is>
          <t>Oil-water separator</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5" t="n">
        <v>655</v>
      </c>
      <c r="U2764" s="15" t="n">
        <v>32</v>
      </c>
      <c r="V2764" s="15">
        <f>ROUNDUP((T2764+U2764+2*'Read Me'!$B$13)*(1+'Read Me'!$B$12),-1)</f>
        <v/>
      </c>
      <c r="W2764" s="15">
        <f>V2764*N2764*O2764</f>
        <v/>
      </c>
      <c r="X2764" s="12">
        <f>IF(LEFT(I2764,2)="MV",2*N2764*IF(L2764="1/C",O2764,1),0)</f>
        <v/>
      </c>
      <c r="Y2764" s="12">
        <f>IF(OR(LEFT(K2764,4)="LVAX",LEFT(K2764,6)="MV15AX",LEFT(K2764,4)="CTAX",LEFT(K2764,2)="W|"),2*N2764*O2764,0)</f>
        <v/>
      </c>
      <c r="Z2764" s="12" t="inlineStr"/>
      <c r="AA2764" s="12">
        <f>N2764*O2764</f>
        <v/>
      </c>
    </row>
    <row r="2765">
      <c r="A2765" s="12" t="inlineStr">
        <is>
          <t>E-I-0038</t>
        </is>
      </c>
      <c r="B2765" s="12" t="inlineStr">
        <is>
          <t>E</t>
        </is>
      </c>
      <c r="C2765" s="12" t="inlineStr">
        <is>
          <t>Water / utilities</t>
        </is>
      </c>
      <c r="D2765" s="12" t="inlineStr">
        <is>
          <t>Discrete device to JB JB-Oil-water separato-DI01: 4 x 1 pr (field cables)</t>
        </is>
      </c>
      <c r="E2765" s="12" t="inlineStr"/>
      <c r="F2765" s="12" t="inlineStr">
        <is>
          <t>Oil-water separator</t>
        </is>
      </c>
      <c r="G2765" s="12" t="inlineStr">
        <is>
          <t>JB-Oil-water separato-DI01</t>
        </is>
      </c>
      <c r="H2765" s="12" t="inlineStr">
        <is>
          <t>Oil-water separator</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5" t="n">
        <v>45</v>
      </c>
      <c r="U2765" s="15" t="n">
        <v>10</v>
      </c>
      <c r="V2765" s="15">
        <f>ROUNDUP((T2765+U2765+2*'Read Me'!$B$13)*(1+'Read Me'!$B$12),-1)</f>
        <v/>
      </c>
      <c r="W2765" s="15">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E-I-0039</t>
        </is>
      </c>
      <c r="B2766" s="12" t="inlineStr">
        <is>
          <t>E</t>
        </is>
      </c>
      <c r="C2766" s="12" t="inlineStr">
        <is>
          <t>Water / utilities</t>
        </is>
      </c>
      <c r="D2766" s="12" t="inlineStr">
        <is>
          <t>Home run JB-Oil-water separato-DI01 to the control / marshalling room</t>
        </is>
      </c>
      <c r="E2766" s="12" t="inlineStr">
        <is>
          <t>R-WT</t>
        </is>
      </c>
      <c r="F2766" s="12" t="inlineStr">
        <is>
          <t>Water treatment building (incl. R-WT electrical room)</t>
        </is>
      </c>
      <c r="G2766" s="12" t="inlineStr">
        <is>
          <t>JB-Oil-water separato-DI01</t>
        </is>
      </c>
      <c r="H2766" s="12" t="inlineStr">
        <is>
          <t>Oil-water separator</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5" t="n">
        <v>655</v>
      </c>
      <c r="U2766" s="15" t="n">
        <v>32</v>
      </c>
      <c r="V2766" s="15">
        <f>ROUNDUP((T2766+U2766+2*'Read Me'!$B$13)*(1+'Read Me'!$B$12),-1)</f>
        <v/>
      </c>
      <c r="W2766" s="15">
        <f>V2766*N2766*O2766</f>
        <v/>
      </c>
      <c r="X2766" s="12">
        <f>IF(LEFT(I2766,2)="MV",2*N2766*IF(L2766="1/C",O2766,1),0)</f>
        <v/>
      </c>
      <c r="Y2766" s="12">
        <f>IF(OR(LEFT(K2766,4)="LVAX",LEFT(K2766,6)="MV15AX",LEFT(K2766,4)="CTAX",LEFT(K2766,2)="W|"),2*N2766*O2766,0)</f>
        <v/>
      </c>
      <c r="Z2766" s="12" t="inlineStr"/>
      <c r="AA2766" s="12">
        <f>N2766*O2766</f>
        <v/>
      </c>
    </row>
    <row r="2767">
      <c r="A2767" s="12" t="inlineStr">
        <is>
          <t>E-I-0040</t>
        </is>
      </c>
      <c r="B2767" s="12" t="inlineStr">
        <is>
          <t>E</t>
        </is>
      </c>
      <c r="C2767" s="12" t="inlineStr">
        <is>
          <t>Water / utilities</t>
        </is>
      </c>
      <c r="D2767" s="12" t="inlineStr">
        <is>
          <t>Analog instrument to JB JB-Raw water tank-AI01: 4 x 1 pr (field cables)</t>
        </is>
      </c>
      <c r="E2767" s="12" t="inlineStr"/>
      <c r="F2767" s="12" t="inlineStr">
        <is>
          <t>Raw water tank</t>
        </is>
      </c>
      <c r="G2767" s="12" t="inlineStr">
        <is>
          <t>JB-Raw water tank-AI01</t>
        </is>
      </c>
      <c r="H2767" s="12" t="inlineStr">
        <is>
          <t>Raw water tank</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5" t="n">
        <v>86</v>
      </c>
      <c r="U2767" s="15" t="n">
        <v>10</v>
      </c>
      <c r="V2767" s="15">
        <f>ROUNDUP((T2767+U2767+2*'Read Me'!$B$13)*(1+'Read Me'!$B$12),-1)</f>
        <v/>
      </c>
      <c r="W2767" s="15">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E-I-0041</t>
        </is>
      </c>
      <c r="B2768" s="12" t="inlineStr">
        <is>
          <t>E</t>
        </is>
      </c>
      <c r="C2768" s="12" t="inlineStr">
        <is>
          <t>Water / utilities</t>
        </is>
      </c>
      <c r="D2768" s="12" t="inlineStr">
        <is>
          <t>Home run JB-Raw water tank-AI01 to the control / marshalling room</t>
        </is>
      </c>
      <c r="E2768" s="12" t="inlineStr">
        <is>
          <t>R-WT</t>
        </is>
      </c>
      <c r="F2768" s="12" t="inlineStr">
        <is>
          <t>Water treatment building (incl. R-WT electrical room)</t>
        </is>
      </c>
      <c r="G2768" s="12" t="inlineStr">
        <is>
          <t>JB-Raw water tank-AI01</t>
        </is>
      </c>
      <c r="H2768" s="12" t="inlineStr">
        <is>
          <t>Raw water tank</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5" t="n">
        <v>125</v>
      </c>
      <c r="U2768" s="15" t="n">
        <v>32</v>
      </c>
      <c r="V2768" s="15">
        <f>ROUNDUP((T2768+U2768+2*'Read Me'!$B$13)*(1+'Read Me'!$B$12),-1)</f>
        <v/>
      </c>
      <c r="W2768" s="15">
        <f>V2768*N2768*O2768</f>
        <v/>
      </c>
      <c r="X2768" s="12">
        <f>IF(LEFT(I2768,2)="MV",2*N2768*IF(L2768="1/C",O2768,1),0)</f>
        <v/>
      </c>
      <c r="Y2768" s="12">
        <f>IF(OR(LEFT(K2768,4)="LVAX",LEFT(K2768,6)="MV15AX",LEFT(K2768,4)="CTAX",LEFT(K2768,2)="W|"),2*N2768*O2768,0)</f>
        <v/>
      </c>
      <c r="Z2768" s="12" t="inlineStr"/>
      <c r="AA2768" s="12">
        <f>N2768*O2768</f>
        <v/>
      </c>
    </row>
    <row r="2769">
      <c r="A2769" s="12" t="inlineStr">
        <is>
          <t>E-I-0042</t>
        </is>
      </c>
      <c r="B2769" s="12" t="inlineStr">
        <is>
          <t>E</t>
        </is>
      </c>
      <c r="C2769" s="12" t="inlineStr">
        <is>
          <t>Water / utilities</t>
        </is>
      </c>
      <c r="D2769" s="12" t="inlineStr">
        <is>
          <t>Discrete device to JB JB-Raw water tank-DI01: 4 x 1 pr (field cables)</t>
        </is>
      </c>
      <c r="E2769" s="12" t="inlineStr"/>
      <c r="F2769" s="12" t="inlineStr">
        <is>
          <t>Raw water tank</t>
        </is>
      </c>
      <c r="G2769" s="12" t="inlineStr">
        <is>
          <t>JB-Raw water tank-DI01</t>
        </is>
      </c>
      <c r="H2769" s="12" t="inlineStr">
        <is>
          <t>Raw water tank</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5" t="n">
        <v>86</v>
      </c>
      <c r="U2769" s="15" t="n">
        <v>10</v>
      </c>
      <c r="V2769" s="15">
        <f>ROUNDUP((T2769+U2769+2*'Read Me'!$B$13)*(1+'Read Me'!$B$12),-1)</f>
        <v/>
      </c>
      <c r="W2769" s="15">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E-I-0043</t>
        </is>
      </c>
      <c r="B2770" s="12" t="inlineStr">
        <is>
          <t>E</t>
        </is>
      </c>
      <c r="C2770" s="12" t="inlineStr">
        <is>
          <t>Water / utilities</t>
        </is>
      </c>
      <c r="D2770" s="12" t="inlineStr">
        <is>
          <t>Home run JB-Raw water tank-DI01 to the control / marshalling room</t>
        </is>
      </c>
      <c r="E2770" s="12" t="inlineStr">
        <is>
          <t>R-WT</t>
        </is>
      </c>
      <c r="F2770" s="12" t="inlineStr">
        <is>
          <t>Water treatment building (incl. R-WT electrical room)</t>
        </is>
      </c>
      <c r="G2770" s="12" t="inlineStr">
        <is>
          <t>JB-Raw water tank-DI01</t>
        </is>
      </c>
      <c r="H2770" s="12" t="inlineStr">
        <is>
          <t>Raw water tank</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5" t="n">
        <v>125</v>
      </c>
      <c r="U2770" s="15" t="n">
        <v>32</v>
      </c>
      <c r="V2770" s="15">
        <f>ROUNDUP((T2770+U2770+2*'Read Me'!$B$13)*(1+'Read Me'!$B$12),-1)</f>
        <v/>
      </c>
      <c r="W2770" s="15">
        <f>V2770*N2770*O2770</f>
        <v/>
      </c>
      <c r="X2770" s="12">
        <f>IF(LEFT(I2770,2)="MV",2*N2770*IF(L2770="1/C",O2770,1),0)</f>
        <v/>
      </c>
      <c r="Y2770" s="12">
        <f>IF(OR(LEFT(K2770,4)="LVAX",LEFT(K2770,6)="MV15AX",LEFT(K2770,4)="CTAX",LEFT(K2770,2)="W|"),2*N2770*O2770,0)</f>
        <v/>
      </c>
      <c r="Z2770" s="12" t="inlineStr"/>
      <c r="AA2770" s="12">
        <f>N2770*O2770</f>
        <v/>
      </c>
    </row>
    <row r="2771">
      <c r="A2771" s="12" t="inlineStr">
        <is>
          <t>E-I-0044</t>
        </is>
      </c>
      <c r="B2771" s="12" t="inlineStr">
        <is>
          <t>E</t>
        </is>
      </c>
      <c r="C2771" s="12" t="inlineStr">
        <is>
          <t>Water / utilities</t>
        </is>
      </c>
      <c r="D2771" s="12" t="inlineStr">
        <is>
          <t>Analog instrument to JB JB-Wastewater treatme-AI01: 20 x 1 pr (field cables)</t>
        </is>
      </c>
      <c r="E2771" s="12" t="inlineStr"/>
      <c r="F2771" s="12" t="inlineStr">
        <is>
          <t>Wastewater treatment</t>
        </is>
      </c>
      <c r="G2771" s="12" t="inlineStr">
        <is>
          <t>JB-Wastewater treatme-AI01</t>
        </is>
      </c>
      <c r="H2771" s="12" t="inlineStr">
        <is>
          <t>Wastewater treatment</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20</v>
      </c>
      <c r="O2771" s="12" t="n">
        <v>1</v>
      </c>
      <c r="P2771" s="12" t="n"/>
      <c r="Q2771" s="12" t="n"/>
      <c r="R2771" s="12" t="n"/>
      <c r="S2771" s="12" t="inlineStr">
        <is>
          <t>Tray / conduit</t>
        </is>
      </c>
      <c r="T2771" s="15" t="n">
        <v>140</v>
      </c>
      <c r="U2771" s="15" t="n">
        <v>10</v>
      </c>
      <c r="V2771" s="15">
        <f>ROUNDUP((T2771+U2771+2*'Read Me'!$B$13)*(1+'Read Me'!$B$12),-1)</f>
        <v/>
      </c>
      <c r="W2771" s="15">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E-I-0045</t>
        </is>
      </c>
      <c r="B2772" s="12" t="inlineStr">
        <is>
          <t>E</t>
        </is>
      </c>
      <c r="C2772" s="12" t="inlineStr">
        <is>
          <t>Water / utilities</t>
        </is>
      </c>
      <c r="D2772" s="12" t="inlineStr">
        <is>
          <t>Home run JB-Wastewater treatme-AI01 to the control / marshalling room</t>
        </is>
      </c>
      <c r="E2772" s="12" t="inlineStr">
        <is>
          <t>R-WT</t>
        </is>
      </c>
      <c r="F2772" s="12" t="inlineStr">
        <is>
          <t>Water treatment building (incl. R-WT electrical room)</t>
        </is>
      </c>
      <c r="G2772" s="12" t="inlineStr">
        <is>
          <t>JB-Wastewater treatme-AI01</t>
        </is>
      </c>
      <c r="H2772" s="12" t="inlineStr">
        <is>
          <t>Wastewater treatment</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Tray</t>
        </is>
      </c>
      <c r="T2772" s="15" t="n">
        <v>0</v>
      </c>
      <c r="U2772" s="15" t="n">
        <v>62</v>
      </c>
      <c r="V2772" s="15">
        <f>ROUNDUP((T2772+U2772+2*'Read Me'!$B$13)*(1+'Read Me'!$B$12),-1)</f>
        <v/>
      </c>
      <c r="W2772" s="15">
        <f>V2772*N2772*O2772</f>
        <v/>
      </c>
      <c r="X2772" s="12">
        <f>IF(LEFT(I2772,2)="MV",2*N2772*IF(L2772="1/C",O2772,1),0)</f>
        <v/>
      </c>
      <c r="Y2772" s="12">
        <f>IF(OR(LEFT(K2772,4)="LVAX",LEFT(K2772,6)="MV15AX",LEFT(K2772,4)="CTAX",LEFT(K2772,2)="W|"),2*N2772*O2772,0)</f>
        <v/>
      </c>
      <c r="Z2772" s="12" t="inlineStr"/>
      <c r="AA2772" s="12">
        <f>N2772*O2772</f>
        <v/>
      </c>
    </row>
    <row r="2773">
      <c r="A2773" s="12" t="inlineStr">
        <is>
          <t>E-I-0046</t>
        </is>
      </c>
      <c r="B2773" s="12" t="inlineStr">
        <is>
          <t>E</t>
        </is>
      </c>
      <c r="C2773" s="12" t="inlineStr">
        <is>
          <t>Water / utilities</t>
        </is>
      </c>
      <c r="D2773" s="12" t="inlineStr">
        <is>
          <t>Discrete device to JB JB-Wastewater treatme-DI01: 20 x 1 pr (field cables)</t>
        </is>
      </c>
      <c r="E2773" s="12" t="inlineStr"/>
      <c r="F2773" s="12" t="inlineStr">
        <is>
          <t>Wastewater treatment</t>
        </is>
      </c>
      <c r="G2773" s="12" t="inlineStr">
        <is>
          <t>JB-Wastewater treatme-DI01</t>
        </is>
      </c>
      <c r="H2773" s="12" t="inlineStr">
        <is>
          <t>Wastewater treatment</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20</v>
      </c>
      <c r="O2773" s="12" t="n">
        <v>1</v>
      </c>
      <c r="P2773" s="12" t="n"/>
      <c r="Q2773" s="12" t="n"/>
      <c r="R2773" s="12" t="n"/>
      <c r="S2773" s="12" t="inlineStr">
        <is>
          <t>Tray / conduit</t>
        </is>
      </c>
      <c r="T2773" s="15" t="n">
        <v>140</v>
      </c>
      <c r="U2773" s="15" t="n">
        <v>10</v>
      </c>
      <c r="V2773" s="15">
        <f>ROUNDUP((T2773+U2773+2*'Read Me'!$B$13)*(1+'Read Me'!$B$12),-1)</f>
        <v/>
      </c>
      <c r="W2773" s="15">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E-I-0047</t>
        </is>
      </c>
      <c r="B2774" s="12" t="inlineStr">
        <is>
          <t>E</t>
        </is>
      </c>
      <c r="C2774" s="12" t="inlineStr">
        <is>
          <t>Water / utilities</t>
        </is>
      </c>
      <c r="D2774" s="12" t="inlineStr">
        <is>
          <t>Home run JB-Wastewater treatme-DI01 to the control / marshalling room</t>
        </is>
      </c>
      <c r="E2774" s="12" t="inlineStr">
        <is>
          <t>R-WT</t>
        </is>
      </c>
      <c r="F2774" s="12" t="inlineStr">
        <is>
          <t>Water treatment building (incl. R-WT electrical room)</t>
        </is>
      </c>
      <c r="G2774" s="12" t="inlineStr">
        <is>
          <t>JB-Wastewater treatme-DI01</t>
        </is>
      </c>
      <c r="H2774" s="12" t="inlineStr">
        <is>
          <t>Wastewater treatment</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Tray</t>
        </is>
      </c>
      <c r="T2774" s="15" t="n">
        <v>0</v>
      </c>
      <c r="U2774" s="15" t="n">
        <v>62</v>
      </c>
      <c r="V2774" s="15">
        <f>ROUNDUP((T2774+U2774+2*'Read Me'!$B$13)*(1+'Read Me'!$B$12),-1)</f>
        <v/>
      </c>
      <c r="W2774" s="15">
        <f>V2774*N2774*O2774</f>
        <v/>
      </c>
      <c r="X2774" s="12">
        <f>IF(LEFT(I2774,2)="MV",2*N2774*IF(L2774="1/C",O2774,1),0)</f>
        <v/>
      </c>
      <c r="Y2774" s="12">
        <f>IF(OR(LEFT(K2774,4)="LVAX",LEFT(K2774,6)="MV15AX",LEFT(K2774,4)="CTAX",LEFT(K2774,2)="W|"),2*N2774*O2774,0)</f>
        <v/>
      </c>
      <c r="Z2774" s="12" t="inlineStr"/>
      <c r="AA2774" s="12">
        <f>N2774*O2774</f>
        <v/>
      </c>
    </row>
    <row r="2775">
      <c r="A2775" s="12" t="inlineStr">
        <is>
          <t>E-I-0048</t>
        </is>
      </c>
      <c r="B2775" s="12" t="inlineStr">
        <is>
          <t>E</t>
        </is>
      </c>
      <c r="C2775" s="12" t="inlineStr">
        <is>
          <t>Water / utilities</t>
        </is>
      </c>
      <c r="D2775" s="12" t="inlineStr">
        <is>
          <t>Discrete device to JB JB-Wastewater treatme-DI02: 10 x 1 pr (field cables)</t>
        </is>
      </c>
      <c r="E2775" s="12" t="inlineStr"/>
      <c r="F2775" s="12" t="inlineStr">
        <is>
          <t>Wastewater treatment</t>
        </is>
      </c>
      <c r="G2775" s="12" t="inlineStr">
        <is>
          <t>JB-Wastewater treatme-DI02</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10</v>
      </c>
      <c r="O2775" s="12" t="n">
        <v>1</v>
      </c>
      <c r="P2775" s="12" t="n"/>
      <c r="Q2775" s="12" t="n"/>
      <c r="R2775" s="12" t="n"/>
      <c r="S2775" s="12" t="inlineStr">
        <is>
          <t>Tray / conduit</t>
        </is>
      </c>
      <c r="T2775" s="15" t="n">
        <v>140</v>
      </c>
      <c r="U2775" s="15" t="n">
        <v>10</v>
      </c>
      <c r="V2775" s="15">
        <f>ROUNDUP((T2775+U2775+2*'Read Me'!$B$13)*(1+'Read Me'!$B$12),-1)</f>
        <v/>
      </c>
      <c r="W2775" s="15">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E-I-0049</t>
        </is>
      </c>
      <c r="B2776" s="12" t="inlineStr">
        <is>
          <t>E</t>
        </is>
      </c>
      <c r="C2776" s="12" t="inlineStr">
        <is>
          <t>Water / utilities</t>
        </is>
      </c>
      <c r="D2776" s="12" t="inlineStr">
        <is>
          <t>Home run JB-Wastewater treatme-DI02 to the control / marshalling room</t>
        </is>
      </c>
      <c r="E2776" s="12" t="inlineStr">
        <is>
          <t>R-WT</t>
        </is>
      </c>
      <c r="F2776" s="12" t="inlineStr">
        <is>
          <t>Water treatment building (incl. R-WT electrical room)</t>
        </is>
      </c>
      <c r="G2776" s="12" t="inlineStr">
        <is>
          <t>JB-Wastewater treatme-DI02</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Tray</t>
        </is>
      </c>
      <c r="T2776" s="15" t="n">
        <v>0</v>
      </c>
      <c r="U2776" s="15" t="n">
        <v>62</v>
      </c>
      <c r="V2776" s="15">
        <f>ROUNDUP((T2776+U2776+2*'Read Me'!$B$13)*(1+'Read Me'!$B$12),-1)</f>
        <v/>
      </c>
      <c r="W2776" s="15">
        <f>V2776*N2776*O2776</f>
        <v/>
      </c>
      <c r="X2776" s="12">
        <f>IF(LEFT(I2776,2)="MV",2*N2776*IF(L2776="1/C",O2776,1),0)</f>
        <v/>
      </c>
      <c r="Y2776" s="12">
        <f>IF(OR(LEFT(K2776,4)="LVAX",LEFT(K2776,6)="MV15AX",LEFT(K2776,4)="CTAX",LEFT(K2776,2)="W|"),2*N2776*O2776,0)</f>
        <v/>
      </c>
      <c r="Z2776" s="12" t="inlineStr"/>
      <c r="AA2776" s="12">
        <f>N2776*O2776</f>
        <v/>
      </c>
    </row>
    <row r="2777">
      <c r="A2777" s="12" t="inlineStr">
        <is>
          <t>E-I-0050</t>
        </is>
      </c>
      <c r="B2777" s="12" t="inlineStr">
        <is>
          <t>E</t>
        </is>
      </c>
      <c r="C2777" s="12" t="inlineStr">
        <is>
          <t>Water / utilities</t>
        </is>
      </c>
      <c r="D2777" s="12" t="inlineStr">
        <is>
          <t>Analog instrument to JB JB-R-WT-AI01: 20 x 1 pr (field cables)</t>
        </is>
      </c>
      <c r="E2777" s="12" t="inlineStr">
        <is>
          <t>R-WT</t>
        </is>
      </c>
      <c r="F2777" s="12" t="inlineStr">
        <is>
          <t>Water treatment building (incl. R-WT electrical room)</t>
        </is>
      </c>
      <c r="G2777" s="12" t="inlineStr">
        <is>
          <t>JB-R-WT-AI01</t>
        </is>
      </c>
      <c r="H2777" s="12" t="inlineStr">
        <is>
          <t>Water treatment building (incl. R-WT electrical room)</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5" t="n">
        <v>160</v>
      </c>
      <c r="U2777" s="15" t="n">
        <v>10</v>
      </c>
      <c r="V2777" s="15">
        <f>ROUNDUP((T2777+U2777+2*'Read Me'!$B$13)*(1+'Read Me'!$B$12),-1)</f>
        <v/>
      </c>
      <c r="W2777" s="15">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E-I-0051</t>
        </is>
      </c>
      <c r="B2778" s="12" t="inlineStr">
        <is>
          <t>E</t>
        </is>
      </c>
      <c r="C2778" s="12" t="inlineStr">
        <is>
          <t>Water / utilities</t>
        </is>
      </c>
      <c r="D2778" s="12" t="inlineStr">
        <is>
          <t>Home run JB-R-WT-AI01 to the control / marshalling room</t>
        </is>
      </c>
      <c r="E2778" s="12" t="inlineStr">
        <is>
          <t>R-WT</t>
        </is>
      </c>
      <c r="F2778" s="12" t="inlineStr">
        <is>
          <t>Water treatment building (incl. R-WT electrical room)</t>
        </is>
      </c>
      <c r="G2778" s="12" t="inlineStr">
        <is>
          <t>JB-R-WT-AI01</t>
        </is>
      </c>
      <c r="H2778" s="12" t="inlineStr">
        <is>
          <t>Water treatment building (incl. R-WT electrical room)</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Tray</t>
        </is>
      </c>
      <c r="T2778" s="15" t="n">
        <v>0</v>
      </c>
      <c r="U2778" s="15" t="n">
        <v>32</v>
      </c>
      <c r="V2778" s="15">
        <f>ROUNDUP((T2778+U2778+2*'Read Me'!$B$13)*(1+'Read Me'!$B$12),-1)</f>
        <v/>
      </c>
      <c r="W2778" s="15">
        <f>V2778*N2778*O2778</f>
        <v/>
      </c>
      <c r="X2778" s="12">
        <f>IF(LEFT(I2778,2)="MV",2*N2778*IF(L2778="1/C",O2778,1),0)</f>
        <v/>
      </c>
      <c r="Y2778" s="12">
        <f>IF(OR(LEFT(K2778,4)="LVAX",LEFT(K2778,6)="MV15AX",LEFT(K2778,4)="CTAX",LEFT(K2778,2)="W|"),2*N2778*O2778,0)</f>
        <v/>
      </c>
      <c r="Z2778" s="12" t="inlineStr"/>
      <c r="AA2778" s="12">
        <f>N2778*O2778</f>
        <v/>
      </c>
    </row>
    <row r="2779">
      <c r="A2779" s="12" t="inlineStr">
        <is>
          <t>E-I-0052</t>
        </is>
      </c>
      <c r="B2779" s="12" t="inlineStr">
        <is>
          <t>E</t>
        </is>
      </c>
      <c r="C2779" s="12" t="inlineStr">
        <is>
          <t>Water / utilities</t>
        </is>
      </c>
      <c r="D2779" s="12" t="inlineStr">
        <is>
          <t>Analog instrument to JB JB-R-WT-AI02: 20 x 1 pr (field cables)</t>
        </is>
      </c>
      <c r="E2779" s="12" t="inlineStr">
        <is>
          <t>R-WT</t>
        </is>
      </c>
      <c r="F2779" s="12" t="inlineStr">
        <is>
          <t>Water treatment building (incl. R-WT electrical room)</t>
        </is>
      </c>
      <c r="G2779" s="12" t="inlineStr">
        <is>
          <t>JB-R-WT-AI02</t>
        </is>
      </c>
      <c r="H2779" s="12" t="inlineStr">
        <is>
          <t>Water treatment building (incl. R-WT electrical room)</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5" t="n">
        <v>160</v>
      </c>
      <c r="U2779" s="15" t="n">
        <v>10</v>
      </c>
      <c r="V2779" s="15">
        <f>ROUNDUP((T2779+U2779+2*'Read Me'!$B$13)*(1+'Read Me'!$B$12),-1)</f>
        <v/>
      </c>
      <c r="W2779" s="15">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E-I-0053</t>
        </is>
      </c>
      <c r="B2780" s="12" t="inlineStr">
        <is>
          <t>E</t>
        </is>
      </c>
      <c r="C2780" s="12" t="inlineStr">
        <is>
          <t>Water / utilities</t>
        </is>
      </c>
      <c r="D2780" s="12" t="inlineStr">
        <is>
          <t>Home run JB-R-WT-AI02 to the control / marshalling room</t>
        </is>
      </c>
      <c r="E2780" s="12" t="inlineStr">
        <is>
          <t>R-WT</t>
        </is>
      </c>
      <c r="F2780" s="12" t="inlineStr">
        <is>
          <t>Water treatment building (incl. R-WT electrical room)</t>
        </is>
      </c>
      <c r="G2780" s="12" t="inlineStr">
        <is>
          <t>JB-R-WT-AI02</t>
        </is>
      </c>
      <c r="H2780" s="12" t="inlineStr">
        <is>
          <t>Water treatment building (incl. R-WT electrical room)</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Tray</t>
        </is>
      </c>
      <c r="T2780" s="15" t="n">
        <v>0</v>
      </c>
      <c r="U2780" s="15" t="n">
        <v>32</v>
      </c>
      <c r="V2780" s="15">
        <f>ROUNDUP((T2780+U2780+2*'Read Me'!$B$13)*(1+'Read Me'!$B$12),-1)</f>
        <v/>
      </c>
      <c r="W2780" s="15">
        <f>V2780*N2780*O2780</f>
        <v/>
      </c>
      <c r="X2780" s="12">
        <f>IF(LEFT(I2780,2)="MV",2*N2780*IF(L2780="1/C",O2780,1),0)</f>
        <v/>
      </c>
      <c r="Y2780" s="12">
        <f>IF(OR(LEFT(K2780,4)="LVAX",LEFT(K2780,6)="MV15AX",LEFT(K2780,4)="CTAX",LEFT(K2780,2)="W|"),2*N2780*O2780,0)</f>
        <v/>
      </c>
      <c r="Z2780" s="12" t="inlineStr"/>
      <c r="AA2780" s="12">
        <f>N2780*O2780</f>
        <v/>
      </c>
    </row>
    <row r="2781">
      <c r="A2781" s="12" t="inlineStr">
        <is>
          <t>E-I-0054</t>
        </is>
      </c>
      <c r="B2781" s="12" t="inlineStr">
        <is>
          <t>E</t>
        </is>
      </c>
      <c r="C2781" s="12" t="inlineStr">
        <is>
          <t>Water / utilities</t>
        </is>
      </c>
      <c r="D2781" s="12" t="inlineStr">
        <is>
          <t>Analog instrument to JB JB-R-WT-AI03: 20 x 1 pr (field cables)</t>
        </is>
      </c>
      <c r="E2781" s="12" t="inlineStr">
        <is>
          <t>R-WT</t>
        </is>
      </c>
      <c r="F2781" s="12" t="inlineStr">
        <is>
          <t>Water treatment building (incl. R-WT electrical room)</t>
        </is>
      </c>
      <c r="G2781" s="12" t="inlineStr">
        <is>
          <t>JB-R-WT-AI03</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5" t="n">
        <v>160</v>
      </c>
      <c r="U2781" s="15" t="n">
        <v>10</v>
      </c>
      <c r="V2781" s="15">
        <f>ROUNDUP((T2781+U2781+2*'Read Me'!$B$13)*(1+'Read Me'!$B$12),-1)</f>
        <v/>
      </c>
      <c r="W2781" s="15">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E-I-0055</t>
        </is>
      </c>
      <c r="B2782" s="12" t="inlineStr">
        <is>
          <t>E</t>
        </is>
      </c>
      <c r="C2782" s="12" t="inlineStr">
        <is>
          <t>Water / utilities</t>
        </is>
      </c>
      <c r="D2782" s="12" t="inlineStr">
        <is>
          <t>Home run JB-R-WT-AI03 to the control / marshalling room</t>
        </is>
      </c>
      <c r="E2782" s="12" t="inlineStr">
        <is>
          <t>R-WT</t>
        </is>
      </c>
      <c r="F2782" s="12" t="inlineStr">
        <is>
          <t>Water treatment building (incl. R-WT electrical room)</t>
        </is>
      </c>
      <c r="G2782" s="12" t="inlineStr">
        <is>
          <t>JB-R-WT-AI03</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5" t="n">
        <v>0</v>
      </c>
      <c r="U2782" s="15" t="n">
        <v>32</v>
      </c>
      <c r="V2782" s="15">
        <f>ROUNDUP((T2782+U2782+2*'Read Me'!$B$13)*(1+'Read Me'!$B$12),-1)</f>
        <v/>
      </c>
      <c r="W2782" s="15">
        <f>V2782*N2782*O2782</f>
        <v/>
      </c>
      <c r="X2782" s="12">
        <f>IF(LEFT(I2782,2)="MV",2*N2782*IF(L2782="1/C",O2782,1),0)</f>
        <v/>
      </c>
      <c r="Y2782" s="12">
        <f>IF(OR(LEFT(K2782,4)="LVAX",LEFT(K2782,6)="MV15AX",LEFT(K2782,4)="CTAX",LEFT(K2782,2)="W|"),2*N2782*O2782,0)</f>
        <v/>
      </c>
      <c r="Z2782" s="12" t="inlineStr"/>
      <c r="AA2782" s="12">
        <f>N2782*O2782</f>
        <v/>
      </c>
    </row>
    <row r="2783">
      <c r="A2783" s="12" t="inlineStr">
        <is>
          <t>E-I-0056</t>
        </is>
      </c>
      <c r="B2783" s="12" t="inlineStr">
        <is>
          <t>E</t>
        </is>
      </c>
      <c r="C2783" s="12" t="inlineStr">
        <is>
          <t>Water / utilities</t>
        </is>
      </c>
      <c r="D2783" s="12" t="inlineStr">
        <is>
          <t>Discrete device to JB JB-R-WT-DI01: 20 x 1 pr (field cables)</t>
        </is>
      </c>
      <c r="E2783" s="12" t="inlineStr">
        <is>
          <t>R-WT</t>
        </is>
      </c>
      <c r="F2783" s="12" t="inlineStr">
        <is>
          <t>Water treatment building (incl. R-WT electrical room)</t>
        </is>
      </c>
      <c r="G2783" s="12" t="inlineStr">
        <is>
          <t>JB-R-WT-DI01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5" t="n">
        <v>160</v>
      </c>
      <c r="U2783" s="15" t="n">
        <v>10</v>
      </c>
      <c r="V2783" s="15">
        <f>ROUNDUP((T2783+U2783+2*'Read Me'!$B$13)*(1+'Read Me'!$B$12),-1)</f>
        <v/>
      </c>
      <c r="W2783" s="15">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E-I-0057</t>
        </is>
      </c>
      <c r="B2784" s="12" t="inlineStr">
        <is>
          <t>E</t>
        </is>
      </c>
      <c r="C2784" s="12" t="inlineStr">
        <is>
          <t>Water / utilities</t>
        </is>
      </c>
      <c r="D2784" s="12" t="inlineStr">
        <is>
          <t>Home run JB-R-WT-DI01 to the control / marshalling room</t>
        </is>
      </c>
      <c r="E2784" s="12" t="inlineStr">
        <is>
          <t>R-WT</t>
        </is>
      </c>
      <c r="F2784" s="12" t="inlineStr">
        <is>
          <t>Water treatment building (incl. R-WT electrical room)</t>
        </is>
      </c>
      <c r="G2784" s="12" t="inlineStr">
        <is>
          <t>JB-R-WT-DI01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5" t="n">
        <v>0</v>
      </c>
      <c r="U2784" s="15" t="n">
        <v>32</v>
      </c>
      <c r="V2784" s="15">
        <f>ROUNDUP((T2784+U2784+2*'Read Me'!$B$13)*(1+'Read Me'!$B$12),-1)</f>
        <v/>
      </c>
      <c r="W2784" s="15">
        <f>V2784*N2784*O2784</f>
        <v/>
      </c>
      <c r="X2784" s="12">
        <f>IF(LEFT(I2784,2)="MV",2*N2784*IF(L2784="1/C",O2784,1),0)</f>
        <v/>
      </c>
      <c r="Y2784" s="12">
        <f>IF(OR(LEFT(K2784,4)="LVAX",LEFT(K2784,6)="MV15AX",LEFT(K2784,4)="CTAX",LEFT(K2784,2)="W|"),2*N2784*O2784,0)</f>
        <v/>
      </c>
      <c r="Z2784" s="12" t="inlineStr"/>
      <c r="AA2784" s="12">
        <f>N2784*O2784</f>
        <v/>
      </c>
    </row>
    <row r="2785">
      <c r="A2785" s="12" t="inlineStr">
        <is>
          <t>E-I-0058</t>
        </is>
      </c>
      <c r="B2785" s="12" t="inlineStr">
        <is>
          <t>E</t>
        </is>
      </c>
      <c r="C2785" s="12" t="inlineStr">
        <is>
          <t>Water / utilities</t>
        </is>
      </c>
      <c r="D2785" s="12" t="inlineStr">
        <is>
          <t>Discrete device to JB JB-R-WT-DI02: 20 x 1 pr (field cables)</t>
        </is>
      </c>
      <c r="E2785" s="12" t="inlineStr">
        <is>
          <t>R-WT</t>
        </is>
      </c>
      <c r="F2785" s="12" t="inlineStr">
        <is>
          <t>Water treatment building (incl. R-WT electrical room)</t>
        </is>
      </c>
      <c r="G2785" s="12" t="inlineStr">
        <is>
          <t>JB-R-WT-DI02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5" t="n">
        <v>160</v>
      </c>
      <c r="U2785" s="15" t="n">
        <v>10</v>
      </c>
      <c r="V2785" s="15">
        <f>ROUNDUP((T2785+U2785+2*'Read Me'!$B$13)*(1+'Read Me'!$B$12),-1)</f>
        <v/>
      </c>
      <c r="W2785" s="15">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E-I-0059</t>
        </is>
      </c>
      <c r="B2786" s="12" t="inlineStr">
        <is>
          <t>E</t>
        </is>
      </c>
      <c r="C2786" s="12" t="inlineStr">
        <is>
          <t>Water / utilities</t>
        </is>
      </c>
      <c r="D2786" s="12" t="inlineStr">
        <is>
          <t>Home run JB-R-WT-DI02 to the control / marshalling room</t>
        </is>
      </c>
      <c r="E2786" s="12" t="inlineStr">
        <is>
          <t>R-WT</t>
        </is>
      </c>
      <c r="F2786" s="12" t="inlineStr">
        <is>
          <t>Water treatment building (incl. R-WT electrical room)</t>
        </is>
      </c>
      <c r="G2786" s="12" t="inlineStr">
        <is>
          <t>JB-R-WT-DI02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5" t="n">
        <v>0</v>
      </c>
      <c r="U2786" s="15" t="n">
        <v>32</v>
      </c>
      <c r="V2786" s="15">
        <f>ROUNDUP((T2786+U2786+2*'Read Me'!$B$13)*(1+'Read Me'!$B$12),-1)</f>
        <v/>
      </c>
      <c r="W2786" s="15">
        <f>V2786*N2786*O2786</f>
        <v/>
      </c>
      <c r="X2786" s="12">
        <f>IF(LEFT(I2786,2)="MV",2*N2786*IF(L2786="1/C",O2786,1),0)</f>
        <v/>
      </c>
      <c r="Y2786" s="12">
        <f>IF(OR(LEFT(K2786,4)="LVAX",LEFT(K2786,6)="MV15AX",LEFT(K2786,4)="CTAX",LEFT(K2786,2)="W|"),2*N2786*O2786,0)</f>
        <v/>
      </c>
      <c r="Z2786" s="12" t="inlineStr"/>
      <c r="AA2786" s="12">
        <f>N2786*O2786</f>
        <v/>
      </c>
    </row>
    <row r="2787">
      <c r="A2787" s="12" t="inlineStr">
        <is>
          <t>E-I-0060</t>
        </is>
      </c>
      <c r="B2787" s="12" t="inlineStr">
        <is>
          <t>E</t>
        </is>
      </c>
      <c r="C2787" s="12" t="inlineStr">
        <is>
          <t>Water / utilities</t>
        </is>
      </c>
      <c r="D2787" s="12" t="inlineStr">
        <is>
          <t>Discrete device to JB JB-R-WT-DI03: 20 x 1 pr (field cables)</t>
        </is>
      </c>
      <c r="E2787" s="12" t="inlineStr">
        <is>
          <t>R-WT</t>
        </is>
      </c>
      <c r="F2787" s="12" t="inlineStr">
        <is>
          <t>Water treatment building (incl. R-WT electrical room)</t>
        </is>
      </c>
      <c r="G2787" s="12" t="inlineStr">
        <is>
          <t>JB-R-WT-DI03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5" t="n">
        <v>160</v>
      </c>
      <c r="U2787" s="15" t="n">
        <v>10</v>
      </c>
      <c r="V2787" s="15">
        <f>ROUNDUP((T2787+U2787+2*'Read Me'!$B$13)*(1+'Read Me'!$B$12),-1)</f>
        <v/>
      </c>
      <c r="W2787" s="15">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E-I-0061</t>
        </is>
      </c>
      <c r="B2788" s="12" t="inlineStr">
        <is>
          <t>E</t>
        </is>
      </c>
      <c r="C2788" s="12" t="inlineStr">
        <is>
          <t>Water / utilities</t>
        </is>
      </c>
      <c r="D2788" s="12" t="inlineStr">
        <is>
          <t>Home run JB-R-WT-DI03 to the control / marshalling room</t>
        </is>
      </c>
      <c r="E2788" s="12" t="inlineStr">
        <is>
          <t>R-WT</t>
        </is>
      </c>
      <c r="F2788" s="12" t="inlineStr">
        <is>
          <t>Water treatment building (incl. R-WT electrical room)</t>
        </is>
      </c>
      <c r="G2788" s="12" t="inlineStr">
        <is>
          <t>JB-R-WT-DI03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5" t="n">
        <v>0</v>
      </c>
      <c r="U2788" s="15" t="n">
        <v>32</v>
      </c>
      <c r="V2788" s="15">
        <f>ROUNDUP((T2788+U2788+2*'Read Me'!$B$13)*(1+'Read Me'!$B$12),-1)</f>
        <v/>
      </c>
      <c r="W2788" s="15">
        <f>V2788*N2788*O2788</f>
        <v/>
      </c>
      <c r="X2788" s="12">
        <f>IF(LEFT(I2788,2)="MV",2*N2788*IF(L2788="1/C",O2788,1),0)</f>
        <v/>
      </c>
      <c r="Y2788" s="12">
        <f>IF(OR(LEFT(K2788,4)="LVAX",LEFT(K2788,6)="MV15AX",LEFT(K2788,4)="CTAX",LEFT(K2788,2)="W|"),2*N2788*O2788,0)</f>
        <v/>
      </c>
      <c r="Z2788" s="12" t="inlineStr"/>
      <c r="AA2788" s="12">
        <f>N2788*O2788</f>
        <v/>
      </c>
    </row>
    <row r="2789">
      <c r="A2789" s="12" t="inlineStr">
        <is>
          <t>E-I-0062</t>
        </is>
      </c>
      <c r="B2789" s="12" t="inlineStr">
        <is>
          <t>E</t>
        </is>
      </c>
      <c r="C2789" s="12" t="inlineStr">
        <is>
          <t>Water / utilities</t>
        </is>
      </c>
      <c r="D2789" s="12" t="inlineStr">
        <is>
          <t>Discrete device to JB JB-R-WT-DI04: 20 x 1 pr (field cables)</t>
        </is>
      </c>
      <c r="E2789" s="12" t="inlineStr">
        <is>
          <t>R-WT</t>
        </is>
      </c>
      <c r="F2789" s="12" t="inlineStr">
        <is>
          <t>Water treatment building (incl. R-WT electrical room)</t>
        </is>
      </c>
      <c r="G2789" s="12" t="inlineStr">
        <is>
          <t>JB-R-WT-DI04</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5" t="n">
        <v>160</v>
      </c>
      <c r="U2789" s="15" t="n">
        <v>10</v>
      </c>
      <c r="V2789" s="15">
        <f>ROUNDUP((T2789+U2789+2*'Read Me'!$B$13)*(1+'Read Me'!$B$12),-1)</f>
        <v/>
      </c>
      <c r="W2789" s="15">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E-I-0063</t>
        </is>
      </c>
      <c r="B2790" s="12" t="inlineStr">
        <is>
          <t>E</t>
        </is>
      </c>
      <c r="C2790" s="12" t="inlineStr">
        <is>
          <t>Water / utilities</t>
        </is>
      </c>
      <c r="D2790" s="12" t="inlineStr">
        <is>
          <t>Home run JB-R-WT-DI04 to the control / marshalling room</t>
        </is>
      </c>
      <c r="E2790" s="12" t="inlineStr">
        <is>
          <t>R-WT</t>
        </is>
      </c>
      <c r="F2790" s="12" t="inlineStr">
        <is>
          <t>Water treatment building (incl. R-WT electrical room)</t>
        </is>
      </c>
      <c r="G2790" s="12" t="inlineStr">
        <is>
          <t>JB-R-WT-DI04</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5" t="n">
        <v>0</v>
      </c>
      <c r="U2790" s="15" t="n">
        <v>32</v>
      </c>
      <c r="V2790" s="15">
        <f>ROUNDUP((T2790+U2790+2*'Read Me'!$B$13)*(1+'Read Me'!$B$12),-1)</f>
        <v/>
      </c>
      <c r="W2790" s="15">
        <f>V2790*N2790*O2790</f>
        <v/>
      </c>
      <c r="X2790" s="12">
        <f>IF(LEFT(I2790,2)="MV",2*N2790*IF(L2790="1/C",O2790,1),0)</f>
        <v/>
      </c>
      <c r="Y2790" s="12">
        <f>IF(OR(LEFT(K2790,4)="LVAX",LEFT(K2790,6)="MV15AX",LEFT(K2790,4)="CTAX",LEFT(K2790,2)="W|"),2*N2790*O2790,0)</f>
        <v/>
      </c>
      <c r="Z2790" s="12" t="inlineStr"/>
      <c r="AA2790" s="12">
        <f>N2790*O2790</f>
        <v/>
      </c>
    </row>
    <row r="2791">
      <c r="A2791" s="12" t="inlineStr">
        <is>
          <t>E-P-0001</t>
        </is>
      </c>
      <c r="B2791" s="12" t="inlineStr">
        <is>
          <t>E</t>
        </is>
      </c>
      <c r="C2791" s="12" t="inlineStr">
        <is>
          <t>Water / utilities</t>
        </is>
      </c>
      <c r="D2791" s="12" t="inlineStr">
        <is>
          <t>Motor 1 of 2, 7 kW</t>
        </is>
      </c>
      <c r="E2791" s="12" t="inlineStr">
        <is>
          <t>MCC-C2</t>
        </is>
      </c>
      <c r="F2791" s="12" t="inlineStr">
        <is>
          <t>R1 MCC-C2</t>
        </is>
      </c>
      <c r="G2791" s="12" t="inlineStr"/>
      <c r="H2791" s="12" t="inlineStr">
        <is>
          <t>Ammonia storage (aqueous, SCR reagent)</t>
        </is>
      </c>
      <c r="I2791" s="12" t="inlineStr">
        <is>
          <t>LV 600 V</t>
        </is>
      </c>
      <c r="J2791" s="12" t="inlineStr">
        <is>
          <t>Type TC-ER 600 V 3/C Cu XHHW-2 + ground, PVC jacket</t>
        </is>
      </c>
      <c r="K2791" s="12" t="inlineStr">
        <is>
          <t>LV|3/C+G|6</t>
        </is>
      </c>
      <c r="L2791" s="12" t="inlineStr">
        <is>
          <t>3/C+G</t>
        </is>
      </c>
      <c r="M2791" s="12" t="inlineStr">
        <is>
          <t>6</t>
        </is>
      </c>
      <c r="N2791" s="12" t="n">
        <v>1</v>
      </c>
      <c r="O2791" s="12" t="n">
        <v>1</v>
      </c>
      <c r="P2791" s="12" t="n">
        <v>480</v>
      </c>
      <c r="Q2791" s="12" t="n">
        <v>7</v>
      </c>
      <c r="R2791" s="12" t="n">
        <v>9.9</v>
      </c>
      <c r="S2791" s="12" t="inlineStr">
        <is>
          <t>Estimated</t>
        </is>
      </c>
      <c r="T2791" s="15" t="n">
        <v>1158</v>
      </c>
      <c r="U2791" s="15" t="n">
        <v>40</v>
      </c>
      <c r="V2791" s="15">
        <f>ROUNDUP((T2791+U2791+2*'Read Me'!$B$13)*(1+'Read Me'!$B$12),-1)</f>
        <v/>
      </c>
      <c r="W2791" s="15">
        <f>V2791*N2791*O2791</f>
        <v/>
      </c>
      <c r="X2791" s="12">
        <f>IF(LEFT(I2791,2)="MV",2*N2791*IF(L2791="1/C",O2791,1),0)</f>
        <v/>
      </c>
      <c r="Y2791" s="12">
        <f>IF(OR(LEFT(K2791,4)="LVAX",LEFT(K2791,6)="MV15AX",LEFT(K2791,4)="CTAX",LEFT(K2791,2)="W|"),2*N2791*O2791,0)</f>
        <v/>
      </c>
      <c r="Z2791" s="12" t="inlineStr">
        <is>
          <t>VD 2.3 %</t>
        </is>
      </c>
      <c r="AA2791" s="12">
        <f>N2791*O2791</f>
        <v/>
      </c>
    </row>
    <row r="2792">
      <c r="A2792" s="12" t="inlineStr">
        <is>
          <t>E-P-0002</t>
        </is>
      </c>
      <c r="B2792" s="12" t="inlineStr">
        <is>
          <t>E</t>
        </is>
      </c>
      <c r="C2792" s="12" t="inlineStr">
        <is>
          <t>Water / utilities</t>
        </is>
      </c>
      <c r="D2792" s="12" t="inlineStr">
        <is>
          <t>Motor 2 of 2, 7 kW</t>
        </is>
      </c>
      <c r="E2792" s="12" t="inlineStr">
        <is>
          <t>MCC-C2</t>
        </is>
      </c>
      <c r="F2792" s="12" t="inlineStr">
        <is>
          <t>R1 MCC-C2</t>
        </is>
      </c>
      <c r="G2792" s="12" t="inlineStr"/>
      <c r="H2792" s="12" t="inlineStr">
        <is>
          <t>Ammonia storage (aqueous, SCR reagent)</t>
        </is>
      </c>
      <c r="I2792" s="12" t="inlineStr">
        <is>
          <t>LV 600 V</t>
        </is>
      </c>
      <c r="J2792" s="12" t="inlineStr">
        <is>
          <t>Type TC-ER 600 V 3/C Cu XHHW-2 + ground, PVC jacket</t>
        </is>
      </c>
      <c r="K2792" s="12" t="inlineStr">
        <is>
          <t>LV|3/C+G|6</t>
        </is>
      </c>
      <c r="L2792" s="12" t="inlineStr">
        <is>
          <t>3/C+G</t>
        </is>
      </c>
      <c r="M2792" s="12" t="inlineStr">
        <is>
          <t>6</t>
        </is>
      </c>
      <c r="N2792" s="12" t="n">
        <v>1</v>
      </c>
      <c r="O2792" s="12" t="n">
        <v>1</v>
      </c>
      <c r="P2792" s="12" t="n">
        <v>480</v>
      </c>
      <c r="Q2792" s="12" t="n">
        <v>7</v>
      </c>
      <c r="R2792" s="12" t="n">
        <v>9.9</v>
      </c>
      <c r="S2792" s="12" t="inlineStr">
        <is>
          <t>Estimated</t>
        </is>
      </c>
      <c r="T2792" s="15" t="n">
        <v>1158</v>
      </c>
      <c r="U2792" s="15" t="n">
        <v>40</v>
      </c>
      <c r="V2792" s="15">
        <f>ROUNDUP((T2792+U2792+2*'Read Me'!$B$13)*(1+'Read Me'!$B$12),-1)</f>
        <v/>
      </c>
      <c r="W2792" s="15">
        <f>V2792*N2792*O2792</f>
        <v/>
      </c>
      <c r="X2792" s="12">
        <f>IF(LEFT(I2792,2)="MV",2*N2792*IF(L2792="1/C",O2792,1),0)</f>
        <v/>
      </c>
      <c r="Y2792" s="12">
        <f>IF(OR(LEFT(K2792,4)="LVAX",LEFT(K2792,6)="MV15AX",LEFT(K2792,4)="CTAX",LEFT(K2792,2)="W|"),2*N2792*O2792,0)</f>
        <v/>
      </c>
      <c r="Z2792" s="12" t="inlineStr">
        <is>
          <t>VD 2.3 %</t>
        </is>
      </c>
      <c r="AA2792" s="12">
        <f>N2792*O2792</f>
        <v/>
      </c>
    </row>
    <row r="2793">
      <c r="A2793" s="12" t="inlineStr">
        <is>
          <t>E-P-0003</t>
        </is>
      </c>
      <c r="B2793" s="12" t="inlineStr">
        <is>
          <t>E</t>
        </is>
      </c>
      <c r="C2793" s="12" t="inlineStr">
        <is>
          <t>Water / utilities</t>
        </is>
      </c>
      <c r="D2793" s="12" t="inlineStr">
        <is>
          <t>Motor 1 of 3, 30 kW</t>
        </is>
      </c>
      <c r="E2793" s="12" t="inlineStr">
        <is>
          <t>MCC-C2</t>
        </is>
      </c>
      <c r="F2793" s="12" t="inlineStr">
        <is>
          <t>R1 MCC-C2</t>
        </is>
      </c>
      <c r="G2793" s="12" t="inlineStr"/>
      <c r="H2793" s="12" t="inlineStr">
        <is>
          <t>Auxiliary boiler</t>
        </is>
      </c>
      <c r="I2793" s="12" t="inlineStr">
        <is>
          <t>LV 600 V</t>
        </is>
      </c>
      <c r="J2793" s="12" t="inlineStr">
        <is>
          <t>Type TC-ER 600 V 3/C Cu XHHW-2 + ground, PVC jacket</t>
        </is>
      </c>
      <c r="K2793" s="12" t="inlineStr">
        <is>
          <t>LV|3/C+G|1/0</t>
        </is>
      </c>
      <c r="L2793" s="12" t="inlineStr">
        <is>
          <t>3/C+G</t>
        </is>
      </c>
      <c r="M2793" s="12" t="inlineStr">
        <is>
          <t>1/0</t>
        </is>
      </c>
      <c r="N2793" s="12" t="n">
        <v>1</v>
      </c>
      <c r="O2793" s="12" t="n">
        <v>1</v>
      </c>
      <c r="P2793" s="12" t="n">
        <v>480</v>
      </c>
      <c r="Q2793" s="12" t="n">
        <v>30</v>
      </c>
      <c r="R2793" s="12" t="n">
        <v>42.5</v>
      </c>
      <c r="S2793" s="12" t="inlineStr">
        <is>
          <t>Estimated</t>
        </is>
      </c>
      <c r="T2793" s="15" t="n">
        <v>1311</v>
      </c>
      <c r="U2793" s="15" t="n">
        <v>40</v>
      </c>
      <c r="V2793" s="15">
        <f>ROUNDUP((T2793+U2793+2*'Read Me'!$B$13)*(1+'Read Me'!$B$12),-1)</f>
        <v/>
      </c>
      <c r="W2793" s="15">
        <f>V2793*N2793*O2793</f>
        <v/>
      </c>
      <c r="X2793" s="12">
        <f>IF(LEFT(I2793,2)="MV",2*N2793*IF(L2793="1/C",O2793,1),0)</f>
        <v/>
      </c>
      <c r="Y2793" s="12">
        <f>IF(OR(LEFT(K2793,4)="LVAX",LEFT(K2793,6)="MV15AX",LEFT(K2793,4)="CTAX",LEFT(K2793,2)="W|"),2*N2793*O2793,0)</f>
        <v/>
      </c>
      <c r="Z2793" s="12" t="inlineStr">
        <is>
          <t>VD 2.8 %</t>
        </is>
      </c>
      <c r="AA2793" s="12">
        <f>N2793*O2793</f>
        <v/>
      </c>
    </row>
    <row r="2794">
      <c r="A2794" s="12" t="inlineStr">
        <is>
          <t>E-P-0004</t>
        </is>
      </c>
      <c r="B2794" s="12" t="inlineStr">
        <is>
          <t>E</t>
        </is>
      </c>
      <c r="C2794" s="12" t="inlineStr">
        <is>
          <t>Water / utilities</t>
        </is>
      </c>
      <c r="D2794" s="12" t="inlineStr">
        <is>
          <t>Motor 2 of 3, 30 kW</t>
        </is>
      </c>
      <c r="E2794" s="12" t="inlineStr">
        <is>
          <t>MCC-C2</t>
        </is>
      </c>
      <c r="F2794" s="12" t="inlineStr">
        <is>
          <t>R1 MCC-C2</t>
        </is>
      </c>
      <c r="G2794" s="12" t="inlineStr"/>
      <c r="H2794" s="12" t="inlineStr">
        <is>
          <t>Auxiliary boiler</t>
        </is>
      </c>
      <c r="I2794" s="12" t="inlineStr">
        <is>
          <t>LV 600 V</t>
        </is>
      </c>
      <c r="J2794" s="12" t="inlineStr">
        <is>
          <t>Type TC-ER 600 V 3/C Cu XHHW-2 + ground, PVC jacket</t>
        </is>
      </c>
      <c r="K2794" s="12" t="inlineStr">
        <is>
          <t>LV|3/C+G|1/0</t>
        </is>
      </c>
      <c r="L2794" s="12" t="inlineStr">
        <is>
          <t>3/C+G</t>
        </is>
      </c>
      <c r="M2794" s="12" t="inlineStr">
        <is>
          <t>1/0</t>
        </is>
      </c>
      <c r="N2794" s="12" t="n">
        <v>1</v>
      </c>
      <c r="O2794" s="12" t="n">
        <v>1</v>
      </c>
      <c r="P2794" s="12" t="n">
        <v>480</v>
      </c>
      <c r="Q2794" s="12" t="n">
        <v>30</v>
      </c>
      <c r="R2794" s="12" t="n">
        <v>42.5</v>
      </c>
      <c r="S2794" s="12" t="inlineStr">
        <is>
          <t>Estimated</t>
        </is>
      </c>
      <c r="T2794" s="15" t="n">
        <v>1311</v>
      </c>
      <c r="U2794" s="15" t="n">
        <v>40</v>
      </c>
      <c r="V2794" s="15">
        <f>ROUNDUP((T2794+U2794+2*'Read Me'!$B$13)*(1+'Read Me'!$B$12),-1)</f>
        <v/>
      </c>
      <c r="W2794" s="15">
        <f>V2794*N2794*O2794</f>
        <v/>
      </c>
      <c r="X2794" s="12">
        <f>IF(LEFT(I2794,2)="MV",2*N2794*IF(L2794="1/C",O2794,1),0)</f>
        <v/>
      </c>
      <c r="Y2794" s="12">
        <f>IF(OR(LEFT(K2794,4)="LVAX",LEFT(K2794,6)="MV15AX",LEFT(K2794,4)="CTAX",LEFT(K2794,2)="W|"),2*N2794*O2794,0)</f>
        <v/>
      </c>
      <c r="Z2794" s="12" t="inlineStr">
        <is>
          <t>VD 2.8 %</t>
        </is>
      </c>
      <c r="AA2794" s="12">
        <f>N2794*O2794</f>
        <v/>
      </c>
    </row>
    <row r="2795">
      <c r="A2795" s="12" t="inlineStr">
        <is>
          <t>E-P-0005</t>
        </is>
      </c>
      <c r="B2795" s="12" t="inlineStr">
        <is>
          <t>E</t>
        </is>
      </c>
      <c r="C2795" s="12" t="inlineStr">
        <is>
          <t>Water / utilities</t>
        </is>
      </c>
      <c r="D2795" s="12" t="inlineStr">
        <is>
          <t>Motor 3 of 3, 30 kW</t>
        </is>
      </c>
      <c r="E2795" s="12" t="inlineStr">
        <is>
          <t>MCC-C2</t>
        </is>
      </c>
      <c r="F2795" s="12" t="inlineStr">
        <is>
          <t>R1 MCC-C2</t>
        </is>
      </c>
      <c r="G2795" s="12" t="inlineStr"/>
      <c r="H2795" s="12" t="inlineStr">
        <is>
          <t>Auxiliary boiler</t>
        </is>
      </c>
      <c r="I2795" s="12" t="inlineStr">
        <is>
          <t>LV 600 V</t>
        </is>
      </c>
      <c r="J2795" s="12" t="inlineStr">
        <is>
          <t>Type TC-ER 600 V 3/C Cu XHHW-2 + ground, PVC jacket</t>
        </is>
      </c>
      <c r="K2795" s="12" t="inlineStr">
        <is>
          <t>LV|3/C+G|1/0</t>
        </is>
      </c>
      <c r="L2795" s="12" t="inlineStr">
        <is>
          <t>3/C+G</t>
        </is>
      </c>
      <c r="M2795" s="12" t="inlineStr">
        <is>
          <t>1/0</t>
        </is>
      </c>
      <c r="N2795" s="12" t="n">
        <v>1</v>
      </c>
      <c r="O2795" s="12" t="n">
        <v>1</v>
      </c>
      <c r="P2795" s="12" t="n">
        <v>480</v>
      </c>
      <c r="Q2795" s="12" t="n">
        <v>30</v>
      </c>
      <c r="R2795" s="12" t="n">
        <v>42.5</v>
      </c>
      <c r="S2795" s="12" t="inlineStr">
        <is>
          <t>Estimated</t>
        </is>
      </c>
      <c r="T2795" s="15" t="n">
        <v>1311</v>
      </c>
      <c r="U2795" s="15" t="n">
        <v>40</v>
      </c>
      <c r="V2795" s="15">
        <f>ROUNDUP((T2795+U2795+2*'Read Me'!$B$13)*(1+'Read Me'!$B$12),-1)</f>
        <v/>
      </c>
      <c r="W2795" s="15">
        <f>V2795*N2795*O2795</f>
        <v/>
      </c>
      <c r="X2795" s="12">
        <f>IF(LEFT(I2795,2)="MV",2*N2795*IF(L2795="1/C",O2795,1),0)</f>
        <v/>
      </c>
      <c r="Y2795" s="12">
        <f>IF(OR(LEFT(K2795,4)="LVAX",LEFT(K2795,6)="MV15AX",LEFT(K2795,4)="CTAX",LEFT(K2795,2)="W|"),2*N2795*O2795,0)</f>
        <v/>
      </c>
      <c r="Z2795" s="12" t="inlineStr">
        <is>
          <t>VD 2.8 %</t>
        </is>
      </c>
      <c r="AA2795" s="12">
        <f>N2795*O2795</f>
        <v/>
      </c>
    </row>
    <row r="2796">
      <c r="A2796" s="12" t="inlineStr">
        <is>
          <t>E-P-0006</t>
        </is>
      </c>
      <c r="B2796" s="12" t="inlineStr">
        <is>
          <t>E</t>
        </is>
      </c>
      <c r="C2796" s="12" t="inlineStr">
        <is>
          <t>Water / utilities</t>
        </is>
      </c>
      <c r="D2796" s="12" t="inlineStr">
        <is>
          <t>Cathodic-protection rectifier supply</t>
        </is>
      </c>
      <c r="E2796" s="12" t="inlineStr">
        <is>
          <t>MCC-C2</t>
        </is>
      </c>
      <c r="F2796" s="12" t="inlineStr">
        <is>
          <t>R1 MCC-C2</t>
        </is>
      </c>
      <c r="G2796" s="12" t="inlineStr">
        <is>
          <t>CPR-2</t>
        </is>
      </c>
      <c r="H2796" s="12" t="inlineStr">
        <is>
          <t>CPR-2: cathodic-protection rectifier</t>
        </is>
      </c>
      <c r="I2796" s="12" t="inlineStr">
        <is>
          <t>LV 600 V</t>
        </is>
      </c>
      <c r="J2796" s="12" t="inlineStr">
        <is>
          <t>Type TC-ER 600 V 3/C Cu XHHW-2 + ground, PVC jacket</t>
        </is>
      </c>
      <c r="K2796" s="12" t="inlineStr">
        <is>
          <t>LV|3/C+G|6</t>
        </is>
      </c>
      <c r="L2796" s="12" t="inlineStr">
        <is>
          <t>3/C+G</t>
        </is>
      </c>
      <c r="M2796" s="12" t="inlineStr">
        <is>
          <t>6</t>
        </is>
      </c>
      <c r="N2796" s="12" t="n">
        <v>1</v>
      </c>
      <c r="O2796" s="12" t="n">
        <v>1</v>
      </c>
      <c r="P2796" s="12" t="n">
        <v>480</v>
      </c>
      <c r="Q2796" s="12" t="n">
        <v>10</v>
      </c>
      <c r="R2796" s="12" t="n">
        <v>12.7</v>
      </c>
      <c r="S2796" s="12" t="inlineStr">
        <is>
          <t>Estimated</t>
        </is>
      </c>
      <c r="T2796" s="15" t="n">
        <v>1088</v>
      </c>
      <c r="U2796" s="15" t="n">
        <v>40</v>
      </c>
      <c r="V2796" s="15">
        <f>ROUNDUP((T2796+U2796+2*'Read Me'!$B$13)*(1+'Read Me'!$B$12),-1)</f>
        <v/>
      </c>
      <c r="W2796" s="15">
        <f>V2796*N2796*O2796</f>
        <v/>
      </c>
      <c r="X2796" s="12">
        <f>IF(LEFT(I2796,2)="MV",2*N2796*IF(L2796="1/C",O2796,1),0)</f>
        <v/>
      </c>
      <c r="Y2796" s="12">
        <f>IF(OR(LEFT(K2796,4)="LVAX",LEFT(K2796,6)="MV15AX",LEFT(K2796,4)="CTAX",LEFT(K2796,2)="W|"),2*N2796*O2796,0)</f>
        <v/>
      </c>
      <c r="Z2796" s="12" t="inlineStr">
        <is>
          <t>VD 2.8 %</t>
        </is>
      </c>
      <c r="AA2796" s="12">
        <f>N2796*O2796</f>
        <v/>
      </c>
    </row>
    <row r="2797">
      <c r="A2797" s="12" t="inlineStr">
        <is>
          <t>E-P-0007</t>
        </is>
      </c>
      <c r="B2797" s="12" t="inlineStr">
        <is>
          <t>E</t>
        </is>
      </c>
      <c r="C2797" s="12" t="inlineStr">
        <is>
          <t>Water / utilities</t>
        </is>
      </c>
      <c r="D2797" s="12" t="inlineStr">
        <is>
          <t>CP anode / structure leads (allowance)</t>
        </is>
      </c>
      <c r="E2797" s="12" t="inlineStr">
        <is>
          <t>CPR-2</t>
        </is>
      </c>
      <c r="F2797" s="12" t="inlineStr">
        <is>
          <t>CPR-2: cathodic-protection rectifier</t>
        </is>
      </c>
      <c r="G2797" s="12" t="inlineStr">
        <is>
          <t>CPR-2</t>
        </is>
      </c>
      <c r="H2797" s="12" t="inlineStr">
        <is>
          <t>CPR-2: cathodic-protection rectifier</t>
        </is>
      </c>
      <c r="I2797" s="12" t="inlineStr">
        <is>
          <t>LV 600 V</t>
        </is>
      </c>
      <c r="J2797" s="12" t="inlineStr">
        <is>
          <t>Type TC-ER 600 V 3/C Cu XHHW-2 + ground, PVC jacket</t>
        </is>
      </c>
      <c r="K2797" s="12" t="inlineStr">
        <is>
          <t>LV|1/C|8</t>
        </is>
      </c>
      <c r="L2797" s="12" t="inlineStr">
        <is>
          <t>1/C</t>
        </is>
      </c>
      <c r="M2797" s="12" t="inlineStr">
        <is>
          <t>8</t>
        </is>
      </c>
      <c r="N2797" s="12" t="n">
        <v>1</v>
      </c>
      <c r="O2797" s="12" t="n">
        <v>1</v>
      </c>
      <c r="P2797" s="12" t="n"/>
      <c r="Q2797" s="12" t="n"/>
      <c r="R2797" s="12" t="n"/>
      <c r="S2797" s="12" t="inlineStr">
        <is>
          <t>Buried</t>
        </is>
      </c>
      <c r="T2797" s="15" t="n">
        <v>1500</v>
      </c>
      <c r="U2797" s="15" t="n">
        <v>0</v>
      </c>
      <c r="V2797" s="15">
        <f>ROUNDUP((T2797+U2797+2*'Read Me'!$B$13)*(1+'Read Me'!$B$12),-1)</f>
        <v/>
      </c>
      <c r="W2797" s="15">
        <f>V2797*N2797*O2797</f>
        <v/>
      </c>
      <c r="X2797" s="12">
        <f>IF(LEFT(I2797,2)="MV",2*N2797*IF(L2797="1/C",O2797,1),0)</f>
        <v/>
      </c>
      <c r="Y2797" s="12">
        <f>IF(OR(LEFT(K2797,4)="LVAX",LEFT(K2797,6)="MV15AX",LEFT(K2797,4)="CTAX",LEFT(K2797,2)="W|"),2*N2797*O2797,0)</f>
        <v/>
      </c>
      <c r="Z2797" s="12" t="inlineStr">
        <is>
          <t>HMWPE anode lead cable by CP vendor; allowance</t>
        </is>
      </c>
      <c r="AA2797" s="12">
        <f>N2797*O2797</f>
        <v/>
      </c>
    </row>
    <row r="2798">
      <c r="A2798" s="12" t="inlineStr">
        <is>
          <t>E-P-0008</t>
        </is>
      </c>
      <c r="B2798" s="12" t="inlineStr">
        <is>
          <t>E</t>
        </is>
      </c>
      <c r="C2798" s="12" t="inlineStr">
        <is>
          <t>Water / utilities</t>
        </is>
      </c>
      <c r="D2798" s="12" t="inlineStr">
        <is>
          <t>LV power feeder</t>
        </is>
      </c>
      <c r="E2798" s="12" t="inlineStr">
        <is>
          <t>MCC-C2</t>
        </is>
      </c>
      <c r="F2798" s="12" t="inlineStr">
        <is>
          <t>R1 MCC-C2</t>
        </is>
      </c>
      <c r="G2798" s="12" t="inlineStr"/>
      <c r="H2798" s="12" t="inlineStr">
        <is>
          <t>Demineralised water tank</t>
        </is>
      </c>
      <c r="I2798" s="12" t="inlineStr">
        <is>
          <t>LV 600 V</t>
        </is>
      </c>
      <c r="J2798" s="12" t="inlineStr">
        <is>
          <t>Type TC-ER 600 V 3/C Cu XHHW-2 + ground, PVC jacket</t>
        </is>
      </c>
      <c r="K2798" s="12" t="inlineStr">
        <is>
          <t>LV|3/C+G|6</t>
        </is>
      </c>
      <c r="L2798" s="12" t="inlineStr">
        <is>
          <t>3/C+G</t>
        </is>
      </c>
      <c r="M2798" s="12" t="inlineStr">
        <is>
          <t>6</t>
        </is>
      </c>
      <c r="N2798" s="12" t="n">
        <v>1</v>
      </c>
      <c r="O2798" s="12" t="n">
        <v>1</v>
      </c>
      <c r="P2798" s="12" t="n">
        <v>480</v>
      </c>
      <c r="Q2798" s="12" t="n">
        <v>10</v>
      </c>
      <c r="R2798" s="12" t="n">
        <v>14.2</v>
      </c>
      <c r="S2798" s="12" t="inlineStr">
        <is>
          <t>Estimated</t>
        </is>
      </c>
      <c r="T2798" s="15" t="n">
        <v>1041</v>
      </c>
      <c r="U2798" s="15" t="n">
        <v>40</v>
      </c>
      <c r="V2798" s="15">
        <f>ROUNDUP((T2798+U2798+2*'Read Me'!$B$13)*(1+'Read Me'!$B$12),-1)</f>
        <v/>
      </c>
      <c r="W2798" s="15">
        <f>V2798*N2798*O2798</f>
        <v/>
      </c>
      <c r="X2798" s="12">
        <f>IF(LEFT(I2798,2)="MV",2*N2798*IF(L2798="1/C",O2798,1),0)</f>
        <v/>
      </c>
      <c r="Y2798" s="12">
        <f>IF(OR(LEFT(K2798,4)="LVAX",LEFT(K2798,6)="MV15AX",LEFT(K2798,4)="CTAX",LEFT(K2798,2)="W|"),2*N2798*O2798,0)</f>
        <v/>
      </c>
      <c r="Z2798" s="12" t="inlineStr">
        <is>
          <t>VD 3.0 %</t>
        </is>
      </c>
      <c r="AA2798" s="12">
        <f>N2798*O2798</f>
        <v/>
      </c>
    </row>
    <row r="2799">
      <c r="A2799" s="12" t="inlineStr">
        <is>
          <t>E-P-0009</t>
        </is>
      </c>
      <c r="B2799" s="12" t="inlineStr">
        <is>
          <t>E</t>
        </is>
      </c>
      <c r="C2799" s="12" t="inlineStr">
        <is>
          <t>Water / utilities</t>
        </is>
      </c>
      <c r="D2799" s="12" t="inlineStr">
        <is>
          <t>LV power feeder</t>
        </is>
      </c>
      <c r="E2799" s="12" t="inlineStr">
        <is>
          <t>MCC-C2</t>
        </is>
      </c>
      <c r="F2799" s="12" t="inlineStr">
        <is>
          <t>R1 MCC-C2</t>
        </is>
      </c>
      <c r="G2799" s="12" t="inlineStr"/>
      <c r="H2799" s="12" t="inlineStr">
        <is>
          <t>Fire / service water tank</t>
        </is>
      </c>
      <c r="I2799" s="12" t="inlineStr">
        <is>
          <t>LV 600 V</t>
        </is>
      </c>
      <c r="J2799" s="12" t="inlineStr">
        <is>
          <t>Type TC-ER 600 V 3/C Cu XHHW-2 + ground, PVC jacket</t>
        </is>
      </c>
      <c r="K2799" s="12" t="inlineStr">
        <is>
          <t>LV|3/C+G|2</t>
        </is>
      </c>
      <c r="L2799" s="12" t="inlineStr">
        <is>
          <t>3/C+G</t>
        </is>
      </c>
      <c r="M2799" s="12" t="inlineStr">
        <is>
          <t>2</t>
        </is>
      </c>
      <c r="N2799" s="12" t="n">
        <v>1</v>
      </c>
      <c r="O2799" s="12" t="n">
        <v>1</v>
      </c>
      <c r="P2799" s="12" t="n">
        <v>480</v>
      </c>
      <c r="Q2799" s="12" t="n">
        <v>10</v>
      </c>
      <c r="R2799" s="12" t="n">
        <v>14.2</v>
      </c>
      <c r="S2799" s="12" t="inlineStr">
        <is>
          <t>Duct bank</t>
        </is>
      </c>
      <c r="T2799" s="15" t="n">
        <v>1883</v>
      </c>
      <c r="U2799" s="15" t="n">
        <v>109</v>
      </c>
      <c r="V2799" s="15">
        <f>ROUNDUP((T2799+U2799+2*'Read Me'!$B$13)*(1+'Read Me'!$B$12),-1)</f>
        <v/>
      </c>
      <c r="W2799" s="15">
        <f>V2799*N2799*O2799</f>
        <v/>
      </c>
      <c r="X2799" s="12">
        <f>IF(LEFT(I2799,2)="MV",2*N2799*IF(L2799="1/C",O2799,1),0)</f>
        <v/>
      </c>
      <c r="Y2799" s="12">
        <f>IF(OR(LEFT(K2799,4)="LVAX",LEFT(K2799,6)="MV15AX",LEFT(K2799,4)="CTAX",LEFT(K2799,2)="W|"),2*N2799*O2799,0)</f>
        <v/>
      </c>
      <c r="Z2799" s="12" t="inlineStr">
        <is>
          <t>VD 2.2 %</t>
        </is>
      </c>
      <c r="AA2799" s="12">
        <f>N2799*O2799</f>
        <v/>
      </c>
    </row>
    <row r="2800">
      <c r="A2800" s="12" t="inlineStr">
        <is>
          <t>E-P-0010</t>
        </is>
      </c>
      <c r="B2800" s="12" t="inlineStr">
        <is>
          <t>E</t>
        </is>
      </c>
      <c r="C2800" s="12" t="inlineStr">
        <is>
          <t>Water / utilities</t>
        </is>
      </c>
      <c r="D2800" s="12" t="inlineStr">
        <is>
          <t>Motor 1 of 1, 250 kW</t>
        </is>
      </c>
      <c r="E2800" s="12" t="inlineStr">
        <is>
          <t>MCC-C2</t>
        </is>
      </c>
      <c r="F2800" s="12" t="inlineStr">
        <is>
          <t>R1 MCC-C2</t>
        </is>
      </c>
      <c r="G2800" s="12" t="inlineStr"/>
      <c r="H2800" s="12" t="inlineStr">
        <is>
          <t>Fire pump house</t>
        </is>
      </c>
      <c r="I2800" s="12" t="inlineStr">
        <is>
          <t>LV 600 V</t>
        </is>
      </c>
      <c r="J2800" s="12" t="inlineStr">
        <is>
          <t>Type TC-ER 600 V 3/C Cu XHHW-2 + ground, PVC jacket</t>
        </is>
      </c>
      <c r="K2800" s="12" t="inlineStr">
        <is>
          <t>LV|3/C+G|500</t>
        </is>
      </c>
      <c r="L2800" s="12" t="inlineStr">
        <is>
          <t>3/C+G</t>
        </is>
      </c>
      <c r="M2800" s="12" t="inlineStr">
        <is>
          <t>500 kcmil</t>
        </is>
      </c>
      <c r="N2800" s="12" t="n">
        <v>2</v>
      </c>
      <c r="O2800" s="12" t="n">
        <v>1</v>
      </c>
      <c r="P2800" s="12" t="n">
        <v>480</v>
      </c>
      <c r="Q2800" s="12" t="n">
        <v>250</v>
      </c>
      <c r="R2800" s="12" t="n">
        <v>353.8</v>
      </c>
      <c r="S2800" s="12" t="inlineStr">
        <is>
          <t>Estimated</t>
        </is>
      </c>
      <c r="T2800" s="15" t="n">
        <v>1161</v>
      </c>
      <c r="U2800" s="15" t="n">
        <v>40</v>
      </c>
      <c r="V2800" s="15">
        <f>ROUNDUP((T2800+U2800+2*'Read Me'!$B$13)*(1+'Read Me'!$B$12),-1)</f>
        <v/>
      </c>
      <c r="W2800" s="15">
        <f>V2800*N2800*O2800</f>
        <v/>
      </c>
      <c r="X2800" s="12">
        <f>IF(LEFT(I2800,2)="MV",2*N2800*IF(L2800="1/C",O2800,1),0)</f>
        <v/>
      </c>
      <c r="Y2800" s="12">
        <f>IF(OR(LEFT(K2800,4)="LVAX",LEFT(K2800,6)="MV15AX",LEFT(K2800,4)="CTAX",LEFT(K2800,2)="W|"),2*N2800*O2800,0)</f>
        <v/>
      </c>
      <c r="Z2800" s="12" t="inlineStr">
        <is>
          <t>VD 2.2 %</t>
        </is>
      </c>
      <c r="AA2800" s="12">
        <f>N2800*O2800</f>
        <v/>
      </c>
    </row>
    <row r="2801">
      <c r="A2801" s="12" t="inlineStr">
        <is>
          <t>E-P-0011</t>
        </is>
      </c>
      <c r="B2801" s="12" t="inlineStr">
        <is>
          <t>E</t>
        </is>
      </c>
      <c r="C2801" s="12" t="inlineStr">
        <is>
          <t>Water / utilities</t>
        </is>
      </c>
      <c r="D2801" s="12" t="inlineStr">
        <is>
          <t>Motor 1 of 1, 15 kW</t>
        </is>
      </c>
      <c r="E2801" s="12" t="inlineStr">
        <is>
          <t>MCC-C2</t>
        </is>
      </c>
      <c r="F2801" s="12" t="inlineStr">
        <is>
          <t>R1 MCC-C2</t>
        </is>
      </c>
      <c r="G2801" s="12" t="inlineStr"/>
      <c r="H2801" s="12" t="inlineStr">
        <is>
          <t>Fire pump house</t>
        </is>
      </c>
      <c r="I2801" s="12" t="inlineStr">
        <is>
          <t>LV 600 V</t>
        </is>
      </c>
      <c r="J2801" s="12" t="inlineStr">
        <is>
          <t>Type TC-ER 600 V 3/C Cu XHHW-2 + ground, PVC jacket</t>
        </is>
      </c>
      <c r="K2801" s="12" t="inlineStr">
        <is>
          <t>LV|3/C+G|2</t>
        </is>
      </c>
      <c r="L2801" s="12" t="inlineStr">
        <is>
          <t>3/C+G</t>
        </is>
      </c>
      <c r="M2801" s="12" t="inlineStr">
        <is>
          <t>2</t>
        </is>
      </c>
      <c r="N2801" s="12" t="n">
        <v>1</v>
      </c>
      <c r="O2801" s="12" t="n">
        <v>1</v>
      </c>
      <c r="P2801" s="12" t="n">
        <v>480</v>
      </c>
      <c r="Q2801" s="12" t="n">
        <v>15</v>
      </c>
      <c r="R2801" s="12" t="n">
        <v>21.2</v>
      </c>
      <c r="S2801" s="12" t="inlineStr">
        <is>
          <t>Estimated</t>
        </is>
      </c>
      <c r="T2801" s="15" t="n">
        <v>1161</v>
      </c>
      <c r="U2801" s="15" t="n">
        <v>40</v>
      </c>
      <c r="V2801" s="15">
        <f>ROUNDUP((T2801+U2801+2*'Read Me'!$B$13)*(1+'Read Me'!$B$12),-1)</f>
        <v/>
      </c>
      <c r="W2801" s="15">
        <f>V2801*N2801*O2801</f>
        <v/>
      </c>
      <c r="X2801" s="12">
        <f>IF(LEFT(I2801,2)="MV",2*N2801*IF(L2801="1/C",O2801,1),0)</f>
        <v/>
      </c>
      <c r="Y2801" s="12">
        <f>IF(OR(LEFT(K2801,4)="LVAX",LEFT(K2801,6)="MV15AX",LEFT(K2801,4)="CTAX",LEFT(K2801,2)="W|"),2*N2801*O2801,0)</f>
        <v/>
      </c>
      <c r="Z2801" s="12" t="inlineStr">
        <is>
          <t>VD 2.0 %</t>
        </is>
      </c>
      <c r="AA2801" s="12">
        <f>N2801*O2801</f>
        <v/>
      </c>
    </row>
    <row r="2802">
      <c r="A2802" s="12" t="inlineStr">
        <is>
          <t>E-P-0012</t>
        </is>
      </c>
      <c r="B2802" s="12" t="inlineStr">
        <is>
          <t>E</t>
        </is>
      </c>
      <c r="C2802" s="12" t="inlineStr">
        <is>
          <t>Water / utilities</t>
        </is>
      </c>
      <c r="D2802" s="12" t="inlineStr">
        <is>
          <t>LV power feeder</t>
        </is>
      </c>
      <c r="E2802" s="12" t="inlineStr">
        <is>
          <t>MCC-C2</t>
        </is>
      </c>
      <c r="F2802" s="12" t="inlineStr">
        <is>
          <t>R1 MCC-C2</t>
        </is>
      </c>
      <c r="G2802" s="12" t="inlineStr"/>
      <c r="H2802" s="12" t="inlineStr">
        <is>
          <t>H2 / CO2 storage (generator gas)</t>
        </is>
      </c>
      <c r="I2802" s="12" t="inlineStr">
        <is>
          <t>LV 600 V</t>
        </is>
      </c>
      <c r="J2802" s="12" t="inlineStr">
        <is>
          <t>ARMOR-X MC-HL 600 V 3/C Cu XHHW-2 + ground, CWA, black PVC (Class I Div 2)</t>
        </is>
      </c>
      <c r="K2802" s="12" t="inlineStr">
        <is>
          <t>LVAX|3/C+G|2</t>
        </is>
      </c>
      <c r="L2802" s="12" t="inlineStr">
        <is>
          <t>3/C+G</t>
        </is>
      </c>
      <c r="M2802" s="12" t="inlineStr">
        <is>
          <t>2</t>
        </is>
      </c>
      <c r="N2802" s="12" t="n">
        <v>1</v>
      </c>
      <c r="O2802" s="12" t="n">
        <v>1</v>
      </c>
      <c r="P2802" s="12" t="n">
        <v>480</v>
      </c>
      <c r="Q2802" s="12" t="n">
        <v>15</v>
      </c>
      <c r="R2802" s="12" t="n">
        <v>21.2</v>
      </c>
      <c r="S2802" s="12" t="inlineStr">
        <is>
          <t>Estimated</t>
        </is>
      </c>
      <c r="T2802" s="15" t="n">
        <v>1434</v>
      </c>
      <c r="U2802" s="15" t="n">
        <v>40</v>
      </c>
      <c r="V2802" s="15">
        <f>ROUNDUP((T2802+U2802+2*'Read Me'!$B$13)*(1+'Read Me'!$B$12),-1)</f>
        <v/>
      </c>
      <c r="W2802" s="15">
        <f>V2802*N2802*O2802</f>
        <v/>
      </c>
      <c r="X2802" s="12">
        <f>IF(LEFT(I2802,2)="MV",2*N2802*IF(L2802="1/C",O2802,1),0)</f>
        <v/>
      </c>
      <c r="Y2802" s="12">
        <f>IF(OR(LEFT(K2802,4)="LVAX",LEFT(K2802,6)="MV15AX",LEFT(K2802,4)="CTAX",LEFT(K2802,2)="W|"),2*N2802*O2802,0)</f>
        <v/>
      </c>
      <c r="Z2802" s="12" t="inlineStr">
        <is>
          <t>VD 2.4 %</t>
        </is>
      </c>
      <c r="AA2802" s="12">
        <f>N2802*O2802</f>
        <v/>
      </c>
    </row>
    <row r="2803">
      <c r="A2803" s="12" t="inlineStr">
        <is>
          <t>E-P-0013</t>
        </is>
      </c>
      <c r="B2803" s="12" t="inlineStr">
        <is>
          <t>E</t>
        </is>
      </c>
      <c r="C2803" s="12" t="inlineStr">
        <is>
          <t>Water / utilities</t>
        </is>
      </c>
      <c r="D2803" s="12" t="inlineStr">
        <is>
          <t>LV power feeder</t>
        </is>
      </c>
      <c r="E2803" s="12" t="inlineStr">
        <is>
          <t>MCC-C2</t>
        </is>
      </c>
      <c r="F2803" s="12" t="inlineStr">
        <is>
          <t>R1 MCC-C2</t>
        </is>
      </c>
      <c r="G2803" s="12" t="inlineStr">
        <is>
          <t>HTP-2</t>
        </is>
      </c>
      <c r="H2803" s="12" t="inlineStr">
        <is>
          <t>HTP-2: heat-trace panel (NH3)</t>
        </is>
      </c>
      <c r="I2803" s="12" t="inlineStr">
        <is>
          <t>LV 600 V</t>
        </is>
      </c>
      <c r="J2803" s="12" t="inlineStr">
        <is>
          <t>Type TC-ER 600 V 3/C Cu XHHW-2 + ground, PVC jacket</t>
        </is>
      </c>
      <c r="K2803" s="12" t="inlineStr">
        <is>
          <t>LV|3/C+G|500</t>
        </is>
      </c>
      <c r="L2803" s="12" t="inlineStr">
        <is>
          <t>3/C+G</t>
        </is>
      </c>
      <c r="M2803" s="12" t="inlineStr">
        <is>
          <t>500 kcmil</t>
        </is>
      </c>
      <c r="N2803" s="12" t="n">
        <v>1</v>
      </c>
      <c r="O2803" s="12" t="n">
        <v>1</v>
      </c>
      <c r="P2803" s="12" t="n">
        <v>480</v>
      </c>
      <c r="Q2803" s="12" t="n">
        <v>120</v>
      </c>
      <c r="R2803" s="12" t="n">
        <v>169.8</v>
      </c>
      <c r="S2803" s="12" t="inlineStr">
        <is>
          <t>Estimated</t>
        </is>
      </c>
      <c r="T2803" s="15" t="n">
        <v>1218</v>
      </c>
      <c r="U2803" s="15" t="n">
        <v>40</v>
      </c>
      <c r="V2803" s="15">
        <f>ROUNDUP((T2803+U2803+2*'Read Me'!$B$13)*(1+'Read Me'!$B$12),-1)</f>
        <v/>
      </c>
      <c r="W2803" s="15">
        <f>V2803*N2803*O2803</f>
        <v/>
      </c>
      <c r="X2803" s="12">
        <f>IF(LEFT(I2803,2)="MV",2*N2803*IF(L2803="1/C",O2803,1),0)</f>
        <v/>
      </c>
      <c r="Y2803" s="12">
        <f>IF(OR(LEFT(K2803,4)="LVAX",LEFT(K2803,6)="MV15AX",LEFT(K2803,4)="CTAX",LEFT(K2803,2)="W|"),2*N2803*O2803,0)</f>
        <v/>
      </c>
      <c r="Z2803" s="12" t="inlineStr">
        <is>
          <t>VD 2.2 %</t>
        </is>
      </c>
      <c r="AA2803" s="12">
        <f>N2803*O2803</f>
        <v/>
      </c>
    </row>
    <row r="2804">
      <c r="A2804" s="12" t="inlineStr">
        <is>
          <t>E-P-0014</t>
        </is>
      </c>
      <c r="B2804" s="12" t="inlineStr">
        <is>
          <t>E</t>
        </is>
      </c>
      <c r="C2804" s="12" t="inlineStr">
        <is>
          <t>Water / utilities</t>
        </is>
      </c>
      <c r="D2804" s="12" t="inlineStr">
        <is>
          <t>Heat-trace circuit 1 (power to the trace junction box)</t>
        </is>
      </c>
      <c r="E2804" s="12" t="inlineStr">
        <is>
          <t>HTP-2</t>
        </is>
      </c>
      <c r="F2804" s="12" t="inlineStr">
        <is>
          <t>HTP-2: heat-trace panel (NH3)</t>
        </is>
      </c>
      <c r="G2804" s="12" t="inlineStr">
        <is>
          <t>HTP-2</t>
        </is>
      </c>
      <c r="H2804" s="12" t="inlineStr">
        <is>
          <t>HTP-2: heat-trace panel (NH3)</t>
        </is>
      </c>
      <c r="I2804" s="12" t="inlineStr">
        <is>
          <t>LV 600 V</t>
        </is>
      </c>
      <c r="J2804" s="12" t="inlineStr">
        <is>
          <t>Type TC-ER 600 V 3/C Cu XHHW-2 + ground, PVC jacket</t>
        </is>
      </c>
      <c r="K2804" s="12" t="inlineStr">
        <is>
          <t>LV|3/C+G|10</t>
        </is>
      </c>
      <c r="L2804" s="12" t="inlineStr">
        <is>
          <t>3/C+G</t>
        </is>
      </c>
      <c r="M2804" s="12" t="inlineStr">
        <is>
          <t>10</t>
        </is>
      </c>
      <c r="N2804" s="12" t="n">
        <v>1</v>
      </c>
      <c r="O2804" s="12" t="n">
        <v>1</v>
      </c>
      <c r="P2804" s="12" t="n">
        <v>480</v>
      </c>
      <c r="Q2804" s="12" t="n">
        <v>4</v>
      </c>
      <c r="R2804" s="12" t="n">
        <v>6</v>
      </c>
      <c r="S2804" s="12" t="inlineStr">
        <is>
          <t>Tray</t>
        </is>
      </c>
      <c r="T2804" s="15" t="n">
        <v>180</v>
      </c>
      <c r="U2804" s="15" t="n">
        <v>20</v>
      </c>
      <c r="V2804" s="15">
        <f>ROUNDUP((T2804+U2804+2*'Read Me'!$B$13)*(1+'Read Me'!$B$12),-1)</f>
        <v/>
      </c>
      <c r="W2804" s="15">
        <f>V2804*N2804*O2804</f>
        <v/>
      </c>
      <c r="X2804" s="12">
        <f>IF(LEFT(I2804,2)="MV",2*N2804*IF(L2804="1/C",O2804,1),0)</f>
        <v/>
      </c>
      <c r="Y2804" s="12">
        <f>IF(OR(LEFT(K2804,4)="LVAX",LEFT(K2804,6)="MV15AX",LEFT(K2804,4)="CTAX",LEFT(K2804,2)="W|"),2*N2804*O2804,0)</f>
        <v/>
      </c>
      <c r="Z2804" s="12" t="inlineStr">
        <is>
          <t>heat-trace cable itself by others</t>
        </is>
      </c>
      <c r="AA2804" s="12">
        <f>N2804*O2804</f>
        <v/>
      </c>
    </row>
    <row r="2805">
      <c r="A2805" s="12" t="inlineStr">
        <is>
          <t>E-P-0015</t>
        </is>
      </c>
      <c r="B2805" s="12" t="inlineStr">
        <is>
          <t>E</t>
        </is>
      </c>
      <c r="C2805" s="12" t="inlineStr">
        <is>
          <t>Water / utilities</t>
        </is>
      </c>
      <c r="D2805" s="12" t="inlineStr">
        <is>
          <t>Heat-trace circuit 2 (power to the trace junction box)</t>
        </is>
      </c>
      <c r="E2805" s="12" t="inlineStr">
        <is>
          <t>HTP-2</t>
        </is>
      </c>
      <c r="F2805" s="12" t="inlineStr">
        <is>
          <t>HTP-2: heat-trace panel (NH3)</t>
        </is>
      </c>
      <c r="G2805" s="12" t="inlineStr">
        <is>
          <t>HTP-2</t>
        </is>
      </c>
      <c r="H2805" s="12" t="inlineStr">
        <is>
          <t>HTP-2: heat-trace panel (NH3)</t>
        </is>
      </c>
      <c r="I2805" s="12" t="inlineStr">
        <is>
          <t>LV 600 V</t>
        </is>
      </c>
      <c r="J2805" s="12" t="inlineStr">
        <is>
          <t>Type TC-ER 600 V 3/C Cu XHHW-2 + ground, PVC jacket</t>
        </is>
      </c>
      <c r="K2805" s="12" t="inlineStr">
        <is>
          <t>LV|3/C+G|10</t>
        </is>
      </c>
      <c r="L2805" s="12" t="inlineStr">
        <is>
          <t>3/C+G</t>
        </is>
      </c>
      <c r="M2805" s="12" t="inlineStr">
        <is>
          <t>10</t>
        </is>
      </c>
      <c r="N2805" s="12" t="n">
        <v>1</v>
      </c>
      <c r="O2805" s="12" t="n">
        <v>1</v>
      </c>
      <c r="P2805" s="12" t="n">
        <v>480</v>
      </c>
      <c r="Q2805" s="12" t="n">
        <v>4</v>
      </c>
      <c r="R2805" s="12" t="n">
        <v>6</v>
      </c>
      <c r="S2805" s="12" t="inlineStr">
        <is>
          <t>Tray</t>
        </is>
      </c>
      <c r="T2805" s="15" t="n">
        <v>180</v>
      </c>
      <c r="U2805" s="15" t="n">
        <v>20</v>
      </c>
      <c r="V2805" s="15">
        <f>ROUNDUP((T2805+U2805+2*'Read Me'!$B$13)*(1+'Read Me'!$B$12),-1)</f>
        <v/>
      </c>
      <c r="W2805" s="15">
        <f>V2805*N2805*O2805</f>
        <v/>
      </c>
      <c r="X2805" s="12">
        <f>IF(LEFT(I2805,2)="MV",2*N2805*IF(L2805="1/C",O2805,1),0)</f>
        <v/>
      </c>
      <c r="Y2805" s="12">
        <f>IF(OR(LEFT(K2805,4)="LVAX",LEFT(K2805,6)="MV15AX",LEFT(K2805,4)="CTAX",LEFT(K2805,2)="W|"),2*N2805*O2805,0)</f>
        <v/>
      </c>
      <c r="Z2805" s="12" t="inlineStr">
        <is>
          <t>heat-trace cable itself by others</t>
        </is>
      </c>
      <c r="AA2805" s="12">
        <f>N2805*O2805</f>
        <v/>
      </c>
    </row>
    <row r="2806">
      <c r="A2806" s="12" t="inlineStr">
        <is>
          <t>E-P-0016</t>
        </is>
      </c>
      <c r="B2806" s="12" t="inlineStr">
        <is>
          <t>E</t>
        </is>
      </c>
      <c r="C2806" s="12" t="inlineStr">
        <is>
          <t>Water / utilities</t>
        </is>
      </c>
      <c r="D2806" s="12" t="inlineStr">
        <is>
          <t>Heat-trace circuit 3 (power to the trace junction box)</t>
        </is>
      </c>
      <c r="E2806" s="12" t="inlineStr">
        <is>
          <t>HTP-2</t>
        </is>
      </c>
      <c r="F2806" s="12" t="inlineStr">
        <is>
          <t>HTP-2: heat-trace panel (NH3)</t>
        </is>
      </c>
      <c r="G2806" s="12" t="inlineStr">
        <is>
          <t>HTP-2</t>
        </is>
      </c>
      <c r="H2806" s="12" t="inlineStr">
        <is>
          <t>HTP-2: heat-trace panel (NH3)</t>
        </is>
      </c>
      <c r="I2806" s="12" t="inlineStr">
        <is>
          <t>LV 600 V</t>
        </is>
      </c>
      <c r="J2806" s="12" t="inlineStr">
        <is>
          <t>Type TC-ER 600 V 3/C Cu XHHW-2 + ground, PVC jacket</t>
        </is>
      </c>
      <c r="K2806" s="12" t="inlineStr">
        <is>
          <t>LV|3/C+G|10</t>
        </is>
      </c>
      <c r="L2806" s="12" t="inlineStr">
        <is>
          <t>3/C+G</t>
        </is>
      </c>
      <c r="M2806" s="12" t="inlineStr">
        <is>
          <t>10</t>
        </is>
      </c>
      <c r="N2806" s="12" t="n">
        <v>1</v>
      </c>
      <c r="O2806" s="12" t="n">
        <v>1</v>
      </c>
      <c r="P2806" s="12" t="n">
        <v>480</v>
      </c>
      <c r="Q2806" s="12" t="n">
        <v>4</v>
      </c>
      <c r="R2806" s="12" t="n">
        <v>6</v>
      </c>
      <c r="S2806" s="12" t="inlineStr">
        <is>
          <t>Tray</t>
        </is>
      </c>
      <c r="T2806" s="15" t="n">
        <v>180</v>
      </c>
      <c r="U2806" s="15" t="n">
        <v>20</v>
      </c>
      <c r="V2806" s="15">
        <f>ROUNDUP((T2806+U2806+2*'Read Me'!$B$13)*(1+'Read Me'!$B$12),-1)</f>
        <v/>
      </c>
      <c r="W2806" s="15">
        <f>V2806*N2806*O2806</f>
        <v/>
      </c>
      <c r="X2806" s="12">
        <f>IF(LEFT(I2806,2)="MV",2*N2806*IF(L2806="1/C",O2806,1),0)</f>
        <v/>
      </c>
      <c r="Y2806" s="12">
        <f>IF(OR(LEFT(K2806,4)="LVAX",LEFT(K2806,6)="MV15AX",LEFT(K2806,4)="CTAX",LEFT(K2806,2)="W|"),2*N2806*O2806,0)</f>
        <v/>
      </c>
      <c r="Z2806" s="12" t="inlineStr">
        <is>
          <t>heat-trace cable itself by others</t>
        </is>
      </c>
      <c r="AA2806" s="12">
        <f>N2806*O2806</f>
        <v/>
      </c>
    </row>
    <row r="2807">
      <c r="A2807" s="12" t="inlineStr">
        <is>
          <t>E-P-0017</t>
        </is>
      </c>
      <c r="B2807" s="12" t="inlineStr">
        <is>
          <t>E</t>
        </is>
      </c>
      <c r="C2807" s="12" t="inlineStr">
        <is>
          <t>Water / utilities</t>
        </is>
      </c>
      <c r="D2807" s="12" t="inlineStr">
        <is>
          <t>Heat-trace circuit 4 (power to the trace junction box)</t>
        </is>
      </c>
      <c r="E2807" s="12" t="inlineStr">
        <is>
          <t>HTP-2</t>
        </is>
      </c>
      <c r="F2807" s="12" t="inlineStr">
        <is>
          <t>HTP-2: heat-trace panel (NH3)</t>
        </is>
      </c>
      <c r="G2807" s="12" t="inlineStr">
        <is>
          <t>HTP-2</t>
        </is>
      </c>
      <c r="H2807" s="12" t="inlineStr">
        <is>
          <t>HTP-2: heat-trace panel (NH3)</t>
        </is>
      </c>
      <c r="I2807" s="12" t="inlineStr">
        <is>
          <t>LV 600 V</t>
        </is>
      </c>
      <c r="J2807" s="12" t="inlineStr">
        <is>
          <t>Type TC-ER 600 V 3/C Cu XHHW-2 + ground, PVC jacket</t>
        </is>
      </c>
      <c r="K2807" s="12" t="inlineStr">
        <is>
          <t>LV|3/C+G|10</t>
        </is>
      </c>
      <c r="L2807" s="12" t="inlineStr">
        <is>
          <t>3/C+G</t>
        </is>
      </c>
      <c r="M2807" s="12" t="inlineStr">
        <is>
          <t>10</t>
        </is>
      </c>
      <c r="N2807" s="12" t="n">
        <v>1</v>
      </c>
      <c r="O2807" s="12" t="n">
        <v>1</v>
      </c>
      <c r="P2807" s="12" t="n">
        <v>480</v>
      </c>
      <c r="Q2807" s="12" t="n">
        <v>4</v>
      </c>
      <c r="R2807" s="12" t="n">
        <v>6</v>
      </c>
      <c r="S2807" s="12" t="inlineStr">
        <is>
          <t>Tray</t>
        </is>
      </c>
      <c r="T2807" s="15" t="n">
        <v>180</v>
      </c>
      <c r="U2807" s="15" t="n">
        <v>20</v>
      </c>
      <c r="V2807" s="15">
        <f>ROUNDUP((T2807+U2807+2*'Read Me'!$B$13)*(1+'Read Me'!$B$12),-1)</f>
        <v/>
      </c>
      <c r="W2807" s="15">
        <f>V2807*N2807*O2807</f>
        <v/>
      </c>
      <c r="X2807" s="12">
        <f>IF(LEFT(I2807,2)="MV",2*N2807*IF(L2807="1/C",O2807,1),0)</f>
        <v/>
      </c>
      <c r="Y2807" s="12">
        <f>IF(OR(LEFT(K2807,4)="LVAX",LEFT(K2807,6)="MV15AX",LEFT(K2807,4)="CTAX",LEFT(K2807,2)="W|"),2*N2807*O2807,0)</f>
        <v/>
      </c>
      <c r="Z2807" s="12" t="inlineStr">
        <is>
          <t>heat-trace cable itself by others</t>
        </is>
      </c>
      <c r="AA2807" s="12">
        <f>N2807*O2807</f>
        <v/>
      </c>
    </row>
    <row r="2808">
      <c r="A2808" s="12" t="inlineStr">
        <is>
          <t>E-P-0018</t>
        </is>
      </c>
      <c r="B2808" s="12" t="inlineStr">
        <is>
          <t>E</t>
        </is>
      </c>
      <c r="C2808" s="12" t="inlineStr">
        <is>
          <t>Water / utilities</t>
        </is>
      </c>
      <c r="D2808" s="12" t="inlineStr">
        <is>
          <t>Heat-trace circuit 5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5" t="n">
        <v>180</v>
      </c>
      <c r="U2808" s="15" t="n">
        <v>20</v>
      </c>
      <c r="V2808" s="15">
        <f>ROUNDUP((T2808+U2808+2*'Read Me'!$B$13)*(1+'Read Me'!$B$12),-1)</f>
        <v/>
      </c>
      <c r="W2808" s="15">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E-P-0019</t>
        </is>
      </c>
      <c r="B2809" s="12" t="inlineStr">
        <is>
          <t>E</t>
        </is>
      </c>
      <c r="C2809" s="12" t="inlineStr">
        <is>
          <t>Water / utilities</t>
        </is>
      </c>
      <c r="D2809" s="12" t="inlineStr">
        <is>
          <t>Heat-trace circuit 6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5" t="n">
        <v>180</v>
      </c>
      <c r="U2809" s="15" t="n">
        <v>20</v>
      </c>
      <c r="V2809" s="15">
        <f>ROUNDUP((T2809+U2809+2*'Read Me'!$B$13)*(1+'Read Me'!$B$12),-1)</f>
        <v/>
      </c>
      <c r="W2809" s="15">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E-P-0020</t>
        </is>
      </c>
      <c r="B2810" s="12" t="inlineStr">
        <is>
          <t>E</t>
        </is>
      </c>
      <c r="C2810" s="12" t="inlineStr">
        <is>
          <t>Water / utilities</t>
        </is>
      </c>
      <c r="D2810" s="12" t="inlineStr">
        <is>
          <t>Heat-trace circuit 7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5" t="n">
        <v>180</v>
      </c>
      <c r="U2810" s="15" t="n">
        <v>20</v>
      </c>
      <c r="V2810" s="15">
        <f>ROUNDUP((T2810+U2810+2*'Read Me'!$B$13)*(1+'Read Me'!$B$12),-1)</f>
        <v/>
      </c>
      <c r="W2810" s="15">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E-P-0021</t>
        </is>
      </c>
      <c r="B2811" s="12" t="inlineStr">
        <is>
          <t>E</t>
        </is>
      </c>
      <c r="C2811" s="12" t="inlineStr">
        <is>
          <t>Water / utilities</t>
        </is>
      </c>
      <c r="D2811" s="12" t="inlineStr">
        <is>
          <t>Heat-trace circuit 8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5" t="n">
        <v>180</v>
      </c>
      <c r="U2811" s="15" t="n">
        <v>20</v>
      </c>
      <c r="V2811" s="15">
        <f>ROUNDUP((T2811+U2811+2*'Read Me'!$B$13)*(1+'Read Me'!$B$12),-1)</f>
        <v/>
      </c>
      <c r="W2811" s="15">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E-P-0022</t>
        </is>
      </c>
      <c r="B2812" s="12" t="inlineStr">
        <is>
          <t>E</t>
        </is>
      </c>
      <c r="C2812" s="12" t="inlineStr">
        <is>
          <t>Water / utilities</t>
        </is>
      </c>
      <c r="D2812" s="12" t="inlineStr">
        <is>
          <t>Heat-trace circuit 9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5" t="n">
        <v>180</v>
      </c>
      <c r="U2812" s="15" t="n">
        <v>20</v>
      </c>
      <c r="V2812" s="15">
        <f>ROUNDUP((T2812+U2812+2*'Read Me'!$B$13)*(1+'Read Me'!$B$12),-1)</f>
        <v/>
      </c>
      <c r="W2812" s="15">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E-P-0023</t>
        </is>
      </c>
      <c r="B2813" s="12" t="inlineStr">
        <is>
          <t>E</t>
        </is>
      </c>
      <c r="C2813" s="12" t="inlineStr">
        <is>
          <t>Water / utilities</t>
        </is>
      </c>
      <c r="D2813" s="12" t="inlineStr">
        <is>
          <t>Heat-trace circuit 10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5" t="n">
        <v>180</v>
      </c>
      <c r="U2813" s="15" t="n">
        <v>20</v>
      </c>
      <c r="V2813" s="15">
        <f>ROUNDUP((T2813+U2813+2*'Read Me'!$B$13)*(1+'Read Me'!$B$12),-1)</f>
        <v/>
      </c>
      <c r="W2813" s="15">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E-P-0024</t>
        </is>
      </c>
      <c r="B2814" s="12" t="inlineStr">
        <is>
          <t>E</t>
        </is>
      </c>
      <c r="C2814" s="12" t="inlineStr">
        <is>
          <t>Water / utilities</t>
        </is>
      </c>
      <c r="D2814" s="12" t="inlineStr">
        <is>
          <t>Heat-trace circuit 11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5" t="n">
        <v>180</v>
      </c>
      <c r="U2814" s="15" t="n">
        <v>20</v>
      </c>
      <c r="V2814" s="15">
        <f>ROUNDUP((T2814+U2814+2*'Read Me'!$B$13)*(1+'Read Me'!$B$12),-1)</f>
        <v/>
      </c>
      <c r="W2814" s="15">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E-P-0025</t>
        </is>
      </c>
      <c r="B2815" s="12" t="inlineStr">
        <is>
          <t>E</t>
        </is>
      </c>
      <c r="C2815" s="12" t="inlineStr">
        <is>
          <t>Water / utilities</t>
        </is>
      </c>
      <c r="D2815" s="12" t="inlineStr">
        <is>
          <t>Heat-trace circuit 12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5" t="n">
        <v>180</v>
      </c>
      <c r="U2815" s="15" t="n">
        <v>20</v>
      </c>
      <c r="V2815" s="15">
        <f>ROUNDUP((T2815+U2815+2*'Read Me'!$B$13)*(1+'Read Me'!$B$12),-1)</f>
        <v/>
      </c>
      <c r="W2815" s="15">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E-P-0026</t>
        </is>
      </c>
      <c r="B2816" s="12" t="inlineStr">
        <is>
          <t>E</t>
        </is>
      </c>
      <c r="C2816" s="12" t="inlineStr">
        <is>
          <t>Water / utilities</t>
        </is>
      </c>
      <c r="D2816" s="12" t="inlineStr">
        <is>
          <t>Heat-trace circuit 13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5" t="n">
        <v>180</v>
      </c>
      <c r="U2816" s="15" t="n">
        <v>20</v>
      </c>
      <c r="V2816" s="15">
        <f>ROUNDUP((T2816+U2816+2*'Read Me'!$B$13)*(1+'Read Me'!$B$12),-1)</f>
        <v/>
      </c>
      <c r="W2816" s="15">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E-P-0027</t>
        </is>
      </c>
      <c r="B2817" s="12" t="inlineStr">
        <is>
          <t>E</t>
        </is>
      </c>
      <c r="C2817" s="12" t="inlineStr">
        <is>
          <t>Water / utilities</t>
        </is>
      </c>
      <c r="D2817" s="12" t="inlineStr">
        <is>
          <t>Heat-trace circuit 14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5" t="n">
        <v>180</v>
      </c>
      <c r="U2817" s="15" t="n">
        <v>20</v>
      </c>
      <c r="V2817" s="15">
        <f>ROUNDUP((T2817+U2817+2*'Read Me'!$B$13)*(1+'Read Me'!$B$12),-1)</f>
        <v/>
      </c>
      <c r="W2817" s="15">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E-P-0028</t>
        </is>
      </c>
      <c r="B2818" s="12" t="inlineStr">
        <is>
          <t>E</t>
        </is>
      </c>
      <c r="C2818" s="12" t="inlineStr">
        <is>
          <t>Water / utilities</t>
        </is>
      </c>
      <c r="D2818" s="12" t="inlineStr">
        <is>
          <t>Heat-trace circuit 15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5" t="n">
        <v>180</v>
      </c>
      <c r="U2818" s="15" t="n">
        <v>20</v>
      </c>
      <c r="V2818" s="15">
        <f>ROUNDUP((T2818+U2818+2*'Read Me'!$B$13)*(1+'Read Me'!$B$12),-1)</f>
        <v/>
      </c>
      <c r="W2818" s="15">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E-P-0029</t>
        </is>
      </c>
      <c r="B2819" s="12" t="inlineStr">
        <is>
          <t>E</t>
        </is>
      </c>
      <c r="C2819" s="12" t="inlineStr">
        <is>
          <t>Water / utilities</t>
        </is>
      </c>
      <c r="D2819" s="12" t="inlineStr">
        <is>
          <t>Heat-trace circuit 16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5" t="n">
        <v>180</v>
      </c>
      <c r="U2819" s="15" t="n">
        <v>20</v>
      </c>
      <c r="V2819" s="15">
        <f>ROUNDUP((T2819+U2819+2*'Read Me'!$B$13)*(1+'Read Me'!$B$12),-1)</f>
        <v/>
      </c>
      <c r="W2819" s="15">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E-P-0030</t>
        </is>
      </c>
      <c r="B2820" s="12" t="inlineStr">
        <is>
          <t>E</t>
        </is>
      </c>
      <c r="C2820" s="12" t="inlineStr">
        <is>
          <t>Water / utilities</t>
        </is>
      </c>
      <c r="D2820" s="12" t="inlineStr">
        <is>
          <t>Heat-trace circuit 17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5" t="n">
        <v>180</v>
      </c>
      <c r="U2820" s="15" t="n">
        <v>20</v>
      </c>
      <c r="V2820" s="15">
        <f>ROUNDUP((T2820+U2820+2*'Read Me'!$B$13)*(1+'Read Me'!$B$12),-1)</f>
        <v/>
      </c>
      <c r="W2820" s="15">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E-P-0031</t>
        </is>
      </c>
      <c r="B2821" s="12" t="inlineStr">
        <is>
          <t>E</t>
        </is>
      </c>
      <c r="C2821" s="12" t="inlineStr">
        <is>
          <t>Water / utilities</t>
        </is>
      </c>
      <c r="D2821" s="12" t="inlineStr">
        <is>
          <t>Heat-trace circuit 18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5" t="n">
        <v>180</v>
      </c>
      <c r="U2821" s="15" t="n">
        <v>20</v>
      </c>
      <c r="V2821" s="15">
        <f>ROUNDUP((T2821+U2821+2*'Read Me'!$B$13)*(1+'Read Me'!$B$12),-1)</f>
        <v/>
      </c>
      <c r="W2821" s="15">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E-P-0032</t>
        </is>
      </c>
      <c r="B2822" s="12" t="inlineStr">
        <is>
          <t>E</t>
        </is>
      </c>
      <c r="C2822" s="12" t="inlineStr">
        <is>
          <t>Water / utilities</t>
        </is>
      </c>
      <c r="D2822" s="12" t="inlineStr">
        <is>
          <t>Heat-trace circuit 19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5" t="n">
        <v>180</v>
      </c>
      <c r="U2822" s="15" t="n">
        <v>20</v>
      </c>
      <c r="V2822" s="15">
        <f>ROUNDUP((T2822+U2822+2*'Read Me'!$B$13)*(1+'Read Me'!$B$12),-1)</f>
        <v/>
      </c>
      <c r="W2822" s="15">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E-P-0033</t>
        </is>
      </c>
      <c r="B2823" s="12" t="inlineStr">
        <is>
          <t>E</t>
        </is>
      </c>
      <c r="C2823" s="12" t="inlineStr">
        <is>
          <t>Water / utilities</t>
        </is>
      </c>
      <c r="D2823" s="12" t="inlineStr">
        <is>
          <t>Heat-trace circuit 20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5" t="n">
        <v>180</v>
      </c>
      <c r="U2823" s="15" t="n">
        <v>20</v>
      </c>
      <c r="V2823" s="15">
        <f>ROUNDUP((T2823+U2823+2*'Read Me'!$B$13)*(1+'Read Me'!$B$12),-1)</f>
        <v/>
      </c>
      <c r="W2823" s="15">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E-P-0034</t>
        </is>
      </c>
      <c r="B2824" s="12" t="inlineStr">
        <is>
          <t>E</t>
        </is>
      </c>
      <c r="C2824" s="12" t="inlineStr">
        <is>
          <t>Water / utilities</t>
        </is>
      </c>
      <c r="D2824" s="12" t="inlineStr">
        <is>
          <t>Heat-trace circuit 21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5" t="n">
        <v>180</v>
      </c>
      <c r="U2824" s="15" t="n">
        <v>20</v>
      </c>
      <c r="V2824" s="15">
        <f>ROUNDUP((T2824+U2824+2*'Read Me'!$B$13)*(1+'Read Me'!$B$12),-1)</f>
        <v/>
      </c>
      <c r="W2824" s="15">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E-P-0035</t>
        </is>
      </c>
      <c r="B2825" s="12" t="inlineStr">
        <is>
          <t>E</t>
        </is>
      </c>
      <c r="C2825" s="12" t="inlineStr">
        <is>
          <t>Water / utilities</t>
        </is>
      </c>
      <c r="D2825" s="12" t="inlineStr">
        <is>
          <t>Heat-trace circuit 22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5" t="n">
        <v>180</v>
      </c>
      <c r="U2825" s="15" t="n">
        <v>20</v>
      </c>
      <c r="V2825" s="15">
        <f>ROUNDUP((T2825+U2825+2*'Read Me'!$B$13)*(1+'Read Me'!$B$12),-1)</f>
        <v/>
      </c>
      <c r="W2825" s="15">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E-P-0036</t>
        </is>
      </c>
      <c r="B2826" s="12" t="inlineStr">
        <is>
          <t>E</t>
        </is>
      </c>
      <c r="C2826" s="12" t="inlineStr">
        <is>
          <t>Water / utilities</t>
        </is>
      </c>
      <c r="D2826" s="12" t="inlineStr">
        <is>
          <t>Heat-trace circuit 23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5" t="n">
        <v>180</v>
      </c>
      <c r="U2826" s="15" t="n">
        <v>20</v>
      </c>
      <c r="V2826" s="15">
        <f>ROUNDUP((T2826+U2826+2*'Read Me'!$B$13)*(1+'Read Me'!$B$12),-1)</f>
        <v/>
      </c>
      <c r="W2826" s="15">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E-P-0037</t>
        </is>
      </c>
      <c r="B2827" s="12" t="inlineStr">
        <is>
          <t>E</t>
        </is>
      </c>
      <c r="C2827" s="12" t="inlineStr">
        <is>
          <t>Water / utilities</t>
        </is>
      </c>
      <c r="D2827" s="12" t="inlineStr">
        <is>
          <t>Heat-trace circuit 24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5" t="n">
        <v>180</v>
      </c>
      <c r="U2827" s="15" t="n">
        <v>20</v>
      </c>
      <c r="V2827" s="15">
        <f>ROUNDUP((T2827+U2827+2*'Read Me'!$B$13)*(1+'Read Me'!$B$12),-1)</f>
        <v/>
      </c>
      <c r="W2827" s="15">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E-P-0038</t>
        </is>
      </c>
      <c r="B2828" s="12" t="inlineStr">
        <is>
          <t>E</t>
        </is>
      </c>
      <c r="C2828" s="12" t="inlineStr">
        <is>
          <t>Water / utilities</t>
        </is>
      </c>
      <c r="D2828" s="12" t="inlineStr">
        <is>
          <t>LV power feeder</t>
        </is>
      </c>
      <c r="E2828" s="12" t="inlineStr">
        <is>
          <t>MCC-C2</t>
        </is>
      </c>
      <c r="F2828" s="12" t="inlineStr">
        <is>
          <t>R1 MCC-C2</t>
        </is>
      </c>
      <c r="G2828" s="12" t="inlineStr">
        <is>
          <t>HTP-3</t>
        </is>
      </c>
      <c r="H2828" s="12" t="inlineStr">
        <is>
          <t>HTP-3: heat-trace panel (tanks)</t>
        </is>
      </c>
      <c r="I2828" s="12" t="inlineStr">
        <is>
          <t>LV 600 V</t>
        </is>
      </c>
      <c r="J2828" s="12" t="inlineStr">
        <is>
          <t>Type TC-ER 600 V 3/C Cu XHHW-2 + ground, PVC jacket</t>
        </is>
      </c>
      <c r="K2828" s="12" t="inlineStr">
        <is>
          <t>LV|3/C+G|6</t>
        </is>
      </c>
      <c r="L2828" s="12" t="inlineStr">
        <is>
          <t>3/C+G</t>
        </is>
      </c>
      <c r="M2828" s="12" t="inlineStr">
        <is>
          <t>6</t>
        </is>
      </c>
      <c r="N2828" s="12" t="n">
        <v>1</v>
      </c>
      <c r="O2828" s="12" t="n">
        <v>1</v>
      </c>
      <c r="P2828" s="12" t="n">
        <v>480</v>
      </c>
      <c r="Q2828" s="12" t="n">
        <v>10</v>
      </c>
      <c r="R2828" s="12" t="n">
        <v>14.2</v>
      </c>
      <c r="S2828" s="12" t="inlineStr">
        <is>
          <t>Estimated</t>
        </is>
      </c>
      <c r="T2828" s="15" t="n">
        <v>1002</v>
      </c>
      <c r="U2828" s="15" t="n">
        <v>40</v>
      </c>
      <c r="V2828" s="15">
        <f>ROUNDUP((T2828+U2828+2*'Read Me'!$B$13)*(1+'Read Me'!$B$12),-1)</f>
        <v/>
      </c>
      <c r="W2828" s="15">
        <f>V2828*N2828*O2828</f>
        <v/>
      </c>
      <c r="X2828" s="12">
        <f>IF(LEFT(I2828,2)="MV",2*N2828*IF(L2828="1/C",O2828,1),0)</f>
        <v/>
      </c>
      <c r="Y2828" s="12">
        <f>IF(OR(LEFT(K2828,4)="LVAX",LEFT(K2828,6)="MV15AX",LEFT(K2828,4)="CTAX",LEFT(K2828,2)="W|"),2*N2828*O2828,0)</f>
        <v/>
      </c>
      <c r="Z2828" s="12" t="inlineStr">
        <is>
          <t>VD 2.9 %</t>
        </is>
      </c>
      <c r="AA2828" s="12">
        <f>N2828*O2828</f>
        <v/>
      </c>
    </row>
    <row r="2829">
      <c r="A2829" s="12" t="inlineStr">
        <is>
          <t>E-P-0039</t>
        </is>
      </c>
      <c r="B2829" s="12" t="inlineStr">
        <is>
          <t>E</t>
        </is>
      </c>
      <c r="C2829" s="12" t="inlineStr">
        <is>
          <t>Water / utilities</t>
        </is>
      </c>
      <c r="D2829" s="12" t="inlineStr">
        <is>
          <t>Heat-trace circuit 1 (power to the trace junction box)</t>
        </is>
      </c>
      <c r="E2829" s="12" t="inlineStr">
        <is>
          <t>HTP-3</t>
        </is>
      </c>
      <c r="F2829" s="12" t="inlineStr">
        <is>
          <t>HTP-3: heat-trace panel (tanks)</t>
        </is>
      </c>
      <c r="G2829" s="12" t="inlineStr">
        <is>
          <t>HTP-3</t>
        </is>
      </c>
      <c r="H2829" s="12" t="inlineStr">
        <is>
          <t>HTP-3: heat-trace panel (tanks)</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5" t="n">
        <v>180</v>
      </c>
      <c r="U2829" s="15" t="n">
        <v>20</v>
      </c>
      <c r="V2829" s="15">
        <f>ROUNDUP((T2829+U2829+2*'Read Me'!$B$13)*(1+'Read Me'!$B$12),-1)</f>
        <v/>
      </c>
      <c r="W2829" s="15">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E-P-0040</t>
        </is>
      </c>
      <c r="B2830" s="12" t="inlineStr">
        <is>
          <t>E</t>
        </is>
      </c>
      <c r="C2830" s="12" t="inlineStr">
        <is>
          <t>Water / utilities</t>
        </is>
      </c>
      <c r="D2830" s="12" t="inlineStr">
        <is>
          <t>Heat-trace circuit 2 (power to the trace junction box)</t>
        </is>
      </c>
      <c r="E2830" s="12" t="inlineStr">
        <is>
          <t>HTP-3</t>
        </is>
      </c>
      <c r="F2830" s="12" t="inlineStr">
        <is>
          <t>HTP-3: heat-trace panel (tanks)</t>
        </is>
      </c>
      <c r="G2830" s="12" t="inlineStr">
        <is>
          <t>HTP-3</t>
        </is>
      </c>
      <c r="H2830" s="12" t="inlineStr">
        <is>
          <t>HTP-3: heat-trace panel (tanks)</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5" t="n">
        <v>180</v>
      </c>
      <c r="U2830" s="15" t="n">
        <v>20</v>
      </c>
      <c r="V2830" s="15">
        <f>ROUNDUP((T2830+U2830+2*'Read Me'!$B$13)*(1+'Read Me'!$B$12),-1)</f>
        <v/>
      </c>
      <c r="W2830" s="15">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E-P-0041</t>
        </is>
      </c>
      <c r="B2831" s="12" t="inlineStr">
        <is>
          <t>E</t>
        </is>
      </c>
      <c r="C2831" s="12" t="inlineStr">
        <is>
          <t>Water / utilities</t>
        </is>
      </c>
      <c r="D2831" s="12" t="inlineStr">
        <is>
          <t>Heat-trace circuit 3 (power to the trace junction box)</t>
        </is>
      </c>
      <c r="E2831" s="12" t="inlineStr">
        <is>
          <t>HTP-3</t>
        </is>
      </c>
      <c r="F2831" s="12" t="inlineStr">
        <is>
          <t>HTP-3: heat-trace panel (tanks)</t>
        </is>
      </c>
      <c r="G2831" s="12" t="inlineStr">
        <is>
          <t>HTP-3</t>
        </is>
      </c>
      <c r="H2831" s="12" t="inlineStr">
        <is>
          <t>HTP-3: heat-trace panel (tanks)</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5" t="n">
        <v>180</v>
      </c>
      <c r="U2831" s="15" t="n">
        <v>20</v>
      </c>
      <c r="V2831" s="15">
        <f>ROUNDUP((T2831+U2831+2*'Read Me'!$B$13)*(1+'Read Me'!$B$12),-1)</f>
        <v/>
      </c>
      <c r="W2831" s="15">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E-P-0042</t>
        </is>
      </c>
      <c r="B2832" s="12" t="inlineStr">
        <is>
          <t>E</t>
        </is>
      </c>
      <c r="C2832" s="12" t="inlineStr">
        <is>
          <t>Water / utilities</t>
        </is>
      </c>
      <c r="D2832" s="12" t="inlineStr">
        <is>
          <t>Heat-trace circuit 4 (power to the trace junction box)</t>
        </is>
      </c>
      <c r="E2832" s="12" t="inlineStr">
        <is>
          <t>HTP-3</t>
        </is>
      </c>
      <c r="F2832" s="12" t="inlineStr">
        <is>
          <t>HTP-3: heat-trace panel (tanks)</t>
        </is>
      </c>
      <c r="G2832" s="12" t="inlineStr">
        <is>
          <t>HTP-3</t>
        </is>
      </c>
      <c r="H2832" s="12" t="inlineStr">
        <is>
          <t>HTP-3: heat-trace panel (tanks)</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5" t="n">
        <v>180</v>
      </c>
      <c r="U2832" s="15" t="n">
        <v>20</v>
      </c>
      <c r="V2832" s="15">
        <f>ROUNDUP((T2832+U2832+2*'Read Me'!$B$13)*(1+'Read Me'!$B$12),-1)</f>
        <v/>
      </c>
      <c r="W2832" s="15">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E-P-0043</t>
        </is>
      </c>
      <c r="B2833" s="12" t="inlineStr">
        <is>
          <t>E</t>
        </is>
      </c>
      <c r="C2833" s="12" t="inlineStr">
        <is>
          <t>Water / utilities</t>
        </is>
      </c>
      <c r="D2833" s="12" t="inlineStr">
        <is>
          <t>Heat-trace circuit 5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5" t="n">
        <v>180</v>
      </c>
      <c r="U2833" s="15" t="n">
        <v>20</v>
      </c>
      <c r="V2833" s="15">
        <f>ROUNDUP((T2833+U2833+2*'Read Me'!$B$13)*(1+'Read Me'!$B$12),-1)</f>
        <v/>
      </c>
      <c r="W2833" s="15">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E-P-0044</t>
        </is>
      </c>
      <c r="B2834" s="12" t="inlineStr">
        <is>
          <t>E</t>
        </is>
      </c>
      <c r="C2834" s="12" t="inlineStr">
        <is>
          <t>Water / utilities</t>
        </is>
      </c>
      <c r="D2834" s="12" t="inlineStr">
        <is>
          <t>Heat-trace circuit 6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5" t="n">
        <v>180</v>
      </c>
      <c r="U2834" s="15" t="n">
        <v>20</v>
      </c>
      <c r="V2834" s="15">
        <f>ROUNDUP((T2834+U2834+2*'Read Me'!$B$13)*(1+'Read Me'!$B$12),-1)</f>
        <v/>
      </c>
      <c r="W2834" s="15">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E-P-0045</t>
        </is>
      </c>
      <c r="B2835" s="12" t="inlineStr">
        <is>
          <t>E</t>
        </is>
      </c>
      <c r="C2835" s="12" t="inlineStr">
        <is>
          <t>Water / utilities</t>
        </is>
      </c>
      <c r="D2835" s="12" t="inlineStr">
        <is>
          <t>Heat-trace circuit 7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5" t="n">
        <v>180</v>
      </c>
      <c r="U2835" s="15" t="n">
        <v>20</v>
      </c>
      <c r="V2835" s="15">
        <f>ROUNDUP((T2835+U2835+2*'Read Me'!$B$13)*(1+'Read Me'!$B$12),-1)</f>
        <v/>
      </c>
      <c r="W2835" s="15">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E-P-0046</t>
        </is>
      </c>
      <c r="B2836" s="12" t="inlineStr">
        <is>
          <t>E</t>
        </is>
      </c>
      <c r="C2836" s="12" t="inlineStr">
        <is>
          <t>Water / utilities</t>
        </is>
      </c>
      <c r="D2836" s="12" t="inlineStr">
        <is>
          <t>Heat-trace circuit 8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5" t="n">
        <v>180</v>
      </c>
      <c r="U2836" s="15" t="n">
        <v>20</v>
      </c>
      <c r="V2836" s="15">
        <f>ROUNDUP((T2836+U2836+2*'Read Me'!$B$13)*(1+'Read Me'!$B$12),-1)</f>
        <v/>
      </c>
      <c r="W2836" s="15">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E-P-0047</t>
        </is>
      </c>
      <c r="B2837" s="12" t="inlineStr">
        <is>
          <t>E</t>
        </is>
      </c>
      <c r="C2837" s="12" t="inlineStr">
        <is>
          <t>Water / utilities</t>
        </is>
      </c>
      <c r="D2837" s="12" t="inlineStr">
        <is>
          <t>Heat-trace circuit 9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5" t="n">
        <v>180</v>
      </c>
      <c r="U2837" s="15" t="n">
        <v>20</v>
      </c>
      <c r="V2837" s="15">
        <f>ROUNDUP((T2837+U2837+2*'Read Me'!$B$13)*(1+'Read Me'!$B$12),-1)</f>
        <v/>
      </c>
      <c r="W2837" s="15">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E-P-0048</t>
        </is>
      </c>
      <c r="B2838" s="12" t="inlineStr">
        <is>
          <t>E</t>
        </is>
      </c>
      <c r="C2838" s="12" t="inlineStr">
        <is>
          <t>Water / utilities</t>
        </is>
      </c>
      <c r="D2838" s="12" t="inlineStr">
        <is>
          <t>Heat-trace circuit 10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5" t="n">
        <v>180</v>
      </c>
      <c r="U2838" s="15" t="n">
        <v>20</v>
      </c>
      <c r="V2838" s="15">
        <f>ROUNDUP((T2838+U2838+2*'Read Me'!$B$13)*(1+'Read Me'!$B$12),-1)</f>
        <v/>
      </c>
      <c r="W2838" s="15">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E-P-0049</t>
        </is>
      </c>
      <c r="B2839" s="12" t="inlineStr">
        <is>
          <t>E</t>
        </is>
      </c>
      <c r="C2839" s="12" t="inlineStr">
        <is>
          <t>Water / utilities</t>
        </is>
      </c>
      <c r="D2839" s="12" t="inlineStr">
        <is>
          <t>Heat-trace circuit 11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5" t="n">
        <v>180</v>
      </c>
      <c r="U2839" s="15" t="n">
        <v>20</v>
      </c>
      <c r="V2839" s="15">
        <f>ROUNDUP((T2839+U2839+2*'Read Me'!$B$13)*(1+'Read Me'!$B$12),-1)</f>
        <v/>
      </c>
      <c r="W2839" s="15">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E-P-0050</t>
        </is>
      </c>
      <c r="B2840" s="12" t="inlineStr">
        <is>
          <t>E</t>
        </is>
      </c>
      <c r="C2840" s="12" t="inlineStr">
        <is>
          <t>Water / utilities</t>
        </is>
      </c>
      <c r="D2840" s="12" t="inlineStr">
        <is>
          <t>Heat-trace circuit 12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5" t="n">
        <v>180</v>
      </c>
      <c r="U2840" s="15" t="n">
        <v>20</v>
      </c>
      <c r="V2840" s="15">
        <f>ROUNDUP((T2840+U2840+2*'Read Me'!$B$13)*(1+'Read Me'!$B$12),-1)</f>
        <v/>
      </c>
      <c r="W2840" s="15">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E-P-0051</t>
        </is>
      </c>
      <c r="B2841" s="12" t="inlineStr">
        <is>
          <t>E</t>
        </is>
      </c>
      <c r="C2841" s="12" t="inlineStr">
        <is>
          <t>Water / utilities</t>
        </is>
      </c>
      <c r="D2841" s="12" t="inlineStr">
        <is>
          <t>Heat-trace circuit 13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5" t="n">
        <v>180</v>
      </c>
      <c r="U2841" s="15" t="n">
        <v>20</v>
      </c>
      <c r="V2841" s="15">
        <f>ROUNDUP((T2841+U2841+2*'Read Me'!$B$13)*(1+'Read Me'!$B$12),-1)</f>
        <v/>
      </c>
      <c r="W2841" s="15">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E-P-0052</t>
        </is>
      </c>
      <c r="B2842" s="12" t="inlineStr">
        <is>
          <t>E</t>
        </is>
      </c>
      <c r="C2842" s="12" t="inlineStr">
        <is>
          <t>Water / utilities</t>
        </is>
      </c>
      <c r="D2842" s="12" t="inlineStr">
        <is>
          <t>Heat-trace circuit 14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5" t="n">
        <v>180</v>
      </c>
      <c r="U2842" s="15" t="n">
        <v>20</v>
      </c>
      <c r="V2842" s="15">
        <f>ROUNDUP((T2842+U2842+2*'Read Me'!$B$13)*(1+'Read Me'!$B$12),-1)</f>
        <v/>
      </c>
      <c r="W2842" s="15">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E-P-0053</t>
        </is>
      </c>
      <c r="B2843" s="12" t="inlineStr">
        <is>
          <t>E</t>
        </is>
      </c>
      <c r="C2843" s="12" t="inlineStr">
        <is>
          <t>Water / utilities</t>
        </is>
      </c>
      <c r="D2843" s="12" t="inlineStr">
        <is>
          <t>Heat-trace circuit 15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5" t="n">
        <v>180</v>
      </c>
      <c r="U2843" s="15" t="n">
        <v>20</v>
      </c>
      <c r="V2843" s="15">
        <f>ROUNDUP((T2843+U2843+2*'Read Me'!$B$13)*(1+'Read Me'!$B$12),-1)</f>
        <v/>
      </c>
      <c r="W2843" s="15">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E-P-0054</t>
        </is>
      </c>
      <c r="B2844" s="12" t="inlineStr">
        <is>
          <t>E</t>
        </is>
      </c>
      <c r="C2844" s="12" t="inlineStr">
        <is>
          <t>Water / utilities</t>
        </is>
      </c>
      <c r="D2844" s="12" t="inlineStr">
        <is>
          <t>Heat-trace circuit 16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5" t="n">
        <v>180</v>
      </c>
      <c r="U2844" s="15" t="n">
        <v>20</v>
      </c>
      <c r="V2844" s="15">
        <f>ROUNDUP((T2844+U2844+2*'Read Me'!$B$13)*(1+'Read Me'!$B$12),-1)</f>
        <v/>
      </c>
      <c r="W2844" s="15">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E-P-0055</t>
        </is>
      </c>
      <c r="B2845" s="12" t="inlineStr">
        <is>
          <t>E</t>
        </is>
      </c>
      <c r="C2845" s="12" t="inlineStr">
        <is>
          <t>Water / utilities</t>
        </is>
      </c>
      <c r="D2845" s="12" t="inlineStr">
        <is>
          <t>Heat-trace circuit 17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5" t="n">
        <v>180</v>
      </c>
      <c r="U2845" s="15" t="n">
        <v>20</v>
      </c>
      <c r="V2845" s="15">
        <f>ROUNDUP((T2845+U2845+2*'Read Me'!$B$13)*(1+'Read Me'!$B$12),-1)</f>
        <v/>
      </c>
      <c r="W2845" s="15">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E-P-0056</t>
        </is>
      </c>
      <c r="B2846" s="12" t="inlineStr">
        <is>
          <t>E</t>
        </is>
      </c>
      <c r="C2846" s="12" t="inlineStr">
        <is>
          <t>Water / utilities</t>
        </is>
      </c>
      <c r="D2846" s="12" t="inlineStr">
        <is>
          <t>Heat-trace circuit 18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5" t="n">
        <v>180</v>
      </c>
      <c r="U2846" s="15" t="n">
        <v>20</v>
      </c>
      <c r="V2846" s="15">
        <f>ROUNDUP((T2846+U2846+2*'Read Me'!$B$13)*(1+'Read Me'!$B$12),-1)</f>
        <v/>
      </c>
      <c r="W2846" s="15">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E-P-0057</t>
        </is>
      </c>
      <c r="B2847" s="12" t="inlineStr">
        <is>
          <t>E</t>
        </is>
      </c>
      <c r="C2847" s="12" t="inlineStr">
        <is>
          <t>Water / utilities</t>
        </is>
      </c>
      <c r="D2847" s="12" t="inlineStr">
        <is>
          <t>Heat-trace circuit 19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5" t="n">
        <v>180</v>
      </c>
      <c r="U2847" s="15" t="n">
        <v>20</v>
      </c>
      <c r="V2847" s="15">
        <f>ROUNDUP((T2847+U2847+2*'Read Me'!$B$13)*(1+'Read Me'!$B$12),-1)</f>
        <v/>
      </c>
      <c r="W2847" s="15">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E-P-0058</t>
        </is>
      </c>
      <c r="B2848" s="12" t="inlineStr">
        <is>
          <t>E</t>
        </is>
      </c>
      <c r="C2848" s="12" t="inlineStr">
        <is>
          <t>Water / utilities</t>
        </is>
      </c>
      <c r="D2848" s="12" t="inlineStr">
        <is>
          <t>Heat-trace circuit 20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5" t="n">
        <v>180</v>
      </c>
      <c r="U2848" s="15" t="n">
        <v>20</v>
      </c>
      <c r="V2848" s="15">
        <f>ROUNDUP((T2848+U2848+2*'Read Me'!$B$13)*(1+'Read Me'!$B$12),-1)</f>
        <v/>
      </c>
      <c r="W2848" s="15">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E-P-0059</t>
        </is>
      </c>
      <c r="B2849" s="12" t="inlineStr">
        <is>
          <t>E</t>
        </is>
      </c>
      <c r="C2849" s="12" t="inlineStr">
        <is>
          <t>Water / utilities</t>
        </is>
      </c>
      <c r="D2849" s="12" t="inlineStr">
        <is>
          <t>Heat-trace circuit 21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5" t="n">
        <v>180</v>
      </c>
      <c r="U2849" s="15" t="n">
        <v>20</v>
      </c>
      <c r="V2849" s="15">
        <f>ROUNDUP((T2849+U2849+2*'Read Me'!$B$13)*(1+'Read Me'!$B$12),-1)</f>
        <v/>
      </c>
      <c r="W2849" s="15">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E-P-0060</t>
        </is>
      </c>
      <c r="B2850" s="12" t="inlineStr">
        <is>
          <t>E</t>
        </is>
      </c>
      <c r="C2850" s="12" t="inlineStr">
        <is>
          <t>Water / utilities</t>
        </is>
      </c>
      <c r="D2850" s="12" t="inlineStr">
        <is>
          <t>Heat-trace circuit 22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5" t="n">
        <v>180</v>
      </c>
      <c r="U2850" s="15" t="n">
        <v>20</v>
      </c>
      <c r="V2850" s="15">
        <f>ROUNDUP((T2850+U2850+2*'Read Me'!$B$13)*(1+'Read Me'!$B$12),-1)</f>
        <v/>
      </c>
      <c r="W2850" s="15">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E-P-0061</t>
        </is>
      </c>
      <c r="B2851" s="12" t="inlineStr">
        <is>
          <t>E</t>
        </is>
      </c>
      <c r="C2851" s="12" t="inlineStr">
        <is>
          <t>Water / utilities</t>
        </is>
      </c>
      <c r="D2851" s="12" t="inlineStr">
        <is>
          <t>Heat-trace circuit 23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5" t="n">
        <v>180</v>
      </c>
      <c r="U2851" s="15" t="n">
        <v>20</v>
      </c>
      <c r="V2851" s="15">
        <f>ROUNDUP((T2851+U2851+2*'Read Me'!$B$13)*(1+'Read Me'!$B$12),-1)</f>
        <v/>
      </c>
      <c r="W2851" s="15">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E-P-0062</t>
        </is>
      </c>
      <c r="B2852" s="12" t="inlineStr">
        <is>
          <t>E</t>
        </is>
      </c>
      <c r="C2852" s="12" t="inlineStr">
        <is>
          <t>Water / utilities</t>
        </is>
      </c>
      <c r="D2852" s="12" t="inlineStr">
        <is>
          <t>Heat-trace circuit 24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5" t="n">
        <v>180</v>
      </c>
      <c r="U2852" s="15" t="n">
        <v>20</v>
      </c>
      <c r="V2852" s="15">
        <f>ROUNDUP((T2852+U2852+2*'Read Me'!$B$13)*(1+'Read Me'!$B$12),-1)</f>
        <v/>
      </c>
      <c r="W2852" s="15">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E-P-0063</t>
        </is>
      </c>
      <c r="B2853" s="12" t="inlineStr">
        <is>
          <t>E</t>
        </is>
      </c>
      <c r="C2853" s="12" t="inlineStr">
        <is>
          <t>Water / utilities</t>
        </is>
      </c>
      <c r="D2853" s="12" t="inlineStr">
        <is>
          <t>Motor 1 of 2, 7 kW</t>
        </is>
      </c>
      <c r="E2853" s="12" t="inlineStr">
        <is>
          <t>MCC-C2</t>
        </is>
      </c>
      <c r="F2853" s="12" t="inlineStr">
        <is>
          <t>R1 MCC-C2</t>
        </is>
      </c>
      <c r="G2853" s="12" t="inlineStr"/>
      <c r="H2853" s="12" t="inlineStr">
        <is>
          <t>Oil-water separator</t>
        </is>
      </c>
      <c r="I2853" s="12" t="inlineStr">
        <is>
          <t>LV 600 V</t>
        </is>
      </c>
      <c r="J2853" s="12" t="inlineStr">
        <is>
          <t>Type TC-ER 600 V 3/C Cu XHHW-2 + ground, PVC jacket</t>
        </is>
      </c>
      <c r="K2853" s="12" t="inlineStr">
        <is>
          <t>LV|3/C+G|4</t>
        </is>
      </c>
      <c r="L2853" s="12" t="inlineStr">
        <is>
          <t>3/C+G</t>
        </is>
      </c>
      <c r="M2853" s="12" t="inlineStr">
        <is>
          <t>4</t>
        </is>
      </c>
      <c r="N2853" s="12" t="n">
        <v>1</v>
      </c>
      <c r="O2853" s="12" t="n">
        <v>1</v>
      </c>
      <c r="P2853" s="12" t="n">
        <v>480</v>
      </c>
      <c r="Q2853" s="12" t="n">
        <v>7</v>
      </c>
      <c r="R2853" s="12" t="n">
        <v>9.9</v>
      </c>
      <c r="S2853" s="12" t="inlineStr">
        <is>
          <t>Duct bank</t>
        </is>
      </c>
      <c r="T2853" s="15" t="n">
        <v>2002</v>
      </c>
      <c r="U2853" s="15" t="n">
        <v>347</v>
      </c>
      <c r="V2853" s="15">
        <f>ROUNDUP((T2853+U2853+2*'Read Me'!$B$13)*(1+'Read Me'!$B$12),-1)</f>
        <v/>
      </c>
      <c r="W2853" s="15">
        <f>V2853*N2853*O2853</f>
        <v/>
      </c>
      <c r="X2853" s="12">
        <f>IF(LEFT(I2853,2)="MV",2*N2853*IF(L2853="1/C",O2853,1),0)</f>
        <v/>
      </c>
      <c r="Y2853" s="12">
        <f>IF(OR(LEFT(K2853,4)="LVAX",LEFT(K2853,6)="MV15AX",LEFT(K2853,4)="CTAX",LEFT(K2853,2)="W|"),2*N2853*O2853,0)</f>
        <v/>
      </c>
      <c r="Z2853" s="12" t="inlineStr">
        <is>
          <t>VD 2.8 %</t>
        </is>
      </c>
      <c r="AA2853" s="12">
        <f>N2853*O2853</f>
        <v/>
      </c>
    </row>
    <row r="2854">
      <c r="A2854" s="12" t="inlineStr">
        <is>
          <t>E-P-0064</t>
        </is>
      </c>
      <c r="B2854" s="12" t="inlineStr">
        <is>
          <t>E</t>
        </is>
      </c>
      <c r="C2854" s="12" t="inlineStr">
        <is>
          <t>Water / utilities</t>
        </is>
      </c>
      <c r="D2854" s="12" t="inlineStr">
        <is>
          <t>Motor 2 of 2, 7 kW</t>
        </is>
      </c>
      <c r="E2854" s="12" t="inlineStr">
        <is>
          <t>MCC-C2</t>
        </is>
      </c>
      <c r="F2854" s="12" t="inlineStr">
        <is>
          <t>R1 MCC-C2</t>
        </is>
      </c>
      <c r="G2854" s="12" t="inlineStr"/>
      <c r="H2854" s="12" t="inlineStr">
        <is>
          <t>Oil-water separator</t>
        </is>
      </c>
      <c r="I2854" s="12" t="inlineStr">
        <is>
          <t>LV 600 V</t>
        </is>
      </c>
      <c r="J2854" s="12" t="inlineStr">
        <is>
          <t>Type TC-ER 600 V 3/C Cu XHHW-2 + ground, PVC jacket</t>
        </is>
      </c>
      <c r="K2854" s="12" t="inlineStr">
        <is>
          <t>LV|3/C+G|4</t>
        </is>
      </c>
      <c r="L2854" s="12" t="inlineStr">
        <is>
          <t>3/C+G</t>
        </is>
      </c>
      <c r="M2854" s="12" t="inlineStr">
        <is>
          <t>4</t>
        </is>
      </c>
      <c r="N2854" s="12" t="n">
        <v>1</v>
      </c>
      <c r="O2854" s="12" t="n">
        <v>1</v>
      </c>
      <c r="P2854" s="12" t="n">
        <v>480</v>
      </c>
      <c r="Q2854" s="12" t="n">
        <v>7</v>
      </c>
      <c r="R2854" s="12" t="n">
        <v>9.9</v>
      </c>
      <c r="S2854" s="12" t="inlineStr">
        <is>
          <t>Duct bank</t>
        </is>
      </c>
      <c r="T2854" s="15" t="n">
        <v>2002</v>
      </c>
      <c r="U2854" s="15" t="n">
        <v>347</v>
      </c>
      <c r="V2854" s="15">
        <f>ROUNDUP((T2854+U2854+2*'Read Me'!$B$13)*(1+'Read Me'!$B$12),-1)</f>
        <v/>
      </c>
      <c r="W2854" s="15">
        <f>V2854*N2854*O2854</f>
        <v/>
      </c>
      <c r="X2854" s="12">
        <f>IF(LEFT(I2854,2)="MV",2*N2854*IF(L2854="1/C",O2854,1),0)</f>
        <v/>
      </c>
      <c r="Y2854" s="12">
        <f>IF(OR(LEFT(K2854,4)="LVAX",LEFT(K2854,6)="MV15AX",LEFT(K2854,4)="CTAX",LEFT(K2854,2)="W|"),2*N2854*O2854,0)</f>
        <v/>
      </c>
      <c r="Z2854" s="12" t="inlineStr">
        <is>
          <t>VD 2.8 %</t>
        </is>
      </c>
      <c r="AA2854" s="12">
        <f>N2854*O2854</f>
        <v/>
      </c>
    </row>
    <row r="2855">
      <c r="A2855" s="12" t="inlineStr">
        <is>
          <t>E-P-0065</t>
        </is>
      </c>
      <c r="B2855" s="12" t="inlineStr">
        <is>
          <t>E</t>
        </is>
      </c>
      <c r="C2855" s="12" t="inlineStr">
        <is>
          <t>Water / utilities</t>
        </is>
      </c>
      <c r="D2855" s="12" t="inlineStr">
        <is>
          <t>LV power feeder</t>
        </is>
      </c>
      <c r="E2855" s="12" t="inlineStr">
        <is>
          <t>MCC-C2</t>
        </is>
      </c>
      <c r="F2855" s="12" t="inlineStr">
        <is>
          <t>R1 MCC-C2</t>
        </is>
      </c>
      <c r="G2855" s="12" t="inlineStr"/>
      <c r="H2855" s="12" t="inlineStr">
        <is>
          <t>Raw water tank</t>
        </is>
      </c>
      <c r="I2855" s="12" t="inlineStr">
        <is>
          <t>LV 600 V</t>
        </is>
      </c>
      <c r="J2855" s="12" t="inlineStr">
        <is>
          <t>Type TC-ER 600 V 3/C Cu XHHW-2 + ground, PVC jacket</t>
        </is>
      </c>
      <c r="K2855" s="12" t="inlineStr">
        <is>
          <t>LV|3/C+G|2</t>
        </is>
      </c>
      <c r="L2855" s="12" t="inlineStr">
        <is>
          <t>3/C+G</t>
        </is>
      </c>
      <c r="M2855" s="12" t="inlineStr">
        <is>
          <t>2</t>
        </is>
      </c>
      <c r="N2855" s="12" t="n">
        <v>1</v>
      </c>
      <c r="O2855" s="12" t="n">
        <v>1</v>
      </c>
      <c r="P2855" s="12" t="n">
        <v>480</v>
      </c>
      <c r="Q2855" s="12" t="n">
        <v>10</v>
      </c>
      <c r="R2855" s="12" t="n">
        <v>14.2</v>
      </c>
      <c r="S2855" s="12" t="inlineStr">
        <is>
          <t>Duct bank</t>
        </is>
      </c>
      <c r="T2855" s="15" t="n">
        <v>1839</v>
      </c>
      <c r="U2855" s="15" t="n">
        <v>109</v>
      </c>
      <c r="V2855" s="15">
        <f>ROUNDUP((T2855+U2855+2*'Read Me'!$B$13)*(1+'Read Me'!$B$12),-1)</f>
        <v/>
      </c>
      <c r="W2855" s="15">
        <f>V2855*N2855*O2855</f>
        <v/>
      </c>
      <c r="X2855" s="12">
        <f>IF(LEFT(I2855,2)="MV",2*N2855*IF(L2855="1/C",O2855,1),0)</f>
        <v/>
      </c>
      <c r="Y2855" s="12">
        <f>IF(OR(LEFT(K2855,4)="LVAX",LEFT(K2855,6)="MV15AX",LEFT(K2855,4)="CTAX",LEFT(K2855,2)="W|"),2*N2855*O2855,0)</f>
        <v/>
      </c>
      <c r="Z2855" s="12" t="inlineStr">
        <is>
          <t>VD 2.1 %</t>
        </is>
      </c>
      <c r="AA2855" s="12">
        <f>N2855*O2855</f>
        <v/>
      </c>
    </row>
    <row r="2856">
      <c r="A2856" s="12" t="inlineStr">
        <is>
          <t>E-P-0066</t>
        </is>
      </c>
      <c r="B2856" s="12" t="inlineStr">
        <is>
          <t>E</t>
        </is>
      </c>
      <c r="C2856" s="12" t="inlineStr">
        <is>
          <t>Water / utilities</t>
        </is>
      </c>
      <c r="D2856" s="12" t="inlineStr">
        <is>
          <t>Motor 1 of 8, 15 kW</t>
        </is>
      </c>
      <c r="E2856" s="12" t="inlineStr">
        <is>
          <t>MCC-C2</t>
        </is>
      </c>
      <c r="F2856" s="12" t="inlineStr">
        <is>
          <t>R1 MCC-C2</t>
        </is>
      </c>
      <c r="G2856" s="12" t="inlineStr"/>
      <c r="H2856" s="12" t="inlineStr">
        <is>
          <t>Wastewater treatment</t>
        </is>
      </c>
      <c r="I2856" s="12" t="inlineStr">
        <is>
          <t>LV 600 V</t>
        </is>
      </c>
      <c r="J2856" s="12" t="inlineStr">
        <is>
          <t>Type TC-ER 600 V 3/C Cu XHHW-2 + ground, PVC jacket</t>
        </is>
      </c>
      <c r="K2856" s="12" t="inlineStr">
        <is>
          <t>LV|3/C+G|4</t>
        </is>
      </c>
      <c r="L2856" s="12" t="inlineStr">
        <is>
          <t>3/C+G</t>
        </is>
      </c>
      <c r="M2856" s="12" t="inlineStr">
        <is>
          <t>4</t>
        </is>
      </c>
      <c r="N2856" s="12" t="n">
        <v>1</v>
      </c>
      <c r="O2856" s="12" t="n">
        <v>1</v>
      </c>
      <c r="P2856" s="12" t="n">
        <v>480</v>
      </c>
      <c r="Q2856" s="12" t="n">
        <v>15</v>
      </c>
      <c r="R2856" s="12" t="n">
        <v>21.2</v>
      </c>
      <c r="S2856" s="12" t="inlineStr">
        <is>
          <t>Estimated</t>
        </is>
      </c>
      <c r="T2856" s="15" t="n">
        <v>1021</v>
      </c>
      <c r="U2856" s="15" t="n">
        <v>40</v>
      </c>
      <c r="V2856" s="15">
        <f>ROUNDUP((T2856+U2856+2*'Read Me'!$B$13)*(1+'Read Me'!$B$12),-1)</f>
        <v/>
      </c>
      <c r="W2856" s="15">
        <f>V2856*N2856*O2856</f>
        <v/>
      </c>
      <c r="X2856" s="12">
        <f>IF(LEFT(I2856,2)="MV",2*N2856*IF(L2856="1/C",O2856,1),0)</f>
        <v/>
      </c>
      <c r="Y2856" s="12">
        <f>IF(OR(LEFT(K2856,4)="LVAX",LEFT(K2856,6)="MV15AX",LEFT(K2856,4)="CTAX",LEFT(K2856,2)="W|"),2*N2856*O2856,0)</f>
        <v/>
      </c>
      <c r="Z2856" s="12" t="inlineStr">
        <is>
          <t>VD 2.8 %</t>
        </is>
      </c>
      <c r="AA2856" s="12">
        <f>N2856*O2856</f>
        <v/>
      </c>
    </row>
    <row r="2857">
      <c r="A2857" s="12" t="inlineStr">
        <is>
          <t>E-P-0067</t>
        </is>
      </c>
      <c r="B2857" s="12" t="inlineStr">
        <is>
          <t>E</t>
        </is>
      </c>
      <c r="C2857" s="12" t="inlineStr">
        <is>
          <t>Water / utilities</t>
        </is>
      </c>
      <c r="D2857" s="12" t="inlineStr">
        <is>
          <t>Motor 2 of 8, 15 kW</t>
        </is>
      </c>
      <c r="E2857" s="12" t="inlineStr">
        <is>
          <t>MCC-C2</t>
        </is>
      </c>
      <c r="F2857" s="12" t="inlineStr">
        <is>
          <t>R1 MCC-C2</t>
        </is>
      </c>
      <c r="G2857" s="12" t="inlineStr"/>
      <c r="H2857" s="12" t="inlineStr">
        <is>
          <t>Wastewater treatment</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15</v>
      </c>
      <c r="R2857" s="12" t="n">
        <v>21.2</v>
      </c>
      <c r="S2857" s="12" t="inlineStr">
        <is>
          <t>Estimated</t>
        </is>
      </c>
      <c r="T2857" s="15" t="n">
        <v>1021</v>
      </c>
      <c r="U2857" s="15" t="n">
        <v>40</v>
      </c>
      <c r="V2857" s="15">
        <f>ROUNDUP((T2857+U2857+2*'Read Me'!$B$13)*(1+'Read Me'!$B$12),-1)</f>
        <v/>
      </c>
      <c r="W2857" s="15">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E-P-0068</t>
        </is>
      </c>
      <c r="B2858" s="12" t="inlineStr">
        <is>
          <t>E</t>
        </is>
      </c>
      <c r="C2858" s="12" t="inlineStr">
        <is>
          <t>Water / utilities</t>
        </is>
      </c>
      <c r="D2858" s="12" t="inlineStr">
        <is>
          <t>Motor 3 of 8, 15 kW</t>
        </is>
      </c>
      <c r="E2858" s="12" t="inlineStr">
        <is>
          <t>MCC-C2</t>
        </is>
      </c>
      <c r="F2858" s="12" t="inlineStr">
        <is>
          <t>R1 MCC-C2</t>
        </is>
      </c>
      <c r="G2858" s="12" t="inlineStr"/>
      <c r="H2858" s="12" t="inlineStr">
        <is>
          <t>Wastewater treatment</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15</v>
      </c>
      <c r="R2858" s="12" t="n">
        <v>21.2</v>
      </c>
      <c r="S2858" s="12" t="inlineStr">
        <is>
          <t>Estimated</t>
        </is>
      </c>
      <c r="T2858" s="15" t="n">
        <v>1021</v>
      </c>
      <c r="U2858" s="15" t="n">
        <v>40</v>
      </c>
      <c r="V2858" s="15">
        <f>ROUNDUP((T2858+U2858+2*'Read Me'!$B$13)*(1+'Read Me'!$B$12),-1)</f>
        <v/>
      </c>
      <c r="W2858" s="15">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E-P-0069</t>
        </is>
      </c>
      <c r="B2859" s="12" t="inlineStr">
        <is>
          <t>E</t>
        </is>
      </c>
      <c r="C2859" s="12" t="inlineStr">
        <is>
          <t>Water / utilities</t>
        </is>
      </c>
      <c r="D2859" s="12" t="inlineStr">
        <is>
          <t>Motor 4 of 8, 15 kW</t>
        </is>
      </c>
      <c r="E2859" s="12" t="inlineStr">
        <is>
          <t>MCC-C2</t>
        </is>
      </c>
      <c r="F2859" s="12" t="inlineStr">
        <is>
          <t>R1 MCC-C2</t>
        </is>
      </c>
      <c r="G2859" s="12" t="inlineStr"/>
      <c r="H2859" s="12" t="inlineStr">
        <is>
          <t>Wastewater treatment</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15</v>
      </c>
      <c r="R2859" s="12" t="n">
        <v>21.2</v>
      </c>
      <c r="S2859" s="12" t="inlineStr">
        <is>
          <t>Estimated</t>
        </is>
      </c>
      <c r="T2859" s="15" t="n">
        <v>1021</v>
      </c>
      <c r="U2859" s="15" t="n">
        <v>40</v>
      </c>
      <c r="V2859" s="15">
        <f>ROUNDUP((T2859+U2859+2*'Read Me'!$B$13)*(1+'Read Me'!$B$12),-1)</f>
        <v/>
      </c>
      <c r="W2859" s="15">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E-P-0070</t>
        </is>
      </c>
      <c r="B2860" s="12" t="inlineStr">
        <is>
          <t>E</t>
        </is>
      </c>
      <c r="C2860" s="12" t="inlineStr">
        <is>
          <t>Water / utilities</t>
        </is>
      </c>
      <c r="D2860" s="12" t="inlineStr">
        <is>
          <t>Motor 5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15</v>
      </c>
      <c r="R2860" s="12" t="n">
        <v>21.2</v>
      </c>
      <c r="S2860" s="12" t="inlineStr">
        <is>
          <t>Estimated</t>
        </is>
      </c>
      <c r="T2860" s="15" t="n">
        <v>1021</v>
      </c>
      <c r="U2860" s="15" t="n">
        <v>40</v>
      </c>
      <c r="V2860" s="15">
        <f>ROUNDUP((T2860+U2860+2*'Read Me'!$B$13)*(1+'Read Me'!$B$12),-1)</f>
        <v/>
      </c>
      <c r="W2860" s="15">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E-P-0071</t>
        </is>
      </c>
      <c r="B2861" s="12" t="inlineStr">
        <is>
          <t>E</t>
        </is>
      </c>
      <c r="C2861" s="12" t="inlineStr">
        <is>
          <t>Water / utilities</t>
        </is>
      </c>
      <c r="D2861" s="12" t="inlineStr">
        <is>
          <t>Motor 6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LV|3/C+G|4</t>
        </is>
      </c>
      <c r="L2861" s="12" t="inlineStr">
        <is>
          <t>3/C+G</t>
        </is>
      </c>
      <c r="M2861" s="12" t="inlineStr">
        <is>
          <t>4</t>
        </is>
      </c>
      <c r="N2861" s="12" t="n">
        <v>1</v>
      </c>
      <c r="O2861" s="12" t="n">
        <v>1</v>
      </c>
      <c r="P2861" s="12" t="n">
        <v>480</v>
      </c>
      <c r="Q2861" s="12" t="n">
        <v>15</v>
      </c>
      <c r="R2861" s="12" t="n">
        <v>21.2</v>
      </c>
      <c r="S2861" s="12" t="inlineStr">
        <is>
          <t>Estimated</t>
        </is>
      </c>
      <c r="T2861" s="15" t="n">
        <v>1021</v>
      </c>
      <c r="U2861" s="15" t="n">
        <v>40</v>
      </c>
      <c r="V2861" s="15">
        <f>ROUNDUP((T2861+U2861+2*'Read Me'!$B$13)*(1+'Read Me'!$B$12),-1)</f>
        <v/>
      </c>
      <c r="W2861" s="15">
        <f>V2861*N2861*O2861</f>
        <v/>
      </c>
      <c r="X2861" s="12">
        <f>IF(LEFT(I2861,2)="MV",2*N2861*IF(L2861="1/C",O2861,1),0)</f>
        <v/>
      </c>
      <c r="Y2861" s="12">
        <f>IF(OR(LEFT(K2861,4)="LVAX",LEFT(K2861,6)="MV15AX",LEFT(K2861,4)="CTAX",LEFT(K2861,2)="W|"),2*N2861*O2861,0)</f>
        <v/>
      </c>
      <c r="Z2861" s="12" t="inlineStr">
        <is>
          <t>VD 2.8 %</t>
        </is>
      </c>
      <c r="AA2861" s="12">
        <f>N2861*O2861</f>
        <v/>
      </c>
    </row>
    <row r="2862">
      <c r="A2862" s="12" t="inlineStr">
        <is>
          <t>E-P-0072</t>
        </is>
      </c>
      <c r="B2862" s="12" t="inlineStr">
        <is>
          <t>E</t>
        </is>
      </c>
      <c r="C2862" s="12" t="inlineStr">
        <is>
          <t>Water / utilities</t>
        </is>
      </c>
      <c r="D2862" s="12" t="inlineStr">
        <is>
          <t>Motor 7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LV|3/C+G|4</t>
        </is>
      </c>
      <c r="L2862" s="12" t="inlineStr">
        <is>
          <t>3/C+G</t>
        </is>
      </c>
      <c r="M2862" s="12" t="inlineStr">
        <is>
          <t>4</t>
        </is>
      </c>
      <c r="N2862" s="12" t="n">
        <v>1</v>
      </c>
      <c r="O2862" s="12" t="n">
        <v>1</v>
      </c>
      <c r="P2862" s="12" t="n">
        <v>480</v>
      </c>
      <c r="Q2862" s="12" t="n">
        <v>15</v>
      </c>
      <c r="R2862" s="12" t="n">
        <v>21.2</v>
      </c>
      <c r="S2862" s="12" t="inlineStr">
        <is>
          <t>Estimated</t>
        </is>
      </c>
      <c r="T2862" s="15" t="n">
        <v>1021</v>
      </c>
      <c r="U2862" s="15" t="n">
        <v>40</v>
      </c>
      <c r="V2862" s="15">
        <f>ROUNDUP((T2862+U2862+2*'Read Me'!$B$13)*(1+'Read Me'!$B$12),-1)</f>
        <v/>
      </c>
      <c r="W2862" s="15">
        <f>V2862*N2862*O2862</f>
        <v/>
      </c>
      <c r="X2862" s="12">
        <f>IF(LEFT(I2862,2)="MV",2*N2862*IF(L2862="1/C",O2862,1),0)</f>
        <v/>
      </c>
      <c r="Y2862" s="12">
        <f>IF(OR(LEFT(K2862,4)="LVAX",LEFT(K2862,6)="MV15AX",LEFT(K2862,4)="CTAX",LEFT(K2862,2)="W|"),2*N2862*O2862,0)</f>
        <v/>
      </c>
      <c r="Z2862" s="12" t="inlineStr">
        <is>
          <t>VD 2.8 %</t>
        </is>
      </c>
      <c r="AA2862" s="12">
        <f>N2862*O2862</f>
        <v/>
      </c>
    </row>
    <row r="2863">
      <c r="A2863" s="12" t="inlineStr">
        <is>
          <t>E-P-0073</t>
        </is>
      </c>
      <c r="B2863" s="12" t="inlineStr">
        <is>
          <t>E</t>
        </is>
      </c>
      <c r="C2863" s="12" t="inlineStr">
        <is>
          <t>Water / utilities</t>
        </is>
      </c>
      <c r="D2863" s="12" t="inlineStr">
        <is>
          <t>Motor 8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LV|3/C+G|4</t>
        </is>
      </c>
      <c r="L2863" s="12" t="inlineStr">
        <is>
          <t>3/C+G</t>
        </is>
      </c>
      <c r="M2863" s="12" t="inlineStr">
        <is>
          <t>4</t>
        </is>
      </c>
      <c r="N2863" s="12" t="n">
        <v>1</v>
      </c>
      <c r="O2863" s="12" t="n">
        <v>1</v>
      </c>
      <c r="P2863" s="12" t="n">
        <v>480</v>
      </c>
      <c r="Q2863" s="12" t="n">
        <v>15</v>
      </c>
      <c r="R2863" s="12" t="n">
        <v>21.2</v>
      </c>
      <c r="S2863" s="12" t="inlineStr">
        <is>
          <t>Estimated</t>
        </is>
      </c>
      <c r="T2863" s="15" t="n">
        <v>1021</v>
      </c>
      <c r="U2863" s="15" t="n">
        <v>40</v>
      </c>
      <c r="V2863" s="15">
        <f>ROUNDUP((T2863+U2863+2*'Read Me'!$B$13)*(1+'Read Me'!$B$12),-1)</f>
        <v/>
      </c>
      <c r="W2863" s="15">
        <f>V2863*N2863*O2863</f>
        <v/>
      </c>
      <c r="X2863" s="12">
        <f>IF(LEFT(I2863,2)="MV",2*N2863*IF(L2863="1/C",O2863,1),0)</f>
        <v/>
      </c>
      <c r="Y2863" s="12">
        <f>IF(OR(LEFT(K2863,4)="LVAX",LEFT(K2863,6)="MV15AX",LEFT(K2863,4)="CTAX",LEFT(K2863,2)="W|"),2*N2863*O2863,0)</f>
        <v/>
      </c>
      <c r="Z2863" s="12" t="inlineStr">
        <is>
          <t>VD 2.8 %</t>
        </is>
      </c>
      <c r="AA2863" s="12">
        <f>N2863*O2863</f>
        <v/>
      </c>
    </row>
    <row r="2864">
      <c r="A2864" s="12" t="inlineStr">
        <is>
          <t>E-P-0074</t>
        </is>
      </c>
      <c r="B2864" s="12" t="inlineStr">
        <is>
          <t>E</t>
        </is>
      </c>
      <c r="C2864" s="12" t="inlineStr">
        <is>
          <t>Water / utilities</t>
        </is>
      </c>
      <c r="D2864" s="12" t="inlineStr">
        <is>
          <t>Motor 1 of 20, 15 kW</t>
        </is>
      </c>
      <c r="E2864" s="12" t="inlineStr">
        <is>
          <t>MCC-C2</t>
        </is>
      </c>
      <c r="F2864" s="12" t="inlineStr">
        <is>
          <t>R1 MCC-C2</t>
        </is>
      </c>
      <c r="G2864" s="12" t="inlineStr">
        <is>
          <t>R-WT</t>
        </is>
      </c>
      <c r="H2864" s="12" t="inlineStr">
        <is>
          <t>Water treatment building (incl. R-WT electrical room)</t>
        </is>
      </c>
      <c r="I2864" s="12" t="inlineStr">
        <is>
          <t>LV 600 V</t>
        </is>
      </c>
      <c r="J2864" s="12" t="inlineStr">
        <is>
          <t>Type TC-ER 600 V 3/C Cu XHHW-2 + ground, PVC jacket</t>
        </is>
      </c>
      <c r="K2864" s="12" t="inlineStr">
        <is>
          <t>LV|3/C+G|2</t>
        </is>
      </c>
      <c r="L2864" s="12" t="inlineStr">
        <is>
          <t>3/C+G</t>
        </is>
      </c>
      <c r="M2864" s="12" t="inlineStr">
        <is>
          <t>2</t>
        </is>
      </c>
      <c r="N2864" s="12" t="n">
        <v>1</v>
      </c>
      <c r="O2864" s="12" t="n">
        <v>1</v>
      </c>
      <c r="P2864" s="12" t="n">
        <v>480</v>
      </c>
      <c r="Q2864" s="12" t="n">
        <v>15</v>
      </c>
      <c r="R2864" s="12" t="n">
        <v>21.2</v>
      </c>
      <c r="S2864" s="12" t="inlineStr">
        <is>
          <t>Duct bank</t>
        </is>
      </c>
      <c r="T2864" s="15" t="n">
        <v>1714</v>
      </c>
      <c r="U2864" s="15" t="n">
        <v>109</v>
      </c>
      <c r="V2864" s="15">
        <f>ROUNDUP((T2864+U2864+2*'Read Me'!$B$13)*(1+'Read Me'!$B$12),-1)</f>
        <v/>
      </c>
      <c r="W2864" s="15">
        <f>V2864*N2864*O2864</f>
        <v/>
      </c>
      <c r="X2864" s="12">
        <f>IF(LEFT(I2864,2)="MV",2*N2864*IF(L2864="1/C",O2864,1),0)</f>
        <v/>
      </c>
      <c r="Y2864" s="12">
        <f>IF(OR(LEFT(K2864,4)="LVAX",LEFT(K2864,6)="MV15AX",LEFT(K2864,4)="CTAX",LEFT(K2864,2)="W|"),2*N2864*O2864,0)</f>
        <v/>
      </c>
      <c r="Z2864" s="12" t="inlineStr">
        <is>
          <t>VD 3.0 %</t>
        </is>
      </c>
      <c r="AA2864" s="12">
        <f>N2864*O2864</f>
        <v/>
      </c>
    </row>
    <row r="2865">
      <c r="A2865" s="12" t="inlineStr">
        <is>
          <t>E-P-0075</t>
        </is>
      </c>
      <c r="B2865" s="12" t="inlineStr">
        <is>
          <t>E</t>
        </is>
      </c>
      <c r="C2865" s="12" t="inlineStr">
        <is>
          <t>Water / utilities</t>
        </is>
      </c>
      <c r="D2865" s="12" t="inlineStr">
        <is>
          <t>Motor 2 of 20, 15 kW</t>
        </is>
      </c>
      <c r="E2865" s="12" t="inlineStr">
        <is>
          <t>MCC-C2</t>
        </is>
      </c>
      <c r="F2865" s="12" t="inlineStr">
        <is>
          <t>R1 MCC-C2</t>
        </is>
      </c>
      <c r="G2865" s="12" t="inlineStr">
        <is>
          <t>R-WT</t>
        </is>
      </c>
      <c r="H2865" s="12" t="inlineStr">
        <is>
          <t>Water treatment building (incl. R-WT electrical room)</t>
        </is>
      </c>
      <c r="I2865" s="12" t="inlineStr">
        <is>
          <t>LV 600 V</t>
        </is>
      </c>
      <c r="J2865" s="12" t="inlineStr">
        <is>
          <t>Type TC-ER 600 V 3/C Cu XHHW-2 + ground, PVC jacket</t>
        </is>
      </c>
      <c r="K2865" s="12" t="inlineStr">
        <is>
          <t>LV|3/C+G|2</t>
        </is>
      </c>
      <c r="L2865" s="12" t="inlineStr">
        <is>
          <t>3/C+G</t>
        </is>
      </c>
      <c r="M2865" s="12" t="inlineStr">
        <is>
          <t>2</t>
        </is>
      </c>
      <c r="N2865" s="12" t="n">
        <v>1</v>
      </c>
      <c r="O2865" s="12" t="n">
        <v>1</v>
      </c>
      <c r="P2865" s="12" t="n">
        <v>480</v>
      </c>
      <c r="Q2865" s="12" t="n">
        <v>15</v>
      </c>
      <c r="R2865" s="12" t="n">
        <v>21.2</v>
      </c>
      <c r="S2865" s="12" t="inlineStr">
        <is>
          <t>Duct bank</t>
        </is>
      </c>
      <c r="T2865" s="15" t="n">
        <v>1714</v>
      </c>
      <c r="U2865" s="15" t="n">
        <v>109</v>
      </c>
      <c r="V2865" s="15">
        <f>ROUNDUP((T2865+U2865+2*'Read Me'!$B$13)*(1+'Read Me'!$B$12),-1)</f>
        <v/>
      </c>
      <c r="W2865" s="15">
        <f>V2865*N2865*O2865</f>
        <v/>
      </c>
      <c r="X2865" s="12">
        <f>IF(LEFT(I2865,2)="MV",2*N2865*IF(L2865="1/C",O2865,1),0)</f>
        <v/>
      </c>
      <c r="Y2865" s="12">
        <f>IF(OR(LEFT(K2865,4)="LVAX",LEFT(K2865,6)="MV15AX",LEFT(K2865,4)="CTAX",LEFT(K2865,2)="W|"),2*N2865*O2865,0)</f>
        <v/>
      </c>
      <c r="Z2865" s="12" t="inlineStr">
        <is>
          <t>VD 3.0 %</t>
        </is>
      </c>
      <c r="AA2865" s="12">
        <f>N2865*O2865</f>
        <v/>
      </c>
    </row>
    <row r="2866">
      <c r="A2866" s="12" t="inlineStr">
        <is>
          <t>E-P-0076</t>
        </is>
      </c>
      <c r="B2866" s="12" t="inlineStr">
        <is>
          <t>E</t>
        </is>
      </c>
      <c r="C2866" s="12" t="inlineStr">
        <is>
          <t>Water / utilities</t>
        </is>
      </c>
      <c r="D2866" s="12" t="inlineStr">
        <is>
          <t>Motor 3 of 20, 15 kW</t>
        </is>
      </c>
      <c r="E2866" s="12" t="inlineStr">
        <is>
          <t>MCC-C2</t>
        </is>
      </c>
      <c r="F2866" s="12" t="inlineStr">
        <is>
          <t>R1 MCC-C2</t>
        </is>
      </c>
      <c r="G2866" s="12" t="inlineStr">
        <is>
          <t>R-WT</t>
        </is>
      </c>
      <c r="H2866" s="12" t="inlineStr">
        <is>
          <t>Water treatment building (incl. R-WT electrical room)</t>
        </is>
      </c>
      <c r="I2866" s="12" t="inlineStr">
        <is>
          <t>LV 600 V</t>
        </is>
      </c>
      <c r="J2866" s="12" t="inlineStr">
        <is>
          <t>Type TC-ER 600 V 3/C Cu XHHW-2 + ground, PVC jacket</t>
        </is>
      </c>
      <c r="K2866" s="12" t="inlineStr">
        <is>
          <t>LV|3/C+G|2</t>
        </is>
      </c>
      <c r="L2866" s="12" t="inlineStr">
        <is>
          <t>3/C+G</t>
        </is>
      </c>
      <c r="M2866" s="12" t="inlineStr">
        <is>
          <t>2</t>
        </is>
      </c>
      <c r="N2866" s="12" t="n">
        <v>1</v>
      </c>
      <c r="O2866" s="12" t="n">
        <v>1</v>
      </c>
      <c r="P2866" s="12" t="n">
        <v>480</v>
      </c>
      <c r="Q2866" s="12" t="n">
        <v>15</v>
      </c>
      <c r="R2866" s="12" t="n">
        <v>21.2</v>
      </c>
      <c r="S2866" s="12" t="inlineStr">
        <is>
          <t>Duct bank</t>
        </is>
      </c>
      <c r="T2866" s="15" t="n">
        <v>1714</v>
      </c>
      <c r="U2866" s="15" t="n">
        <v>109</v>
      </c>
      <c r="V2866" s="15">
        <f>ROUNDUP((T2866+U2866+2*'Read Me'!$B$13)*(1+'Read Me'!$B$12),-1)</f>
        <v/>
      </c>
      <c r="W2866" s="15">
        <f>V2866*N2866*O2866</f>
        <v/>
      </c>
      <c r="X2866" s="12">
        <f>IF(LEFT(I2866,2)="MV",2*N2866*IF(L2866="1/C",O2866,1),0)</f>
        <v/>
      </c>
      <c r="Y2866" s="12">
        <f>IF(OR(LEFT(K2866,4)="LVAX",LEFT(K2866,6)="MV15AX",LEFT(K2866,4)="CTAX",LEFT(K2866,2)="W|"),2*N2866*O2866,0)</f>
        <v/>
      </c>
      <c r="Z2866" s="12" t="inlineStr">
        <is>
          <t>VD 3.0 %</t>
        </is>
      </c>
      <c r="AA2866" s="12">
        <f>N2866*O2866</f>
        <v/>
      </c>
    </row>
    <row r="2867">
      <c r="A2867" s="12" t="inlineStr">
        <is>
          <t>E-P-0077</t>
        </is>
      </c>
      <c r="B2867" s="12" t="inlineStr">
        <is>
          <t>E</t>
        </is>
      </c>
      <c r="C2867" s="12" t="inlineStr">
        <is>
          <t>Water / utilities</t>
        </is>
      </c>
      <c r="D2867" s="12" t="inlineStr">
        <is>
          <t>Motor 4 of 20, 15 kW</t>
        </is>
      </c>
      <c r="E2867" s="12" t="inlineStr">
        <is>
          <t>MCC-C2</t>
        </is>
      </c>
      <c r="F2867" s="12" t="inlineStr">
        <is>
          <t>R1 MCC-C2</t>
        </is>
      </c>
      <c r="G2867" s="12" t="inlineStr">
        <is>
          <t>R-WT</t>
        </is>
      </c>
      <c r="H2867" s="12" t="inlineStr">
        <is>
          <t>Water treatment building (incl. R-WT electrical room)</t>
        </is>
      </c>
      <c r="I2867" s="12" t="inlineStr">
        <is>
          <t>LV 600 V</t>
        </is>
      </c>
      <c r="J2867" s="12" t="inlineStr">
        <is>
          <t>Type TC-ER 600 V 3/C Cu XHHW-2 + ground, PVC jacket</t>
        </is>
      </c>
      <c r="K2867" s="12" t="inlineStr">
        <is>
          <t>LV|3/C+G|2</t>
        </is>
      </c>
      <c r="L2867" s="12" t="inlineStr">
        <is>
          <t>3/C+G</t>
        </is>
      </c>
      <c r="M2867" s="12" t="inlineStr">
        <is>
          <t>2</t>
        </is>
      </c>
      <c r="N2867" s="12" t="n">
        <v>1</v>
      </c>
      <c r="O2867" s="12" t="n">
        <v>1</v>
      </c>
      <c r="P2867" s="12" t="n">
        <v>480</v>
      </c>
      <c r="Q2867" s="12" t="n">
        <v>15</v>
      </c>
      <c r="R2867" s="12" t="n">
        <v>21.2</v>
      </c>
      <c r="S2867" s="12" t="inlineStr">
        <is>
          <t>Duct bank</t>
        </is>
      </c>
      <c r="T2867" s="15" t="n">
        <v>1714</v>
      </c>
      <c r="U2867" s="15" t="n">
        <v>109</v>
      </c>
      <c r="V2867" s="15">
        <f>ROUNDUP((T2867+U2867+2*'Read Me'!$B$13)*(1+'Read Me'!$B$12),-1)</f>
        <v/>
      </c>
      <c r="W2867" s="15">
        <f>V2867*N2867*O2867</f>
        <v/>
      </c>
      <c r="X2867" s="12">
        <f>IF(LEFT(I2867,2)="MV",2*N2867*IF(L2867="1/C",O2867,1),0)</f>
        <v/>
      </c>
      <c r="Y2867" s="12">
        <f>IF(OR(LEFT(K2867,4)="LVAX",LEFT(K2867,6)="MV15AX",LEFT(K2867,4)="CTAX",LEFT(K2867,2)="W|"),2*N2867*O2867,0)</f>
        <v/>
      </c>
      <c r="Z2867" s="12" t="inlineStr">
        <is>
          <t>VD 3.0 %</t>
        </is>
      </c>
      <c r="AA2867" s="12">
        <f>N2867*O2867</f>
        <v/>
      </c>
    </row>
    <row r="2868">
      <c r="A2868" s="12" t="inlineStr">
        <is>
          <t>E-P-0078</t>
        </is>
      </c>
      <c r="B2868" s="12" t="inlineStr">
        <is>
          <t>E</t>
        </is>
      </c>
      <c r="C2868" s="12" t="inlineStr">
        <is>
          <t>Water / utilities</t>
        </is>
      </c>
      <c r="D2868" s="12" t="inlineStr">
        <is>
          <t>Motor 5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5" t="n">
        <v>1714</v>
      </c>
      <c r="U2868" s="15" t="n">
        <v>109</v>
      </c>
      <c r="V2868" s="15">
        <f>ROUNDUP((T2868+U2868+2*'Read Me'!$B$13)*(1+'Read Me'!$B$12),-1)</f>
        <v/>
      </c>
      <c r="W2868" s="15">
        <f>V2868*N2868*O2868</f>
        <v/>
      </c>
      <c r="X2868" s="12">
        <f>IF(LEFT(I2868,2)="MV",2*N2868*IF(L2868="1/C",O2868,1),0)</f>
        <v/>
      </c>
      <c r="Y2868" s="12">
        <f>IF(OR(LEFT(K2868,4)="LVAX",LEFT(K2868,6)="MV15AX",LEFT(K2868,4)="CTAX",LEFT(K2868,2)="W|"),2*N2868*O2868,0)</f>
        <v/>
      </c>
      <c r="Z2868" s="12" t="inlineStr">
        <is>
          <t>VD 3.0 %</t>
        </is>
      </c>
      <c r="AA2868" s="12">
        <f>N2868*O2868</f>
        <v/>
      </c>
    </row>
    <row r="2869">
      <c r="A2869" s="12" t="inlineStr">
        <is>
          <t>E-P-0079</t>
        </is>
      </c>
      <c r="B2869" s="12" t="inlineStr">
        <is>
          <t>E</t>
        </is>
      </c>
      <c r="C2869" s="12" t="inlineStr">
        <is>
          <t>Water / utilities</t>
        </is>
      </c>
      <c r="D2869" s="12" t="inlineStr">
        <is>
          <t>Motor 6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5" t="n">
        <v>1714</v>
      </c>
      <c r="U2869" s="15" t="n">
        <v>109</v>
      </c>
      <c r="V2869" s="15">
        <f>ROUNDUP((T2869+U2869+2*'Read Me'!$B$13)*(1+'Read Me'!$B$12),-1)</f>
        <v/>
      </c>
      <c r="W2869" s="15">
        <f>V2869*N2869*O2869</f>
        <v/>
      </c>
      <c r="X2869" s="12">
        <f>IF(LEFT(I2869,2)="MV",2*N2869*IF(L2869="1/C",O2869,1),0)</f>
        <v/>
      </c>
      <c r="Y2869" s="12">
        <f>IF(OR(LEFT(K2869,4)="LVAX",LEFT(K2869,6)="MV15AX",LEFT(K2869,4)="CTAX",LEFT(K2869,2)="W|"),2*N2869*O2869,0)</f>
        <v/>
      </c>
      <c r="Z2869" s="12" t="inlineStr">
        <is>
          <t>VD 3.0 %</t>
        </is>
      </c>
      <c r="AA2869" s="12">
        <f>N2869*O2869</f>
        <v/>
      </c>
    </row>
    <row r="2870">
      <c r="A2870" s="12" t="inlineStr">
        <is>
          <t>E-P-0080</t>
        </is>
      </c>
      <c r="B2870" s="12" t="inlineStr">
        <is>
          <t>E</t>
        </is>
      </c>
      <c r="C2870" s="12" t="inlineStr">
        <is>
          <t>Water / utilities</t>
        </is>
      </c>
      <c r="D2870" s="12" t="inlineStr">
        <is>
          <t>Motor 7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5" t="n">
        <v>1714</v>
      </c>
      <c r="U2870" s="15" t="n">
        <v>109</v>
      </c>
      <c r="V2870" s="15">
        <f>ROUNDUP((T2870+U2870+2*'Read Me'!$B$13)*(1+'Read Me'!$B$12),-1)</f>
        <v/>
      </c>
      <c r="W2870" s="15">
        <f>V2870*N2870*O2870</f>
        <v/>
      </c>
      <c r="X2870" s="12">
        <f>IF(LEFT(I2870,2)="MV",2*N2870*IF(L2870="1/C",O2870,1),0)</f>
        <v/>
      </c>
      <c r="Y2870" s="12">
        <f>IF(OR(LEFT(K2870,4)="LVAX",LEFT(K2870,6)="MV15AX",LEFT(K2870,4)="CTAX",LEFT(K2870,2)="W|"),2*N2870*O2870,0)</f>
        <v/>
      </c>
      <c r="Z2870" s="12" t="inlineStr">
        <is>
          <t>VD 3.0 %</t>
        </is>
      </c>
      <c r="AA2870" s="12">
        <f>N2870*O2870</f>
        <v/>
      </c>
    </row>
    <row r="2871">
      <c r="A2871" s="12" t="inlineStr">
        <is>
          <t>E-P-0081</t>
        </is>
      </c>
      <c r="B2871" s="12" t="inlineStr">
        <is>
          <t>E</t>
        </is>
      </c>
      <c r="C2871" s="12" t="inlineStr">
        <is>
          <t>Water / utilities</t>
        </is>
      </c>
      <c r="D2871" s="12" t="inlineStr">
        <is>
          <t>Motor 8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5" t="n">
        <v>1714</v>
      </c>
      <c r="U2871" s="15" t="n">
        <v>109</v>
      </c>
      <c r="V2871" s="15">
        <f>ROUNDUP((T2871+U2871+2*'Read Me'!$B$13)*(1+'Read Me'!$B$12),-1)</f>
        <v/>
      </c>
      <c r="W2871" s="15">
        <f>V2871*N2871*O2871</f>
        <v/>
      </c>
      <c r="X2871" s="12">
        <f>IF(LEFT(I2871,2)="MV",2*N2871*IF(L2871="1/C",O2871,1),0)</f>
        <v/>
      </c>
      <c r="Y2871" s="12">
        <f>IF(OR(LEFT(K2871,4)="LVAX",LEFT(K2871,6)="MV15AX",LEFT(K2871,4)="CTAX",LEFT(K2871,2)="W|"),2*N2871*O2871,0)</f>
        <v/>
      </c>
      <c r="Z2871" s="12" t="inlineStr">
        <is>
          <t>VD 3.0 %</t>
        </is>
      </c>
      <c r="AA2871" s="12">
        <f>N2871*O2871</f>
        <v/>
      </c>
    </row>
    <row r="2872">
      <c r="A2872" s="12" t="inlineStr">
        <is>
          <t>E-P-0082</t>
        </is>
      </c>
      <c r="B2872" s="12" t="inlineStr">
        <is>
          <t>E</t>
        </is>
      </c>
      <c r="C2872" s="12" t="inlineStr">
        <is>
          <t>Water / utilities</t>
        </is>
      </c>
      <c r="D2872" s="12" t="inlineStr">
        <is>
          <t>Motor 9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5" t="n">
        <v>1714</v>
      </c>
      <c r="U2872" s="15" t="n">
        <v>109</v>
      </c>
      <c r="V2872" s="15">
        <f>ROUNDUP((T2872+U2872+2*'Read Me'!$B$13)*(1+'Read Me'!$B$12),-1)</f>
        <v/>
      </c>
      <c r="W2872" s="15">
        <f>V2872*N2872*O2872</f>
        <v/>
      </c>
      <c r="X2872" s="12">
        <f>IF(LEFT(I2872,2)="MV",2*N2872*IF(L2872="1/C",O2872,1),0)</f>
        <v/>
      </c>
      <c r="Y2872" s="12">
        <f>IF(OR(LEFT(K2872,4)="LVAX",LEFT(K2872,6)="MV15AX",LEFT(K2872,4)="CTAX",LEFT(K2872,2)="W|"),2*N2872*O2872,0)</f>
        <v/>
      </c>
      <c r="Z2872" s="12" t="inlineStr">
        <is>
          <t>VD 3.0 %</t>
        </is>
      </c>
      <c r="AA2872" s="12">
        <f>N2872*O2872</f>
        <v/>
      </c>
    </row>
    <row r="2873">
      <c r="A2873" s="12" t="inlineStr">
        <is>
          <t>E-P-0083</t>
        </is>
      </c>
      <c r="B2873" s="12" t="inlineStr">
        <is>
          <t>E</t>
        </is>
      </c>
      <c r="C2873" s="12" t="inlineStr">
        <is>
          <t>Water / utilities</t>
        </is>
      </c>
      <c r="D2873" s="12" t="inlineStr">
        <is>
          <t>Motor 10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5" t="n">
        <v>1714</v>
      </c>
      <c r="U2873" s="15" t="n">
        <v>109</v>
      </c>
      <c r="V2873" s="15">
        <f>ROUNDUP((T2873+U2873+2*'Read Me'!$B$13)*(1+'Read Me'!$B$12),-1)</f>
        <v/>
      </c>
      <c r="W2873" s="15">
        <f>V2873*N2873*O2873</f>
        <v/>
      </c>
      <c r="X2873" s="12">
        <f>IF(LEFT(I2873,2)="MV",2*N2873*IF(L2873="1/C",O2873,1),0)</f>
        <v/>
      </c>
      <c r="Y2873" s="12">
        <f>IF(OR(LEFT(K2873,4)="LVAX",LEFT(K2873,6)="MV15AX",LEFT(K2873,4)="CTAX",LEFT(K2873,2)="W|"),2*N2873*O2873,0)</f>
        <v/>
      </c>
      <c r="Z2873" s="12" t="inlineStr">
        <is>
          <t>VD 3.0 %</t>
        </is>
      </c>
      <c r="AA2873" s="12">
        <f>N2873*O2873</f>
        <v/>
      </c>
    </row>
    <row r="2874">
      <c r="A2874" s="12" t="inlineStr">
        <is>
          <t>E-P-0084</t>
        </is>
      </c>
      <c r="B2874" s="12" t="inlineStr">
        <is>
          <t>E</t>
        </is>
      </c>
      <c r="C2874" s="12" t="inlineStr">
        <is>
          <t>Water / utilities</t>
        </is>
      </c>
      <c r="D2874" s="12" t="inlineStr">
        <is>
          <t>Motor 11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5" t="n">
        <v>1714</v>
      </c>
      <c r="U2874" s="15" t="n">
        <v>109</v>
      </c>
      <c r="V2874" s="15">
        <f>ROUNDUP((T2874+U2874+2*'Read Me'!$B$13)*(1+'Read Me'!$B$12),-1)</f>
        <v/>
      </c>
      <c r="W2874" s="15">
        <f>V2874*N2874*O2874</f>
        <v/>
      </c>
      <c r="X2874" s="12">
        <f>IF(LEFT(I2874,2)="MV",2*N2874*IF(L2874="1/C",O2874,1),0)</f>
        <v/>
      </c>
      <c r="Y2874" s="12">
        <f>IF(OR(LEFT(K2874,4)="LVAX",LEFT(K2874,6)="MV15AX",LEFT(K2874,4)="CTAX",LEFT(K2874,2)="W|"),2*N2874*O2874,0)</f>
        <v/>
      </c>
      <c r="Z2874" s="12" t="inlineStr">
        <is>
          <t>VD 3.0 %</t>
        </is>
      </c>
      <c r="AA2874" s="12">
        <f>N2874*O2874</f>
        <v/>
      </c>
    </row>
    <row r="2875">
      <c r="A2875" s="12" t="inlineStr">
        <is>
          <t>E-P-0085</t>
        </is>
      </c>
      <c r="B2875" s="12" t="inlineStr">
        <is>
          <t>E</t>
        </is>
      </c>
      <c r="C2875" s="12" t="inlineStr">
        <is>
          <t>Water / utilities</t>
        </is>
      </c>
      <c r="D2875" s="12" t="inlineStr">
        <is>
          <t>Motor 12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5" t="n">
        <v>1714</v>
      </c>
      <c r="U2875" s="15" t="n">
        <v>109</v>
      </c>
      <c r="V2875" s="15">
        <f>ROUNDUP((T2875+U2875+2*'Read Me'!$B$13)*(1+'Read Me'!$B$12),-1)</f>
        <v/>
      </c>
      <c r="W2875" s="15">
        <f>V2875*N2875*O2875</f>
        <v/>
      </c>
      <c r="X2875" s="12">
        <f>IF(LEFT(I2875,2)="MV",2*N2875*IF(L2875="1/C",O2875,1),0)</f>
        <v/>
      </c>
      <c r="Y2875" s="12">
        <f>IF(OR(LEFT(K2875,4)="LVAX",LEFT(K2875,6)="MV15AX",LEFT(K2875,4)="CTAX",LEFT(K2875,2)="W|"),2*N2875*O2875,0)</f>
        <v/>
      </c>
      <c r="Z2875" s="12" t="inlineStr">
        <is>
          <t>VD 3.0 %</t>
        </is>
      </c>
      <c r="AA2875" s="12">
        <f>N2875*O2875</f>
        <v/>
      </c>
    </row>
    <row r="2876">
      <c r="A2876" s="12" t="inlineStr">
        <is>
          <t>E-P-0086</t>
        </is>
      </c>
      <c r="B2876" s="12" t="inlineStr">
        <is>
          <t>E</t>
        </is>
      </c>
      <c r="C2876" s="12" t="inlineStr">
        <is>
          <t>Water / utilities</t>
        </is>
      </c>
      <c r="D2876" s="12" t="inlineStr">
        <is>
          <t>Motor 13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5" t="n">
        <v>1714</v>
      </c>
      <c r="U2876" s="15" t="n">
        <v>109</v>
      </c>
      <c r="V2876" s="15">
        <f>ROUNDUP((T2876+U2876+2*'Read Me'!$B$13)*(1+'Read Me'!$B$12),-1)</f>
        <v/>
      </c>
      <c r="W2876" s="15">
        <f>V2876*N2876*O2876</f>
        <v/>
      </c>
      <c r="X2876" s="12">
        <f>IF(LEFT(I2876,2)="MV",2*N2876*IF(L2876="1/C",O2876,1),0)</f>
        <v/>
      </c>
      <c r="Y2876" s="12">
        <f>IF(OR(LEFT(K2876,4)="LVAX",LEFT(K2876,6)="MV15AX",LEFT(K2876,4)="CTAX",LEFT(K2876,2)="W|"),2*N2876*O2876,0)</f>
        <v/>
      </c>
      <c r="Z2876" s="12" t="inlineStr">
        <is>
          <t>VD 3.0 %</t>
        </is>
      </c>
      <c r="AA2876" s="12">
        <f>N2876*O2876</f>
        <v/>
      </c>
    </row>
    <row r="2877">
      <c r="A2877" s="12" t="inlineStr">
        <is>
          <t>E-P-0087</t>
        </is>
      </c>
      <c r="B2877" s="12" t="inlineStr">
        <is>
          <t>E</t>
        </is>
      </c>
      <c r="C2877" s="12" t="inlineStr">
        <is>
          <t>Water / utilities</t>
        </is>
      </c>
      <c r="D2877" s="12" t="inlineStr">
        <is>
          <t>Motor 14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5" t="n">
        <v>1714</v>
      </c>
      <c r="U2877" s="15" t="n">
        <v>109</v>
      </c>
      <c r="V2877" s="15">
        <f>ROUNDUP((T2877+U2877+2*'Read Me'!$B$13)*(1+'Read Me'!$B$12),-1)</f>
        <v/>
      </c>
      <c r="W2877" s="15">
        <f>V2877*N2877*O2877</f>
        <v/>
      </c>
      <c r="X2877" s="12">
        <f>IF(LEFT(I2877,2)="MV",2*N2877*IF(L2877="1/C",O2877,1),0)</f>
        <v/>
      </c>
      <c r="Y2877" s="12">
        <f>IF(OR(LEFT(K2877,4)="LVAX",LEFT(K2877,6)="MV15AX",LEFT(K2877,4)="CTAX",LEFT(K2877,2)="W|"),2*N2877*O2877,0)</f>
        <v/>
      </c>
      <c r="Z2877" s="12" t="inlineStr">
        <is>
          <t>VD 3.0 %</t>
        </is>
      </c>
      <c r="AA2877" s="12">
        <f>N2877*O2877</f>
        <v/>
      </c>
    </row>
    <row r="2878">
      <c r="A2878" s="12" t="inlineStr">
        <is>
          <t>E-P-0088</t>
        </is>
      </c>
      <c r="B2878" s="12" t="inlineStr">
        <is>
          <t>E</t>
        </is>
      </c>
      <c r="C2878" s="12" t="inlineStr">
        <is>
          <t>Water / utilities</t>
        </is>
      </c>
      <c r="D2878" s="12" t="inlineStr">
        <is>
          <t>Motor 15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5" t="n">
        <v>1714</v>
      </c>
      <c r="U2878" s="15" t="n">
        <v>109</v>
      </c>
      <c r="V2878" s="15">
        <f>ROUNDUP((T2878+U2878+2*'Read Me'!$B$13)*(1+'Read Me'!$B$12),-1)</f>
        <v/>
      </c>
      <c r="W2878" s="15">
        <f>V2878*N2878*O2878</f>
        <v/>
      </c>
      <c r="X2878" s="12">
        <f>IF(LEFT(I2878,2)="MV",2*N2878*IF(L2878="1/C",O2878,1),0)</f>
        <v/>
      </c>
      <c r="Y2878" s="12">
        <f>IF(OR(LEFT(K2878,4)="LVAX",LEFT(K2878,6)="MV15AX",LEFT(K2878,4)="CTAX",LEFT(K2878,2)="W|"),2*N2878*O2878,0)</f>
        <v/>
      </c>
      <c r="Z2878" s="12" t="inlineStr">
        <is>
          <t>VD 3.0 %</t>
        </is>
      </c>
      <c r="AA2878" s="12">
        <f>N2878*O2878</f>
        <v/>
      </c>
    </row>
    <row r="2879">
      <c r="A2879" s="12" t="inlineStr">
        <is>
          <t>E-P-0089</t>
        </is>
      </c>
      <c r="B2879" s="12" t="inlineStr">
        <is>
          <t>E</t>
        </is>
      </c>
      <c r="C2879" s="12" t="inlineStr">
        <is>
          <t>Water / utilities</t>
        </is>
      </c>
      <c r="D2879" s="12" t="inlineStr">
        <is>
          <t>Motor 16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5" t="n">
        <v>1714</v>
      </c>
      <c r="U2879" s="15" t="n">
        <v>109</v>
      </c>
      <c r="V2879" s="15">
        <f>ROUNDUP((T2879+U2879+2*'Read Me'!$B$13)*(1+'Read Me'!$B$12),-1)</f>
        <v/>
      </c>
      <c r="W2879" s="15">
        <f>V2879*N2879*O2879</f>
        <v/>
      </c>
      <c r="X2879" s="12">
        <f>IF(LEFT(I2879,2)="MV",2*N2879*IF(L2879="1/C",O2879,1),0)</f>
        <v/>
      </c>
      <c r="Y2879" s="12">
        <f>IF(OR(LEFT(K2879,4)="LVAX",LEFT(K2879,6)="MV15AX",LEFT(K2879,4)="CTAX",LEFT(K2879,2)="W|"),2*N2879*O2879,0)</f>
        <v/>
      </c>
      <c r="Z2879" s="12" t="inlineStr">
        <is>
          <t>VD 3.0 %</t>
        </is>
      </c>
      <c r="AA2879" s="12">
        <f>N2879*O2879</f>
        <v/>
      </c>
    </row>
    <row r="2880">
      <c r="A2880" s="12" t="inlineStr">
        <is>
          <t>E-P-0090</t>
        </is>
      </c>
      <c r="B2880" s="12" t="inlineStr">
        <is>
          <t>E</t>
        </is>
      </c>
      <c r="C2880" s="12" t="inlineStr">
        <is>
          <t>Water / utilities</t>
        </is>
      </c>
      <c r="D2880" s="12" t="inlineStr">
        <is>
          <t>Motor 17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5" t="n">
        <v>1714</v>
      </c>
      <c r="U2880" s="15" t="n">
        <v>109</v>
      </c>
      <c r="V2880" s="15">
        <f>ROUNDUP((T2880+U2880+2*'Read Me'!$B$13)*(1+'Read Me'!$B$12),-1)</f>
        <v/>
      </c>
      <c r="W2880" s="15">
        <f>V2880*N2880*O2880</f>
        <v/>
      </c>
      <c r="X2880" s="12">
        <f>IF(LEFT(I2880,2)="MV",2*N2880*IF(L2880="1/C",O2880,1),0)</f>
        <v/>
      </c>
      <c r="Y2880" s="12">
        <f>IF(OR(LEFT(K2880,4)="LVAX",LEFT(K2880,6)="MV15AX",LEFT(K2880,4)="CTAX",LEFT(K2880,2)="W|"),2*N2880*O2880,0)</f>
        <v/>
      </c>
      <c r="Z2880" s="12" t="inlineStr">
        <is>
          <t>VD 3.0 %</t>
        </is>
      </c>
      <c r="AA2880" s="12">
        <f>N2880*O2880</f>
        <v/>
      </c>
    </row>
    <row r="2881">
      <c r="A2881" s="12" t="inlineStr">
        <is>
          <t>E-P-0091</t>
        </is>
      </c>
      <c r="B2881" s="12" t="inlineStr">
        <is>
          <t>E</t>
        </is>
      </c>
      <c r="C2881" s="12" t="inlineStr">
        <is>
          <t>Water / utilities</t>
        </is>
      </c>
      <c r="D2881" s="12" t="inlineStr">
        <is>
          <t>Motor 18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5" t="n">
        <v>1714</v>
      </c>
      <c r="U2881" s="15" t="n">
        <v>109</v>
      </c>
      <c r="V2881" s="15">
        <f>ROUNDUP((T2881+U2881+2*'Read Me'!$B$13)*(1+'Read Me'!$B$12),-1)</f>
        <v/>
      </c>
      <c r="W2881" s="15">
        <f>V2881*N2881*O2881</f>
        <v/>
      </c>
      <c r="X2881" s="12">
        <f>IF(LEFT(I2881,2)="MV",2*N2881*IF(L2881="1/C",O2881,1),0)</f>
        <v/>
      </c>
      <c r="Y2881" s="12">
        <f>IF(OR(LEFT(K2881,4)="LVAX",LEFT(K2881,6)="MV15AX",LEFT(K2881,4)="CTAX",LEFT(K2881,2)="W|"),2*N2881*O2881,0)</f>
        <v/>
      </c>
      <c r="Z2881" s="12" t="inlineStr">
        <is>
          <t>VD 3.0 %</t>
        </is>
      </c>
      <c r="AA2881" s="12">
        <f>N2881*O2881</f>
        <v/>
      </c>
    </row>
    <row r="2882">
      <c r="A2882" s="12" t="inlineStr">
        <is>
          <t>E-P-0092</t>
        </is>
      </c>
      <c r="B2882" s="12" t="inlineStr">
        <is>
          <t>E</t>
        </is>
      </c>
      <c r="C2882" s="12" t="inlineStr">
        <is>
          <t>Water / utilities</t>
        </is>
      </c>
      <c r="D2882" s="12" t="inlineStr">
        <is>
          <t>Motor 19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5" t="n">
        <v>1714</v>
      </c>
      <c r="U2882" s="15" t="n">
        <v>109</v>
      </c>
      <c r="V2882" s="15">
        <f>ROUNDUP((T2882+U2882+2*'Read Me'!$B$13)*(1+'Read Me'!$B$12),-1)</f>
        <v/>
      </c>
      <c r="W2882" s="15">
        <f>V2882*N2882*O2882</f>
        <v/>
      </c>
      <c r="X2882" s="12">
        <f>IF(LEFT(I2882,2)="MV",2*N2882*IF(L2882="1/C",O2882,1),0)</f>
        <v/>
      </c>
      <c r="Y2882" s="12">
        <f>IF(OR(LEFT(K2882,4)="LVAX",LEFT(K2882,6)="MV15AX",LEFT(K2882,4)="CTAX",LEFT(K2882,2)="W|"),2*N2882*O2882,0)</f>
        <v/>
      </c>
      <c r="Z2882" s="12" t="inlineStr">
        <is>
          <t>VD 3.0 %</t>
        </is>
      </c>
      <c r="AA2882" s="12">
        <f>N2882*O2882</f>
        <v/>
      </c>
    </row>
    <row r="2883">
      <c r="A2883" s="12" t="inlineStr">
        <is>
          <t>E-P-0093</t>
        </is>
      </c>
      <c r="B2883" s="12" t="inlineStr">
        <is>
          <t>E</t>
        </is>
      </c>
      <c r="C2883" s="12" t="inlineStr">
        <is>
          <t>Water / utilities</t>
        </is>
      </c>
      <c r="D2883" s="12" t="inlineStr">
        <is>
          <t>Motor 20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5" t="n">
        <v>1714</v>
      </c>
      <c r="U2883" s="15" t="n">
        <v>109</v>
      </c>
      <c r="V2883" s="15">
        <f>ROUNDUP((T2883+U2883+2*'Read Me'!$B$13)*(1+'Read Me'!$B$12),-1)</f>
        <v/>
      </c>
      <c r="W2883" s="15">
        <f>V2883*N2883*O2883</f>
        <v/>
      </c>
      <c r="X2883" s="12">
        <f>IF(LEFT(I2883,2)="MV",2*N2883*IF(L2883="1/C",O2883,1),0)</f>
        <v/>
      </c>
      <c r="Y2883" s="12">
        <f>IF(OR(LEFT(K2883,4)="LVAX",LEFT(K2883,6)="MV15AX",LEFT(K2883,4)="CTAX",LEFT(K2883,2)="W|"),2*N2883*O2883,0)</f>
        <v/>
      </c>
      <c r="Z2883" s="12" t="inlineStr">
        <is>
          <t>VD 3.0 %</t>
        </is>
      </c>
      <c r="AA2883" s="12">
        <f>N2883*O2883</f>
        <v/>
      </c>
    </row>
    <row r="2884">
      <c r="A2884" s="12" t="inlineStr">
        <is>
          <t>F-L-0001</t>
        </is>
      </c>
      <c r="B2884" s="12" t="inlineStr">
        <is>
          <t>F</t>
        </is>
      </c>
      <c r="C2884" s="12" t="inlineStr">
        <is>
          <t>Controls / service</t>
        </is>
      </c>
      <c r="D2884" s="12" t="inlineStr">
        <is>
          <t>Lighting, receptacles and small power branch circuits (allowance)</t>
        </is>
      </c>
      <c r="E2884" s="12" t="inlineStr">
        <is>
          <t>CR</t>
        </is>
      </c>
      <c r="F2884" s="12" t="inlineStr">
        <is>
          <t>Control / admin building (main control room)</t>
        </is>
      </c>
      <c r="G2884" s="12" t="inlineStr">
        <is>
          <t>CR</t>
        </is>
      </c>
      <c r="H2884" s="12" t="inlineStr">
        <is>
          <t>Control / admin building (main control room)</t>
        </is>
      </c>
      <c r="I2884" s="12" t="inlineStr">
        <is>
          <t>Building wire</t>
        </is>
      </c>
      <c r="J2884" s="12" t="inlineStr">
        <is>
          <t>SIMpull THHN/THWN-2 600 V 1/C Cu (lighting, receptacles, small power)</t>
        </is>
      </c>
      <c r="K2884" s="12" t="inlineStr">
        <is>
          <t>THHN|1/C|12</t>
        </is>
      </c>
      <c r="L2884" s="12" t="inlineStr">
        <is>
          <t>1/C</t>
        </is>
      </c>
      <c r="M2884" s="12" t="inlineStr">
        <is>
          <t>12</t>
        </is>
      </c>
      <c r="N2884" s="12" t="n">
        <v>1</v>
      </c>
      <c r="O2884" s="12" t="n">
        <v>1</v>
      </c>
      <c r="P2884" s="12" t="n">
        <v>277</v>
      </c>
      <c r="Q2884" s="12" t="n"/>
      <c r="R2884" s="12" t="n"/>
      <c r="S2884" s="12" t="inlineStr">
        <is>
          <t>Conduit</t>
        </is>
      </c>
      <c r="T2884" s="15" t="n">
        <v>19339</v>
      </c>
      <c r="U2884" s="15" t="n">
        <v>0</v>
      </c>
      <c r="V2884" s="15">
        <f>ROUNDUP((T2884+U2884+2*'Read Me'!$B$13)*(1+'Read Me'!$B$12),-1)</f>
        <v/>
      </c>
      <c r="W2884" s="15">
        <f>V2884*N2884*O2884</f>
        <v/>
      </c>
      <c r="X2884" s="12">
        <f>IF(LEFT(I2884,2)="MV",2*N2884*IF(L2884="1/C",O2884,1),0)</f>
        <v/>
      </c>
      <c r="Y2884" s="12">
        <f>IF(OR(LEFT(K2884,4)="LVAX",LEFT(K2884,6)="MV15AX",LEFT(K2884,4)="CTAX",LEFT(K2884,2)="W|"),2*N2884*O2884,0)</f>
        <v/>
      </c>
      <c r="Z2884" s="12" t="inlineStr">
        <is>
          <t>allowance: 1.6 ft of conductor per ft2 of floor</t>
        </is>
      </c>
      <c r="AA2884" s="12">
        <f>N2884*O2884</f>
        <v/>
      </c>
    </row>
    <row r="2885">
      <c r="A2885" s="12" t="inlineStr">
        <is>
          <t>F-L-0002</t>
        </is>
      </c>
      <c r="B2885" s="12" t="inlineStr">
        <is>
          <t>F</t>
        </is>
      </c>
      <c r="C2885" s="12" t="inlineStr">
        <is>
          <t>Controls / service</t>
        </is>
      </c>
      <c r="D2885" s="12" t="inlineStr">
        <is>
          <t>Lighting, receptacles and small power branch circuits (allowance)</t>
        </is>
      </c>
      <c r="E2885" s="12" t="inlineStr"/>
      <c r="F2885" s="12" t="inlineStr">
        <is>
          <t>Gatehouse</t>
        </is>
      </c>
      <c r="G2885" s="12" t="inlineStr"/>
      <c r="H2885" s="12" t="inlineStr">
        <is>
          <t>Gatehouse</t>
        </is>
      </c>
      <c r="I2885" s="12" t="inlineStr">
        <is>
          <t>Building wire</t>
        </is>
      </c>
      <c r="J2885" s="12" t="inlineStr">
        <is>
          <t>SIMpull THHN/THWN-2 600 V 1/C Cu (lighting, receptacles, small power)</t>
        </is>
      </c>
      <c r="K2885" s="12" t="inlineStr">
        <is>
          <t>THHN|1/C|12</t>
        </is>
      </c>
      <c r="L2885" s="12" t="inlineStr">
        <is>
          <t>1/C</t>
        </is>
      </c>
      <c r="M2885" s="12" t="inlineStr">
        <is>
          <t>12</t>
        </is>
      </c>
      <c r="N2885" s="12" t="n">
        <v>1</v>
      </c>
      <c r="O2885" s="12" t="n">
        <v>1</v>
      </c>
      <c r="P2885" s="12" t="n">
        <v>277</v>
      </c>
      <c r="Q2885" s="12" t="n"/>
      <c r="R2885" s="12" t="n"/>
      <c r="S2885" s="12" t="inlineStr">
        <is>
          <t>Conduit</t>
        </is>
      </c>
      <c r="T2885" s="15" t="n">
        <v>736</v>
      </c>
      <c r="U2885" s="15" t="n">
        <v>0</v>
      </c>
      <c r="V2885" s="15">
        <f>ROUNDUP((T2885+U2885+2*'Read Me'!$B$13)*(1+'Read Me'!$B$12),-1)</f>
        <v/>
      </c>
      <c r="W2885" s="15">
        <f>V2885*N2885*O2885</f>
        <v/>
      </c>
      <c r="X2885" s="12">
        <f>IF(LEFT(I2885,2)="MV",2*N2885*IF(L2885="1/C",O2885,1),0)</f>
        <v/>
      </c>
      <c r="Y2885" s="12">
        <f>IF(OR(LEFT(K2885,4)="LVAX",LEFT(K2885,6)="MV15AX",LEFT(K2885,4)="CTAX",LEFT(K2885,2)="W|"),2*N2885*O2885,0)</f>
        <v/>
      </c>
      <c r="Z2885" s="12" t="inlineStr">
        <is>
          <t>allowance: 1.6 ft of conductor per ft2 of floor</t>
        </is>
      </c>
      <c r="AA2885" s="12">
        <f>N2885*O2885</f>
        <v/>
      </c>
    </row>
    <row r="2886">
      <c r="A2886" s="12" t="inlineStr">
        <is>
          <t>F-L-0003</t>
        </is>
      </c>
      <c r="B2886" s="12" t="inlineStr">
        <is>
          <t>F</t>
        </is>
      </c>
      <c r="C2886" s="12" t="inlineStr">
        <is>
          <t>Controls / service</t>
        </is>
      </c>
      <c r="D2886" s="12" t="inlineStr">
        <is>
          <t>Lighting, receptacles and small power branch circuits (allowance)</t>
        </is>
      </c>
      <c r="E2886" s="12" t="inlineStr"/>
      <c r="F2886" s="12" t="inlineStr">
        <is>
          <t>Maintenance building / workshop</t>
        </is>
      </c>
      <c r="G2886" s="12" t="inlineStr"/>
      <c r="H2886" s="12" t="inlineStr">
        <is>
          <t>Maintenance building / workshop</t>
        </is>
      </c>
      <c r="I2886" s="12" t="inlineStr">
        <is>
          <t>Building wire</t>
        </is>
      </c>
      <c r="J2886" s="12" t="inlineStr">
        <is>
          <t>SIMpull THHN/THWN-2 600 V 1/C Cu (lighting, receptacles, small power)</t>
        </is>
      </c>
      <c r="K2886" s="12" t="inlineStr">
        <is>
          <t>THHN|1/C|12</t>
        </is>
      </c>
      <c r="L2886" s="12" t="inlineStr">
        <is>
          <t>1/C</t>
        </is>
      </c>
      <c r="M2886" s="12" t="inlineStr">
        <is>
          <t>12</t>
        </is>
      </c>
      <c r="N2886" s="12" t="n">
        <v>1</v>
      </c>
      <c r="O2886" s="12" t="n">
        <v>1</v>
      </c>
      <c r="P2886" s="12" t="n">
        <v>277</v>
      </c>
      <c r="Q2886" s="12" t="n"/>
      <c r="R2886" s="12" t="n"/>
      <c r="S2886" s="12" t="inlineStr">
        <is>
          <t>Conduit</t>
        </is>
      </c>
      <c r="T2886" s="15" t="n">
        <v>8003</v>
      </c>
      <c r="U2886" s="15" t="n">
        <v>0</v>
      </c>
      <c r="V2886" s="15">
        <f>ROUNDUP((T2886+U2886+2*'Read Me'!$B$13)*(1+'Read Me'!$B$12),-1)</f>
        <v/>
      </c>
      <c r="W2886" s="15">
        <f>V2886*N2886*O2886</f>
        <v/>
      </c>
      <c r="X2886" s="12">
        <f>IF(LEFT(I2886,2)="MV",2*N2886*IF(L2886="1/C",O2886,1),0)</f>
        <v/>
      </c>
      <c r="Y2886" s="12">
        <f>IF(OR(LEFT(K2886,4)="LVAX",LEFT(K2886,6)="MV15AX",LEFT(K2886,4)="CTAX",LEFT(K2886,2)="W|"),2*N2886*O2886,0)</f>
        <v/>
      </c>
      <c r="Z2886" s="12" t="inlineStr">
        <is>
          <t>allowance: 1.6 ft of conductor per ft2 of floor</t>
        </is>
      </c>
      <c r="AA2886" s="12">
        <f>N2886*O2886</f>
        <v/>
      </c>
    </row>
    <row r="2887">
      <c r="A2887" s="12" t="inlineStr">
        <is>
          <t>F-L-0004</t>
        </is>
      </c>
      <c r="B2887" s="12" t="inlineStr">
        <is>
          <t>F</t>
        </is>
      </c>
      <c r="C2887" s="12" t="inlineStr">
        <is>
          <t>Controls / service</t>
        </is>
      </c>
      <c r="D2887" s="12" t="inlineStr">
        <is>
          <t>Lighting, receptacles and small power branch circuits (allowance)</t>
        </is>
      </c>
      <c r="E2887" s="12" t="inlineStr"/>
      <c r="F2887" s="12" t="inlineStr">
        <is>
          <t>Warehouse</t>
        </is>
      </c>
      <c r="G2887" s="12" t="inlineStr"/>
      <c r="H2887" s="12" t="inlineStr">
        <is>
          <t>Warehouse</t>
        </is>
      </c>
      <c r="I2887" s="12" t="inlineStr">
        <is>
          <t>Building wire</t>
        </is>
      </c>
      <c r="J2887" s="12" t="inlineStr">
        <is>
          <t>SIMpull THHN/THWN-2 600 V 1/C Cu (lighting, receptacles, small power)</t>
        </is>
      </c>
      <c r="K2887" s="12" t="inlineStr">
        <is>
          <t>THHN|1/C|12</t>
        </is>
      </c>
      <c r="L2887" s="12" t="inlineStr">
        <is>
          <t>1/C</t>
        </is>
      </c>
      <c r="M2887" s="12" t="inlineStr">
        <is>
          <t>12</t>
        </is>
      </c>
      <c r="N2887" s="12" t="n">
        <v>1</v>
      </c>
      <c r="O2887" s="12" t="n">
        <v>1</v>
      </c>
      <c r="P2887" s="12" t="n">
        <v>277</v>
      </c>
      <c r="Q2887" s="12" t="n"/>
      <c r="R2887" s="12" t="n"/>
      <c r="S2887" s="12" t="inlineStr">
        <is>
          <t>Conduit</t>
        </is>
      </c>
      <c r="T2887" s="15" t="n">
        <v>27227</v>
      </c>
      <c r="U2887" s="15" t="n">
        <v>0</v>
      </c>
      <c r="V2887" s="15">
        <f>ROUNDUP((T2887+U2887+2*'Read Me'!$B$13)*(1+'Read Me'!$B$12),-1)</f>
        <v/>
      </c>
      <c r="W2887" s="15">
        <f>V2887*N2887*O2887</f>
        <v/>
      </c>
      <c r="X2887" s="12">
        <f>IF(LEFT(I2887,2)="MV",2*N2887*IF(L2887="1/C",O2887,1),0)</f>
        <v/>
      </c>
      <c r="Y2887" s="12">
        <f>IF(OR(LEFT(K2887,4)="LVAX",LEFT(K2887,6)="MV15AX",LEFT(K2887,4)="CTAX",LEFT(K2887,2)="W|"),2*N2887*O2887,0)</f>
        <v/>
      </c>
      <c r="Z2887" s="12" t="inlineStr">
        <is>
          <t>allowance: 1.6 ft of conductor per ft2 of floor</t>
        </is>
      </c>
      <c r="AA2887" s="12">
        <f>N2887*O2887</f>
        <v/>
      </c>
    </row>
    <row r="2888">
      <c r="A2888" s="12" t="inlineStr">
        <is>
          <t>F-C-0001</t>
        </is>
      </c>
      <c r="B2888" s="12" t="inlineStr">
        <is>
          <t>F</t>
        </is>
      </c>
      <c r="C2888" s="12" t="inlineStr">
        <is>
          <t>Controls / service</t>
        </is>
      </c>
      <c r="D2888" s="12" t="inlineStr">
        <is>
          <t>Control</t>
        </is>
      </c>
      <c r="E2888" s="12" t="inlineStr">
        <is>
          <t>CR</t>
        </is>
      </c>
      <c r="F2888" s="12" t="inlineStr">
        <is>
          <t>Control / admin building (main control room)</t>
        </is>
      </c>
      <c r="G2888" s="12" t="inlineStr">
        <is>
          <t>CR</t>
        </is>
      </c>
      <c r="H2888" s="12" t="inlineStr">
        <is>
          <t>Control / admin building (main control room)</t>
        </is>
      </c>
      <c r="I2888" s="12" t="inlineStr">
        <is>
          <t>Control</t>
        </is>
      </c>
      <c r="J2888" s="12" t="inlineStr">
        <is>
          <t>Control cable 600 V Type TC-ER, Cu #14 AWG, PVC jacket</t>
        </is>
      </c>
      <c r="K2888" s="12" t="inlineStr">
        <is>
          <t>CT|7/C|14</t>
        </is>
      </c>
      <c r="L2888" s="12" t="inlineStr">
        <is>
          <t>7/C</t>
        </is>
      </c>
      <c r="M2888" s="12" t="inlineStr">
        <is>
          <t>14</t>
        </is>
      </c>
      <c r="N2888" s="12" t="n">
        <v>1</v>
      </c>
      <c r="O2888" s="12" t="n">
        <v>1</v>
      </c>
      <c r="P2888" s="12" t="n"/>
      <c r="Q2888" s="12" t="n"/>
      <c r="R2888" s="12" t="n"/>
      <c r="S2888" s="12" t="inlineStr">
        <is>
          <t>Tray</t>
        </is>
      </c>
      <c r="T2888" s="15" t="n">
        <v>0</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F-C-0002</t>
        </is>
      </c>
      <c r="B2889" s="12" t="inlineStr">
        <is>
          <t>F</t>
        </is>
      </c>
      <c r="C2889" s="12" t="inlineStr">
        <is>
          <t>Controls / service</t>
        </is>
      </c>
      <c r="D2889" s="12" t="inlineStr">
        <is>
          <t>Control</t>
        </is>
      </c>
      <c r="E2889" s="12" t="inlineStr">
        <is>
          <t>CR</t>
        </is>
      </c>
      <c r="F2889" s="12" t="inlineStr">
        <is>
          <t>Control / admin building (main control room)</t>
        </is>
      </c>
      <c r="G2889" s="12" t="inlineStr">
        <is>
          <t>EDG-1</t>
        </is>
      </c>
      <c r="H2889" s="12" t="inlineStr">
        <is>
          <t>EDG-1: 3 MW emergency diesel generator (480 V)</t>
        </is>
      </c>
      <c r="I2889" s="12" t="inlineStr">
        <is>
          <t>Control</t>
        </is>
      </c>
      <c r="J2889" s="12" t="inlineStr">
        <is>
          <t>Control cable 600 V Type TC-ER, Cu #14 AWG, PVC jacket</t>
        </is>
      </c>
      <c r="K2889" s="12" t="inlineStr">
        <is>
          <t>CT|7/C|14</t>
        </is>
      </c>
      <c r="L2889" s="12" t="inlineStr">
        <is>
          <t>7/C</t>
        </is>
      </c>
      <c r="M2889" s="12" t="inlineStr">
        <is>
          <t>14</t>
        </is>
      </c>
      <c r="N2889" s="12" t="n">
        <v>1</v>
      </c>
      <c r="O2889" s="12" t="n">
        <v>1</v>
      </c>
      <c r="P2889" s="12" t="n"/>
      <c r="Q2889" s="12" t="n"/>
      <c r="R2889" s="12" t="n"/>
      <c r="S2889" s="12" t="inlineStr">
        <is>
          <t>Duct bank</t>
        </is>
      </c>
      <c r="T2889" s="15" t="n">
        <v>574</v>
      </c>
      <c r="U2889" s="15" t="n">
        <v>62</v>
      </c>
      <c r="V2889" s="15">
        <f>ROUNDUP((T2889+U2889+2*'Read Me'!$B$13)*(1+'Read Me'!$B$12),-1)</f>
        <v/>
      </c>
      <c r="W2889" s="15">
        <f>V2889*N2889*O2889</f>
        <v/>
      </c>
      <c r="X2889" s="12">
        <f>IF(LEFT(I2889,2)="MV",2*N2889*IF(L2889="1/C",O2889,1),0)</f>
        <v/>
      </c>
      <c r="Y2889" s="12">
        <f>IF(OR(LEFT(K2889,4)="LVAX",LEFT(K2889,6)="MV15AX",LEFT(K2889,4)="CTAX",LEFT(K2889,2)="W|"),2*N2889*O2889,0)</f>
        <v/>
      </c>
      <c r="Z2889" s="12" t="inlineStr"/>
      <c r="AA2889" s="12">
        <f>N2889*O2889</f>
        <v/>
      </c>
    </row>
    <row r="2890">
      <c r="A2890" s="12" t="inlineStr">
        <is>
          <t>F-C-0003</t>
        </is>
      </c>
      <c r="B2890" s="12" t="inlineStr">
        <is>
          <t>F</t>
        </is>
      </c>
      <c r="C2890" s="12" t="inlineStr">
        <is>
          <t>Controls / service</t>
        </is>
      </c>
      <c r="D2890" s="12" t="inlineStr">
        <is>
          <t>Control</t>
        </is>
      </c>
      <c r="E2890" s="12" t="inlineStr">
        <is>
          <t>CR</t>
        </is>
      </c>
      <c r="F2890" s="12" t="inlineStr">
        <is>
          <t>Control / admin building (main control room)</t>
        </is>
      </c>
      <c r="G2890" s="12" t="inlineStr">
        <is>
          <t>EDG-2</t>
        </is>
      </c>
      <c r="H2890" s="12" t="inlineStr">
        <is>
          <t>EDG-2: 3 MW emergency diesel generator (480 V)</t>
        </is>
      </c>
      <c r="I2890" s="12" t="inlineStr">
        <is>
          <t>Control</t>
        </is>
      </c>
      <c r="J2890" s="12" t="inlineStr">
        <is>
          <t>Control cable 600 V Type TC-ER, Cu #14 AWG, PVC jacket</t>
        </is>
      </c>
      <c r="K2890" s="12" t="inlineStr">
        <is>
          <t>CT|7/C|14</t>
        </is>
      </c>
      <c r="L2890" s="12" t="inlineStr">
        <is>
          <t>7/C</t>
        </is>
      </c>
      <c r="M2890" s="12" t="inlineStr">
        <is>
          <t>14</t>
        </is>
      </c>
      <c r="N2890" s="12" t="n">
        <v>1</v>
      </c>
      <c r="O2890" s="12" t="n">
        <v>1</v>
      </c>
      <c r="P2890" s="12" t="n"/>
      <c r="Q2890" s="12" t="n"/>
      <c r="R2890" s="12" t="n"/>
      <c r="S2890" s="12" t="inlineStr">
        <is>
          <t>Duct bank</t>
        </is>
      </c>
      <c r="T2890" s="15" t="n">
        <v>609</v>
      </c>
      <c r="U2890" s="15" t="n">
        <v>65</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F-C-0004</t>
        </is>
      </c>
      <c r="B2891" s="12" t="inlineStr">
        <is>
          <t>F</t>
        </is>
      </c>
      <c r="C2891" s="12" t="inlineStr">
        <is>
          <t>Controls / service</t>
        </is>
      </c>
      <c r="D2891" s="12" t="inlineStr">
        <is>
          <t>Control</t>
        </is>
      </c>
      <c r="E2891" s="12" t="inlineStr">
        <is>
          <t>CR</t>
        </is>
      </c>
      <c r="F2891" s="12" t="inlineStr">
        <is>
          <t>Control / admin building (main control room)</t>
        </is>
      </c>
      <c r="G2891" s="12" t="inlineStr"/>
      <c r="H2891" s="12" t="inlineStr">
        <is>
          <t>Gatehouse</t>
        </is>
      </c>
      <c r="I2891" s="12" t="inlineStr">
        <is>
          <t>Control</t>
        </is>
      </c>
      <c r="J2891" s="12" t="inlineStr">
        <is>
          <t>Control cable 600 V Type TC-ER, Cu #14 AWG, PVC jacket</t>
        </is>
      </c>
      <c r="K2891" s="12" t="inlineStr">
        <is>
          <t>CT|7/C|14</t>
        </is>
      </c>
      <c r="L2891" s="12" t="inlineStr">
        <is>
          <t>7/C</t>
        </is>
      </c>
      <c r="M2891" s="12" t="inlineStr">
        <is>
          <t>14</t>
        </is>
      </c>
      <c r="N2891" s="12" t="n">
        <v>1</v>
      </c>
      <c r="O2891" s="12" t="n">
        <v>1</v>
      </c>
      <c r="P2891" s="12" t="n"/>
      <c r="Q2891" s="12" t="n"/>
      <c r="R2891" s="12" t="n"/>
      <c r="S2891" s="12" t="inlineStr">
        <is>
          <t>Tray</t>
        </is>
      </c>
      <c r="T2891" s="15" t="n">
        <v>20</v>
      </c>
      <c r="U2891" s="15" t="n">
        <v>32</v>
      </c>
      <c r="V2891" s="15">
        <f>ROUNDUP((T2891+U2891+2*'Read Me'!$B$13)*(1+'Read Me'!$B$12),-1)</f>
        <v/>
      </c>
      <c r="W2891" s="15">
        <f>V2891*N2891*O2891</f>
        <v/>
      </c>
      <c r="X2891" s="12">
        <f>IF(LEFT(I2891,2)="MV",2*N2891*IF(L2891="1/C",O2891,1),0)</f>
        <v/>
      </c>
      <c r="Y2891" s="12">
        <f>IF(OR(LEFT(K2891,4)="LVAX",LEFT(K2891,6)="MV15AX",LEFT(K2891,4)="CTAX",LEFT(K2891,2)="W|"),2*N2891*O2891,0)</f>
        <v/>
      </c>
      <c r="Z2891" s="12" t="inlineStr"/>
      <c r="AA2891" s="12">
        <f>N2891*O2891</f>
        <v/>
      </c>
    </row>
    <row r="2892">
      <c r="A2892" s="12" t="inlineStr">
        <is>
          <t>F-C-0005</t>
        </is>
      </c>
      <c r="B2892" s="12" t="inlineStr">
        <is>
          <t>F</t>
        </is>
      </c>
      <c r="C2892" s="12" t="inlineStr">
        <is>
          <t>Controls / service</t>
        </is>
      </c>
      <c r="D2892" s="12" t="inlineStr">
        <is>
          <t>Motor 1 of 2: control / local station</t>
        </is>
      </c>
      <c r="E2892" s="12" t="inlineStr">
        <is>
          <t>MCC-C2</t>
        </is>
      </c>
      <c r="F2892" s="12" t="inlineStr">
        <is>
          <t>R1 MCC-C2</t>
        </is>
      </c>
      <c r="G2892" s="12" t="inlineStr">
        <is>
          <t>LS-1</t>
        </is>
      </c>
      <c r="H2892" s="12" t="inlineStr">
        <is>
          <t>LS-1: sanitary lift station (packaged duplex)</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5" t="n">
        <v>820</v>
      </c>
      <c r="U2892" s="15" t="n">
        <v>146</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F-C-0006</t>
        </is>
      </c>
      <c r="B2893" s="12" t="inlineStr">
        <is>
          <t>F</t>
        </is>
      </c>
      <c r="C2893" s="12" t="inlineStr">
        <is>
          <t>Controls / service</t>
        </is>
      </c>
      <c r="D2893" s="12" t="inlineStr">
        <is>
          <t>Motor 2 of 2: control / local station</t>
        </is>
      </c>
      <c r="E2893" s="12" t="inlineStr">
        <is>
          <t>MCC-C2</t>
        </is>
      </c>
      <c r="F2893" s="12" t="inlineStr">
        <is>
          <t>R1 MCC-C2</t>
        </is>
      </c>
      <c r="G2893" s="12" t="inlineStr">
        <is>
          <t>LS-1</t>
        </is>
      </c>
      <c r="H2893" s="12" t="inlineStr">
        <is>
          <t>LS-1: sanitary lift station (packaged duplex)</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Tray</t>
        </is>
      </c>
      <c r="T2893" s="15" t="n">
        <v>820</v>
      </c>
      <c r="U2893" s="15" t="n">
        <v>146</v>
      </c>
      <c r="V2893" s="15">
        <f>ROUNDUP((T2893+U2893+2*'Read Me'!$B$13)*(1+'Read Me'!$B$12),-1)</f>
        <v/>
      </c>
      <c r="W2893" s="15">
        <f>V2893*N2893*O2893</f>
        <v/>
      </c>
      <c r="X2893" s="12">
        <f>IF(LEFT(I2893,2)="MV",2*N2893*IF(L2893="1/C",O2893,1),0)</f>
        <v/>
      </c>
      <c r="Y2893" s="12">
        <f>IF(OR(LEFT(K2893,4)="LVAX",LEFT(K2893,6)="MV15AX",LEFT(K2893,4)="CTAX",LEFT(K2893,2)="W|"),2*N2893*O2893,0)</f>
        <v/>
      </c>
      <c r="Z2893" s="12" t="inlineStr"/>
      <c r="AA2893" s="12">
        <f>N2893*O2893</f>
        <v/>
      </c>
    </row>
    <row r="2894">
      <c r="A2894" s="12" t="inlineStr">
        <is>
          <t>F-C-0007</t>
        </is>
      </c>
      <c r="B2894" s="12" t="inlineStr">
        <is>
          <t>F</t>
        </is>
      </c>
      <c r="C2894" s="12" t="inlineStr">
        <is>
          <t>Controls / service</t>
        </is>
      </c>
      <c r="D2894" s="12" t="inlineStr">
        <is>
          <t>Control</t>
        </is>
      </c>
      <c r="E2894" s="12" t="inlineStr">
        <is>
          <t>RH</t>
        </is>
      </c>
      <c r="F2894" s="12" t="inlineStr">
        <is>
          <t>RH: switchyard relay / control house (52 x 70 ft)</t>
        </is>
      </c>
      <c r="G2894" s="12" t="inlineStr"/>
      <c r="H2894" s="12" t="inlineStr">
        <is>
          <t>Main gate: sliding gate, barrier arms, card readers, entrance sign</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5" t="n">
        <v>845</v>
      </c>
      <c r="U2894" s="15" t="n">
        <v>284</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F-C-0008</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Maintenance building / workshop</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5" t="n">
        <v>300</v>
      </c>
      <c r="U2895" s="15" t="n">
        <v>32</v>
      </c>
      <c r="V2895" s="15">
        <f>ROUNDUP((T2895+U2895+2*'Read Me'!$B$13)*(1+'Read Me'!$B$12),-1)</f>
        <v/>
      </c>
      <c r="W2895" s="15">
        <f>V2895*N2895*O2895</f>
        <v/>
      </c>
      <c r="X2895" s="12">
        <f>IF(LEFT(I2895,2)="MV",2*N2895*IF(L2895="1/C",O2895,1),0)</f>
        <v/>
      </c>
      <c r="Y2895" s="12">
        <f>IF(OR(LEFT(K2895,4)="LVAX",LEFT(K2895,6)="MV15AX",LEFT(K2895,4)="CTAX",LEFT(K2895,2)="W|"),2*N2895*O2895,0)</f>
        <v/>
      </c>
      <c r="Z2895" s="12" t="inlineStr"/>
      <c r="AA2895" s="12">
        <f>N2895*O2895</f>
        <v/>
      </c>
    </row>
    <row r="2896">
      <c r="A2896" s="12" t="inlineStr">
        <is>
          <t>F-C-0009</t>
        </is>
      </c>
      <c r="B2896" s="12" t="inlineStr">
        <is>
          <t>F</t>
        </is>
      </c>
      <c r="C2896" s="12" t="inlineStr">
        <is>
          <t>Controls / service</t>
        </is>
      </c>
      <c r="D2896" s="12" t="inlineStr">
        <is>
          <t>Control</t>
        </is>
      </c>
      <c r="E2896" s="12" t="inlineStr">
        <is>
          <t>CR</t>
        </is>
      </c>
      <c r="F2896" s="12" t="inlineStr">
        <is>
          <t>Control / admin building (main control room)</t>
        </is>
      </c>
      <c r="G2896" s="12" t="inlineStr"/>
      <c r="H2896" s="12" t="inlineStr">
        <is>
          <t>Perimeter fence barbed-wire arms and CCTV cameras</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Estimated</t>
        </is>
      </c>
      <c r="T2896" s="15" t="n">
        <v>1598</v>
      </c>
      <c r="U2896" s="15" t="n">
        <v>40</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F-C-0010</t>
        </is>
      </c>
      <c r="B2897" s="12" t="inlineStr">
        <is>
          <t>F</t>
        </is>
      </c>
      <c r="C2897" s="12" t="inlineStr">
        <is>
          <t>Controls / service</t>
        </is>
      </c>
      <c r="D2897" s="12" t="inlineStr">
        <is>
          <t>Motor 1 of 2: control / local station</t>
        </is>
      </c>
      <c r="E2897" s="12" t="inlineStr">
        <is>
          <t>MCC-C2</t>
        </is>
      </c>
      <c r="F2897" s="12" t="inlineStr">
        <is>
          <t>R1 MCC-C2</t>
        </is>
      </c>
      <c r="G2897" s="12" t="inlineStr"/>
      <c r="H2897" s="12" t="inlineStr">
        <is>
          <t>Stormwater pump station (2 x 100% submersible pumps)</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Duct bank</t>
        </is>
      </c>
      <c r="T2897" s="15" t="n">
        <v>1917</v>
      </c>
      <c r="U2897" s="15" t="n">
        <v>109</v>
      </c>
      <c r="V2897" s="15">
        <f>ROUNDUP((T2897+U2897+2*'Read Me'!$B$13)*(1+'Read Me'!$B$12),-1)</f>
        <v/>
      </c>
      <c r="W2897" s="15">
        <f>V2897*N2897*O2897</f>
        <v/>
      </c>
      <c r="X2897" s="12">
        <f>IF(LEFT(I2897,2)="MV",2*N2897*IF(L2897="1/C",O2897,1),0)</f>
        <v/>
      </c>
      <c r="Y2897" s="12">
        <f>IF(OR(LEFT(K2897,4)="LVAX",LEFT(K2897,6)="MV15AX",LEFT(K2897,4)="CTAX",LEFT(K2897,2)="W|"),2*N2897*O2897,0)</f>
        <v/>
      </c>
      <c r="Z2897" s="12" t="inlineStr"/>
      <c r="AA2897" s="12">
        <f>N2897*O2897</f>
        <v/>
      </c>
    </row>
    <row r="2898">
      <c r="A2898" s="12" t="inlineStr">
        <is>
          <t>F-C-0011</t>
        </is>
      </c>
      <c r="B2898" s="12" t="inlineStr">
        <is>
          <t>F</t>
        </is>
      </c>
      <c r="C2898" s="12" t="inlineStr">
        <is>
          <t>Controls / service</t>
        </is>
      </c>
      <c r="D2898" s="12" t="inlineStr">
        <is>
          <t>Motor 2 of 2: control / local station</t>
        </is>
      </c>
      <c r="E2898" s="12" t="inlineStr">
        <is>
          <t>MCC-C2</t>
        </is>
      </c>
      <c r="F2898" s="12" t="inlineStr">
        <is>
          <t>R1 MCC-C2</t>
        </is>
      </c>
      <c r="G2898" s="12" t="inlineStr"/>
      <c r="H2898" s="12" t="inlineStr">
        <is>
          <t>Stormwater pump station (2 x 100% submersible pumps)</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5" t="n">
        <v>1917</v>
      </c>
      <c r="U2898" s="15" t="n">
        <v>109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F-C-0012</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Warehouse</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Conduit link</t>
        </is>
      </c>
      <c r="T2899" s="15" t="n">
        <v>69</v>
      </c>
      <c r="U2899" s="15" t="n">
        <v>77</v>
      </c>
      <c r="V2899" s="15">
        <f>ROUNDUP((T2899+U2899+2*'Read Me'!$B$13)*(1+'Read Me'!$B$12),-1)</f>
        <v/>
      </c>
      <c r="W2899" s="15">
        <f>V2899*N2899*O2899</f>
        <v/>
      </c>
      <c r="X2899" s="12">
        <f>IF(LEFT(I2899,2)="MV",2*N2899*IF(L2899="1/C",O2899,1),0)</f>
        <v/>
      </c>
      <c r="Y2899" s="12">
        <f>IF(OR(LEFT(K2899,4)="LVAX",LEFT(K2899,6)="MV15AX",LEFT(K2899,4)="CTAX",LEFT(K2899,2)="W|"),2*N2899*O2899,0)</f>
        <v/>
      </c>
      <c r="Z2899" s="12" t="inlineStr"/>
      <c r="AA2899" s="12">
        <f>N2899*O2899</f>
        <v/>
      </c>
    </row>
    <row r="2900">
      <c r="A2900" s="12" t="inlineStr">
        <is>
          <t>F-F-0001</t>
        </is>
      </c>
      <c r="B2900" s="12" t="inlineStr">
        <is>
          <t>F</t>
        </is>
      </c>
      <c r="C2900" s="12" t="inlineStr">
        <is>
          <t>Controls / service</t>
        </is>
      </c>
      <c r="D2900" s="12" t="inlineStr">
        <is>
          <t>Plant network / DCS fibre</t>
        </is>
      </c>
      <c r="E2900" s="12" t="inlineStr">
        <is>
          <t>CR</t>
        </is>
      </c>
      <c r="F2900" s="12" t="inlineStr">
        <is>
          <t>Control / admin building (main control room)</t>
        </is>
      </c>
      <c r="G2900" s="12" t="inlineStr">
        <is>
          <t>CR</t>
        </is>
      </c>
      <c r="H2900" s="12" t="inlineStr">
        <is>
          <t>Control / admin building (main control room)</t>
        </is>
      </c>
      <c r="I2900" s="12" t="inlineStr">
        <is>
          <t>Fibre / data</t>
        </is>
      </c>
      <c r="J2900" s="12" t="inlineStr">
        <is>
          <t>Fibre optic, single-mode, 12-fibre, armored, orange jacket</t>
        </is>
      </c>
      <c r="K2900" s="12" t="inlineStr">
        <is>
          <t>FO|12 SM|-</t>
        </is>
      </c>
      <c r="L2900" s="12" t="inlineStr">
        <is>
          <t>12 SM</t>
        </is>
      </c>
      <c r="M2900" s="12" t="inlineStr">
        <is>
          <t>-</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F-F-0002</t>
        </is>
      </c>
      <c r="B2901" s="12" t="inlineStr">
        <is>
          <t>F</t>
        </is>
      </c>
      <c r="C2901" s="12" t="inlineStr">
        <is>
          <t>Controls / service</t>
        </is>
      </c>
      <c r="D2901" s="12" t="inlineStr">
        <is>
          <t>Plant network / DCS fibre</t>
        </is>
      </c>
      <c r="E2901" s="12" t="inlineStr">
        <is>
          <t>CR</t>
        </is>
      </c>
      <c r="F2901" s="12" t="inlineStr">
        <is>
          <t>Control / admin building (main control room)</t>
        </is>
      </c>
      <c r="G2901" s="12" t="inlineStr"/>
      <c r="H2901" s="12" t="inlineStr">
        <is>
          <t>Gatehouse</t>
        </is>
      </c>
      <c r="I2901" s="12" t="inlineStr">
        <is>
          <t>Fibre / data</t>
        </is>
      </c>
      <c r="J2901" s="12" t="inlineStr">
        <is>
          <t>Fibre optic, single-mode, 12-fibre, armored, orange jacket</t>
        </is>
      </c>
      <c r="K2901" s="12" t="inlineStr">
        <is>
          <t>FO|12 SM|-</t>
        </is>
      </c>
      <c r="L2901" s="12" t="inlineStr">
        <is>
          <t>12 SM</t>
        </is>
      </c>
      <c r="M2901" s="12" t="inlineStr">
        <is>
          <t>-</t>
        </is>
      </c>
      <c r="N2901" s="12" t="n">
        <v>1</v>
      </c>
      <c r="O2901" s="12" t="n">
        <v>1</v>
      </c>
      <c r="P2901" s="12" t="n"/>
      <c r="Q2901" s="12" t="n"/>
      <c r="R2901" s="12" t="n"/>
      <c r="S2901" s="12" t="inlineStr">
        <is>
          <t>Tray</t>
        </is>
      </c>
      <c r="T2901" s="15" t="n">
        <v>20</v>
      </c>
      <c r="U2901" s="15" t="n">
        <v>32</v>
      </c>
      <c r="V2901" s="15">
        <f>ROUNDUP((T2901+U2901+2*'Read Me'!$B$13)*(1+'Read Me'!$B$12),-1)</f>
        <v/>
      </c>
      <c r="W2901" s="15">
        <f>V2901*N2901*O2901</f>
        <v/>
      </c>
      <c r="X2901" s="12">
        <f>IF(LEFT(I2901,2)="MV",2*N2901*IF(L2901="1/C",O2901,1),0)</f>
        <v/>
      </c>
      <c r="Y2901" s="12">
        <f>IF(OR(LEFT(K2901,4)="LVAX",LEFT(K2901,6)="MV15AX",LEFT(K2901,4)="CTAX",LEFT(K2901,2)="W|"),2*N2901*O2901,0)</f>
        <v/>
      </c>
      <c r="Z2901" s="12" t="inlineStr"/>
      <c r="AA2901" s="12">
        <f>N2901*O2901</f>
        <v/>
      </c>
    </row>
    <row r="2902">
      <c r="A2902" s="12" t="inlineStr">
        <is>
          <t>F-F-0003</t>
        </is>
      </c>
      <c r="B2902" s="12" t="inlineStr">
        <is>
          <t>F</t>
        </is>
      </c>
      <c r="C2902" s="12" t="inlineStr">
        <is>
          <t>Controls / service</t>
        </is>
      </c>
      <c r="D2902" s="12" t="inlineStr">
        <is>
          <t>Plant network / DCS fibre</t>
        </is>
      </c>
      <c r="E2902" s="12" t="inlineStr">
        <is>
          <t>CR</t>
        </is>
      </c>
      <c r="F2902" s="12" t="inlineStr">
        <is>
          <t>Control / admin building (main control room)</t>
        </is>
      </c>
      <c r="G2902" s="12" t="inlineStr"/>
      <c r="H2902" s="12" t="inlineStr">
        <is>
          <t>Maintenance building / workshop</t>
        </is>
      </c>
      <c r="I2902" s="12" t="inlineStr">
        <is>
          <t>Fibre / data</t>
        </is>
      </c>
      <c r="J2902" s="12" t="inlineStr">
        <is>
          <t>Fibre optic, single-mode, 12-fibre, armored, orange jacket</t>
        </is>
      </c>
      <c r="K2902" s="12" t="inlineStr">
        <is>
          <t>FO|12 SM|-</t>
        </is>
      </c>
      <c r="L2902" s="12" t="inlineStr">
        <is>
          <t>12 SM</t>
        </is>
      </c>
      <c r="M2902" s="12" t="inlineStr">
        <is>
          <t>-</t>
        </is>
      </c>
      <c r="N2902" s="12" t="n">
        <v>1</v>
      </c>
      <c r="O2902" s="12" t="n">
        <v>1</v>
      </c>
      <c r="P2902" s="12" t="n"/>
      <c r="Q2902" s="12" t="n"/>
      <c r="R2902" s="12" t="n"/>
      <c r="S2902" s="12" t="inlineStr">
        <is>
          <t>Duct bank</t>
        </is>
      </c>
      <c r="T2902" s="15" t="n">
        <v>300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F-F-0004</t>
        </is>
      </c>
      <c r="B2903" s="12" t="inlineStr">
        <is>
          <t>F</t>
        </is>
      </c>
      <c r="C2903" s="12" t="inlineStr">
        <is>
          <t>Controls / service</t>
        </is>
      </c>
      <c r="D2903" s="12" t="inlineStr">
        <is>
          <t>Plant network / DCS fibre</t>
        </is>
      </c>
      <c r="E2903" s="12" t="inlineStr">
        <is>
          <t>CR</t>
        </is>
      </c>
      <c r="F2903" s="12" t="inlineStr">
        <is>
          <t>Control / admin building (main control room)</t>
        </is>
      </c>
      <c r="G2903" s="12" t="inlineStr"/>
      <c r="H2903" s="12" t="inlineStr">
        <is>
          <t>Warehouse</t>
        </is>
      </c>
      <c r="I2903" s="12" t="inlineStr">
        <is>
          <t>Fibre / data</t>
        </is>
      </c>
      <c r="J2903" s="12" t="inlineStr">
        <is>
          <t>Fibre optic, single-mode, 12-fibre, armored, orange jacket</t>
        </is>
      </c>
      <c r="K2903" s="12" t="inlineStr">
        <is>
          <t>FO|12 SM|-</t>
        </is>
      </c>
      <c r="L2903" s="12" t="inlineStr">
        <is>
          <t>12 SM</t>
        </is>
      </c>
      <c r="M2903" s="12" t="inlineStr">
        <is>
          <t>-</t>
        </is>
      </c>
      <c r="N2903" s="12" t="n">
        <v>1</v>
      </c>
      <c r="O2903" s="12" t="n">
        <v>1</v>
      </c>
      <c r="P2903" s="12" t="n"/>
      <c r="Q2903" s="12" t="n"/>
      <c r="R2903" s="12" t="n"/>
      <c r="S2903" s="12" t="inlineStr">
        <is>
          <t>Conduit link</t>
        </is>
      </c>
      <c r="T2903" s="15" t="n">
        <v>69</v>
      </c>
      <c r="U2903" s="15" t="n">
        <v>77</v>
      </c>
      <c r="V2903" s="15">
        <f>ROUNDUP((T2903+U2903+2*'Read Me'!$B$13)*(1+'Read Me'!$B$12),-1)</f>
        <v/>
      </c>
      <c r="W2903" s="15">
        <f>V2903*N2903*O2903</f>
        <v/>
      </c>
      <c r="X2903" s="12">
        <f>IF(LEFT(I2903,2)="MV",2*N2903*IF(L2903="1/C",O2903,1),0)</f>
        <v/>
      </c>
      <c r="Y2903" s="12">
        <f>IF(OR(LEFT(K2903,4)="LVAX",LEFT(K2903,6)="MV15AX",LEFT(K2903,4)="CTAX",LEFT(K2903,2)="W|"),2*N2903*O2903,0)</f>
        <v/>
      </c>
      <c r="Z2903" s="12" t="inlineStr"/>
      <c r="AA2903" s="12">
        <f>N2903*O2903</f>
        <v/>
      </c>
    </row>
    <row r="2904">
      <c r="A2904" s="12" t="inlineStr">
        <is>
          <t>F-FA-0001</t>
        </is>
      </c>
      <c r="B2904" s="12" t="inlineStr">
        <is>
          <t>F</t>
        </is>
      </c>
      <c r="C2904" s="12" t="inlineStr">
        <is>
          <t>Controls / service</t>
        </is>
      </c>
      <c r="D2904" s="12" t="inlineStr">
        <is>
          <t>Fire alarm / F&amp;G loop (to the local FACP / F&amp;G node)</t>
        </is>
      </c>
      <c r="E2904" s="12" t="inlineStr">
        <is>
          <t>CR</t>
        </is>
      </c>
      <c r="F2904" s="12" t="inlineStr">
        <is>
          <t>Control / admin building (main control room)</t>
        </is>
      </c>
      <c r="G2904" s="12" t="inlineStr">
        <is>
          <t>CR</t>
        </is>
      </c>
      <c r="H2904" s="12" t="inlineStr">
        <is>
          <t>Control / admin building (main control room)</t>
        </is>
      </c>
      <c r="I2904" s="12" t="inlineStr">
        <is>
          <t>Fire alarm</t>
        </is>
      </c>
      <c r="J2904" s="12" t="inlineStr">
        <is>
          <t>Fire alarm FPLR 2/C #14 shielded, red jacket (NEC 760)</t>
        </is>
      </c>
      <c r="K2904" s="12" t="inlineStr">
        <is>
          <t>FA|2/C|14</t>
        </is>
      </c>
      <c r="L2904" s="12" t="inlineStr">
        <is>
          <t>2/C</t>
        </is>
      </c>
      <c r="M2904" s="12" t="inlineStr">
        <is>
          <t>14</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F-FA-0002</t>
        </is>
      </c>
      <c r="B2905" s="12" t="inlineStr">
        <is>
          <t>F</t>
        </is>
      </c>
      <c r="C2905" s="12" t="inlineStr">
        <is>
          <t>Controls / service</t>
        </is>
      </c>
      <c r="D2905" s="12" t="inlineStr">
        <is>
          <t>Fire alarm / F&amp;G loop (to the local FACP / F&amp;G node)</t>
        </is>
      </c>
      <c r="E2905" s="12" t="inlineStr">
        <is>
          <t>CR</t>
        </is>
      </c>
      <c r="F2905" s="12" t="inlineStr">
        <is>
          <t>Control / admin building (main control room)</t>
        </is>
      </c>
      <c r="G2905" s="12" t="inlineStr">
        <is>
          <t>EDG-1</t>
        </is>
      </c>
      <c r="H2905" s="12" t="inlineStr">
        <is>
          <t>EDG-1: 3 MW emergency diesel generator (480 V)</t>
        </is>
      </c>
      <c r="I2905" s="12" t="inlineStr">
        <is>
          <t>Fire alarm</t>
        </is>
      </c>
      <c r="J2905" s="12" t="inlineStr">
        <is>
          <t>Fire alarm FPLR 2/C #14 shielded, red jacket (NEC 760)</t>
        </is>
      </c>
      <c r="K2905" s="12" t="inlineStr">
        <is>
          <t>FA|2/C|14</t>
        </is>
      </c>
      <c r="L2905" s="12" t="inlineStr">
        <is>
          <t>2/C</t>
        </is>
      </c>
      <c r="M2905" s="12" t="inlineStr">
        <is>
          <t>14</t>
        </is>
      </c>
      <c r="N2905" s="12" t="n">
        <v>1</v>
      </c>
      <c r="O2905" s="12" t="n">
        <v>1</v>
      </c>
      <c r="P2905" s="12" t="n"/>
      <c r="Q2905" s="12" t="n"/>
      <c r="R2905" s="12" t="n"/>
      <c r="S2905" s="12" t="inlineStr">
        <is>
          <t>Duct bank</t>
        </is>
      </c>
      <c r="T2905" s="15" t="n">
        <v>574</v>
      </c>
      <c r="U2905" s="15" t="n">
        <v>62</v>
      </c>
      <c r="V2905" s="15">
        <f>ROUNDUP((T2905+U2905+2*'Read Me'!$B$13)*(1+'Read Me'!$B$12),-1)</f>
        <v/>
      </c>
      <c r="W2905" s="15">
        <f>V2905*N2905*O2905</f>
        <v/>
      </c>
      <c r="X2905" s="12">
        <f>IF(LEFT(I2905,2)="MV",2*N2905*IF(L2905="1/C",O2905,1),0)</f>
        <v/>
      </c>
      <c r="Y2905" s="12">
        <f>IF(OR(LEFT(K2905,4)="LVAX",LEFT(K2905,6)="MV15AX",LEFT(K2905,4)="CTAX",LEFT(K2905,2)="W|"),2*N2905*O2905,0)</f>
        <v/>
      </c>
      <c r="Z2905" s="12" t="inlineStr"/>
      <c r="AA2905" s="12">
        <f>N2905*O2905</f>
        <v/>
      </c>
    </row>
    <row r="2906">
      <c r="A2906" s="12" t="inlineStr">
        <is>
          <t>F-FA-0003</t>
        </is>
      </c>
      <c r="B2906" s="12" t="inlineStr">
        <is>
          <t>F</t>
        </is>
      </c>
      <c r="C2906" s="12" t="inlineStr">
        <is>
          <t>Controls / service</t>
        </is>
      </c>
      <c r="D2906" s="12" t="inlineStr">
        <is>
          <t>Fire alarm / F&amp;G loop (to the local FACP / F&amp;G node)</t>
        </is>
      </c>
      <c r="E2906" s="12" t="inlineStr">
        <is>
          <t>CR</t>
        </is>
      </c>
      <c r="F2906" s="12" t="inlineStr">
        <is>
          <t>Control / admin building (main control room)</t>
        </is>
      </c>
      <c r="G2906" s="12" t="inlineStr">
        <is>
          <t>EDG-2</t>
        </is>
      </c>
      <c r="H2906" s="12" t="inlineStr">
        <is>
          <t>EDG-2: 3 MW emergency diesel generator (480 V)</t>
        </is>
      </c>
      <c r="I2906" s="12" t="inlineStr">
        <is>
          <t>Fire alarm</t>
        </is>
      </c>
      <c r="J2906" s="12" t="inlineStr">
        <is>
          <t>Fire alarm FPLR 2/C #14 shielded, red jacket (NEC 760)</t>
        </is>
      </c>
      <c r="K2906" s="12" t="inlineStr">
        <is>
          <t>FA|2/C|14</t>
        </is>
      </c>
      <c r="L2906" s="12" t="inlineStr">
        <is>
          <t>2/C</t>
        </is>
      </c>
      <c r="M2906" s="12" t="inlineStr">
        <is>
          <t>14</t>
        </is>
      </c>
      <c r="N2906" s="12" t="n">
        <v>1</v>
      </c>
      <c r="O2906" s="12" t="n">
        <v>1</v>
      </c>
      <c r="P2906" s="12" t="n"/>
      <c r="Q2906" s="12" t="n"/>
      <c r="R2906" s="12" t="n"/>
      <c r="S2906" s="12" t="inlineStr">
        <is>
          <t>Duct bank</t>
        </is>
      </c>
      <c r="T2906" s="15" t="n">
        <v>609</v>
      </c>
      <c r="U2906" s="15" t="n">
        <v>65</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F-FA-0004</t>
        </is>
      </c>
      <c r="B2907" s="12" t="inlineStr">
        <is>
          <t>F</t>
        </is>
      </c>
      <c r="C2907" s="12" t="inlineStr">
        <is>
          <t>Controls / service</t>
        </is>
      </c>
      <c r="D2907" s="12" t="inlineStr">
        <is>
          <t>Fire alarm / F&amp;G loop (to the local FACP / F&amp;G node)</t>
        </is>
      </c>
      <c r="E2907" s="12" t="inlineStr">
        <is>
          <t>CR</t>
        </is>
      </c>
      <c r="F2907" s="12" t="inlineStr">
        <is>
          <t>Control / admin building (main control room)</t>
        </is>
      </c>
      <c r="G2907" s="12" t="inlineStr"/>
      <c r="H2907" s="12" t="inlineStr">
        <is>
          <t>Gatehouse</t>
        </is>
      </c>
      <c r="I2907" s="12" t="inlineStr">
        <is>
          <t>Fire alarm</t>
        </is>
      </c>
      <c r="J2907" s="12" t="inlineStr">
        <is>
          <t>Fire alarm FPLR 2/C #14 shielded, red jacket (NEC 760)</t>
        </is>
      </c>
      <c r="K2907" s="12" t="inlineStr">
        <is>
          <t>FA|2/C|14</t>
        </is>
      </c>
      <c r="L2907" s="12" t="inlineStr">
        <is>
          <t>2/C</t>
        </is>
      </c>
      <c r="M2907" s="12" t="inlineStr">
        <is>
          <t>14</t>
        </is>
      </c>
      <c r="N2907" s="12" t="n">
        <v>1</v>
      </c>
      <c r="O2907" s="12" t="n">
        <v>1</v>
      </c>
      <c r="P2907" s="12" t="n"/>
      <c r="Q2907" s="12" t="n"/>
      <c r="R2907" s="12" t="n"/>
      <c r="S2907" s="12" t="inlineStr">
        <is>
          <t>Tray</t>
        </is>
      </c>
      <c r="T2907" s="15" t="n">
        <v>20</v>
      </c>
      <c r="U2907" s="15" t="n">
        <v>32</v>
      </c>
      <c r="V2907" s="15">
        <f>ROUNDUP((T2907+U2907+2*'Read Me'!$B$13)*(1+'Read Me'!$B$12),-1)</f>
        <v/>
      </c>
      <c r="W2907" s="15">
        <f>V2907*N2907*O2907</f>
        <v/>
      </c>
      <c r="X2907" s="12">
        <f>IF(LEFT(I2907,2)="MV",2*N2907*IF(L2907="1/C",O2907,1),0)</f>
        <v/>
      </c>
      <c r="Y2907" s="12">
        <f>IF(OR(LEFT(K2907,4)="LVAX",LEFT(K2907,6)="MV15AX",LEFT(K2907,4)="CTAX",LEFT(K2907,2)="W|"),2*N2907*O2907,0)</f>
        <v/>
      </c>
      <c r="Z2907" s="12" t="inlineStr"/>
      <c r="AA2907" s="12">
        <f>N2907*O2907</f>
        <v/>
      </c>
    </row>
    <row r="2908">
      <c r="A2908" s="12" t="inlineStr">
        <is>
          <t>F-FA-0005</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c r="H2908" s="12" t="inlineStr">
        <is>
          <t>Maintenance building / workshop</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Duct bank</t>
        </is>
      </c>
      <c r="T2908" s="15" t="n">
        <v>300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F-FA-0006</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c r="H2909" s="12" t="inlineStr">
        <is>
          <t>Warehouse</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Conduit link</t>
        </is>
      </c>
      <c r="T2909" s="15" t="n">
        <v>69</v>
      </c>
      <c r="U2909" s="15" t="n">
        <v>77</v>
      </c>
      <c r="V2909" s="15">
        <f>ROUNDUP((T2909+U2909+2*'Read Me'!$B$13)*(1+'Read Me'!$B$12),-1)</f>
        <v/>
      </c>
      <c r="W2909" s="15">
        <f>V2909*N2909*O2909</f>
        <v/>
      </c>
      <c r="X2909" s="12">
        <f>IF(LEFT(I2909,2)="MV",2*N2909*IF(L2909="1/C",O2909,1),0)</f>
        <v/>
      </c>
      <c r="Y2909" s="12">
        <f>IF(OR(LEFT(K2909,4)="LVAX",LEFT(K2909,6)="MV15AX",LEFT(K2909,4)="CTAX",LEFT(K2909,2)="W|"),2*N2909*O2909,0)</f>
        <v/>
      </c>
      <c r="Z2909" s="12" t="inlineStr"/>
      <c r="AA2909" s="12">
        <f>N2909*O2909</f>
        <v/>
      </c>
    </row>
    <row r="2910">
      <c r="A2910" s="12" t="inlineStr">
        <is>
          <t>F-I-0001</t>
        </is>
      </c>
      <c r="B2910" s="12" t="inlineStr">
        <is>
          <t>F</t>
        </is>
      </c>
      <c r="C2910" s="12" t="inlineStr">
        <is>
          <t>Controls / service</t>
        </is>
      </c>
      <c r="D2910" s="12" t="inlineStr">
        <is>
          <t>Instrumentation</t>
        </is>
      </c>
      <c r="E2910" s="12" t="inlineStr">
        <is>
          <t>CR</t>
        </is>
      </c>
      <c r="F2910" s="12" t="inlineStr">
        <is>
          <t>Control / admin building (main control room)</t>
        </is>
      </c>
      <c r="G2910" s="12" t="inlineStr">
        <is>
          <t>EDG-1</t>
        </is>
      </c>
      <c r="H2910" s="12" t="inlineStr">
        <is>
          <t>EDG-1: 3 MW emergency diesel generator (480 V)</t>
        </is>
      </c>
      <c r="I2910" s="12" t="inlineStr">
        <is>
          <t>Instrumentation</t>
        </is>
      </c>
      <c r="J2910" s="12" t="inlineStr">
        <is>
          <t>Instrumentation PLTC / TC-ER 300 V, #18 twisted shielded pairs, overall shield</t>
        </is>
      </c>
      <c r="K2910" s="12" t="inlineStr">
        <is>
          <t>PLTC|4 pr|18</t>
        </is>
      </c>
      <c r="L2910" s="12" t="inlineStr">
        <is>
          <t>4 pr</t>
        </is>
      </c>
      <c r="M2910" s="12" t="inlineStr">
        <is>
          <t>18</t>
        </is>
      </c>
      <c r="N2910" s="12" t="n">
        <v>1</v>
      </c>
      <c r="O2910" s="12" t="n">
        <v>1</v>
      </c>
      <c r="P2910" s="12" t="n"/>
      <c r="Q2910" s="12" t="n"/>
      <c r="R2910" s="12" t="n"/>
      <c r="S2910" s="12" t="inlineStr">
        <is>
          <t>Duct bank</t>
        </is>
      </c>
      <c r="T2910" s="15" t="n">
        <v>574</v>
      </c>
      <c r="U2910" s="15" t="n">
        <v>62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F-I-0002</t>
        </is>
      </c>
      <c r="B2911" s="12" t="inlineStr">
        <is>
          <t>F</t>
        </is>
      </c>
      <c r="C2911" s="12" t="inlineStr">
        <is>
          <t>Controls / service</t>
        </is>
      </c>
      <c r="D2911" s="12" t="inlineStr">
        <is>
          <t>Thermocouples</t>
        </is>
      </c>
      <c r="E2911" s="12" t="inlineStr">
        <is>
          <t>CR</t>
        </is>
      </c>
      <c r="F2911" s="12" t="inlineStr">
        <is>
          <t>Control / admin building (main control room)</t>
        </is>
      </c>
      <c r="G2911" s="12" t="inlineStr">
        <is>
          <t>EDG-1</t>
        </is>
      </c>
      <c r="H2911" s="12" t="inlineStr">
        <is>
          <t>EDG-1: 3 MW emergency diesel generator (480 V)</t>
        </is>
      </c>
      <c r="I2911" s="12" t="inlineStr">
        <is>
          <t>Instrumentation</t>
        </is>
      </c>
      <c r="J2911" s="12" t="inlineStr">
        <is>
          <t>Thermocouple extension KX, #16 shielded pairs, PLTC</t>
        </is>
      </c>
      <c r="K2911" s="12" t="inlineStr">
        <is>
          <t>TCX|12 pr|16</t>
        </is>
      </c>
      <c r="L2911" s="12" t="inlineStr">
        <is>
          <t>12 pr</t>
        </is>
      </c>
      <c r="M2911" s="12" t="inlineStr">
        <is>
          <t>16</t>
        </is>
      </c>
      <c r="N2911" s="12" t="n">
        <v>1</v>
      </c>
      <c r="O2911" s="12" t="n">
        <v>1</v>
      </c>
      <c r="P2911" s="12" t="n"/>
      <c r="Q2911" s="12" t="n"/>
      <c r="R2911" s="12" t="n"/>
      <c r="S2911" s="12" t="inlineStr">
        <is>
          <t>Duct bank</t>
        </is>
      </c>
      <c r="T2911" s="15" t="n">
        <v>574</v>
      </c>
      <c r="U2911" s="15" t="n">
        <v>62</v>
      </c>
      <c r="V2911" s="15">
        <f>ROUNDUP((T2911+U2911+2*'Read Me'!$B$13)*(1+'Read Me'!$B$12),-1)</f>
        <v/>
      </c>
      <c r="W2911" s="15">
        <f>V2911*N2911*O2911</f>
        <v/>
      </c>
      <c r="X2911" s="12">
        <f>IF(LEFT(I2911,2)="MV",2*N2911*IF(L2911="1/C",O2911,1),0)</f>
        <v/>
      </c>
      <c r="Y2911" s="12">
        <f>IF(OR(LEFT(K2911,4)="LVAX",LEFT(K2911,6)="MV15AX",LEFT(K2911,4)="CTAX",LEFT(K2911,2)="W|"),2*N2911*O2911,0)</f>
        <v/>
      </c>
      <c r="Z2911" s="12" t="inlineStr"/>
      <c r="AA2911" s="12">
        <f>N2911*O2911</f>
        <v/>
      </c>
    </row>
    <row r="2912">
      <c r="A2912" s="12" t="inlineStr">
        <is>
          <t>F-I-0003</t>
        </is>
      </c>
      <c r="B2912" s="12" t="inlineStr">
        <is>
          <t>F</t>
        </is>
      </c>
      <c r="C2912" s="12" t="inlineStr">
        <is>
          <t>Controls / service</t>
        </is>
      </c>
      <c r="D2912" s="12" t="inlineStr">
        <is>
          <t>Thermocouples</t>
        </is>
      </c>
      <c r="E2912" s="12" t="inlineStr">
        <is>
          <t>CR</t>
        </is>
      </c>
      <c r="F2912" s="12" t="inlineStr">
        <is>
          <t>Control / admin building (main control room)</t>
        </is>
      </c>
      <c r="G2912" s="12" t="inlineStr">
        <is>
          <t>EDG-1</t>
        </is>
      </c>
      <c r="H2912" s="12" t="inlineStr">
        <is>
          <t>EDG-1: 3 MW emergency diesel generator (480 V)</t>
        </is>
      </c>
      <c r="I2912" s="12" t="inlineStr">
        <is>
          <t>Instrumentation</t>
        </is>
      </c>
      <c r="J2912" s="12" t="inlineStr">
        <is>
          <t>Thermocouple extension KX, #16 shielded pairs, PLTC</t>
        </is>
      </c>
      <c r="K2912" s="12" t="inlineStr">
        <is>
          <t>TCX|12 pr|16</t>
        </is>
      </c>
      <c r="L2912" s="12" t="inlineStr">
        <is>
          <t>12 pr</t>
        </is>
      </c>
      <c r="M2912" s="12" t="inlineStr">
        <is>
          <t>16</t>
        </is>
      </c>
      <c r="N2912" s="12" t="n">
        <v>1</v>
      </c>
      <c r="O2912" s="12" t="n">
        <v>1</v>
      </c>
      <c r="P2912" s="12" t="n"/>
      <c r="Q2912" s="12" t="n"/>
      <c r="R2912" s="12" t="n"/>
      <c r="S2912" s="12" t="inlineStr">
        <is>
          <t>Duct bank</t>
        </is>
      </c>
      <c r="T2912" s="15" t="n">
        <v>574</v>
      </c>
      <c r="U2912" s="15" t="n">
        <v>62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F-I-0004</t>
        </is>
      </c>
      <c r="B2913" s="12" t="inlineStr">
        <is>
          <t>F</t>
        </is>
      </c>
      <c r="C2913" s="12" t="inlineStr">
        <is>
          <t>Controls / service</t>
        </is>
      </c>
      <c r="D2913" s="12" t="inlineStr">
        <is>
          <t>Instrumentation</t>
        </is>
      </c>
      <c r="E2913" s="12" t="inlineStr">
        <is>
          <t>CR</t>
        </is>
      </c>
      <c r="F2913" s="12" t="inlineStr">
        <is>
          <t>Control / admin building (main control room)</t>
        </is>
      </c>
      <c r="G2913" s="12" t="inlineStr">
        <is>
          <t>EDG-2</t>
        </is>
      </c>
      <c r="H2913" s="12" t="inlineStr">
        <is>
          <t>EDG-2: 3 MW emergency diesel generator (480 V)</t>
        </is>
      </c>
      <c r="I2913" s="12" t="inlineStr">
        <is>
          <t>Instrumentation</t>
        </is>
      </c>
      <c r="J2913" s="12" t="inlineStr">
        <is>
          <t>Instrumentation PLTC / TC-ER 300 V, #18 twisted shielded pairs, overall shield</t>
        </is>
      </c>
      <c r="K2913" s="12" t="inlineStr">
        <is>
          <t>PLTC|4 pr|18</t>
        </is>
      </c>
      <c r="L2913" s="12" t="inlineStr">
        <is>
          <t>4 pr</t>
        </is>
      </c>
      <c r="M2913" s="12" t="inlineStr">
        <is>
          <t>18</t>
        </is>
      </c>
      <c r="N2913" s="12" t="n">
        <v>1</v>
      </c>
      <c r="O2913" s="12" t="n">
        <v>1</v>
      </c>
      <c r="P2913" s="12" t="n"/>
      <c r="Q2913" s="12" t="n"/>
      <c r="R2913" s="12" t="n"/>
      <c r="S2913" s="12" t="inlineStr">
        <is>
          <t>Duct bank</t>
        </is>
      </c>
      <c r="T2913" s="15" t="n">
        <v>609</v>
      </c>
      <c r="U2913" s="15" t="n">
        <v>65</v>
      </c>
      <c r="V2913" s="15">
        <f>ROUNDUP((T2913+U2913+2*'Read Me'!$B$13)*(1+'Read Me'!$B$12),-1)</f>
        <v/>
      </c>
      <c r="W2913" s="15">
        <f>V2913*N2913*O2913</f>
        <v/>
      </c>
      <c r="X2913" s="12">
        <f>IF(LEFT(I2913,2)="MV",2*N2913*IF(L2913="1/C",O2913,1),0)</f>
        <v/>
      </c>
      <c r="Y2913" s="12">
        <f>IF(OR(LEFT(K2913,4)="LVAX",LEFT(K2913,6)="MV15AX",LEFT(K2913,4)="CTAX",LEFT(K2913,2)="W|"),2*N2913*O2913,0)</f>
        <v/>
      </c>
      <c r="Z2913" s="12" t="inlineStr"/>
      <c r="AA2913" s="12">
        <f>N2913*O2913</f>
        <v/>
      </c>
    </row>
    <row r="2914">
      <c r="A2914" s="12" t="inlineStr">
        <is>
          <t>F-I-0005</t>
        </is>
      </c>
      <c r="B2914" s="12" t="inlineStr">
        <is>
          <t>F</t>
        </is>
      </c>
      <c r="C2914" s="12" t="inlineStr">
        <is>
          <t>Controls / service</t>
        </is>
      </c>
      <c r="D2914" s="12" t="inlineStr">
        <is>
          <t>Thermocouples</t>
        </is>
      </c>
      <c r="E2914" s="12" t="inlineStr">
        <is>
          <t>CR</t>
        </is>
      </c>
      <c r="F2914" s="12" t="inlineStr">
        <is>
          <t>Control / admin building (main control room)</t>
        </is>
      </c>
      <c r="G2914" s="12" t="inlineStr">
        <is>
          <t>EDG-2</t>
        </is>
      </c>
      <c r="H2914" s="12" t="inlineStr">
        <is>
          <t>EDG-2: 3 MW emergency diesel generator (480 V)</t>
        </is>
      </c>
      <c r="I2914" s="12" t="inlineStr">
        <is>
          <t>Instrumentation</t>
        </is>
      </c>
      <c r="J2914" s="12" t="inlineStr">
        <is>
          <t>Thermocouple extension KX, #16 shielded pairs, PLTC</t>
        </is>
      </c>
      <c r="K2914" s="12" t="inlineStr">
        <is>
          <t>TCX|12 pr|16</t>
        </is>
      </c>
      <c r="L2914" s="12" t="inlineStr">
        <is>
          <t>12 pr</t>
        </is>
      </c>
      <c r="M2914" s="12" t="inlineStr">
        <is>
          <t>16</t>
        </is>
      </c>
      <c r="N2914" s="12" t="n">
        <v>1</v>
      </c>
      <c r="O2914" s="12" t="n">
        <v>1</v>
      </c>
      <c r="P2914" s="12" t="n"/>
      <c r="Q2914" s="12" t="n"/>
      <c r="R2914" s="12" t="n"/>
      <c r="S2914" s="12" t="inlineStr">
        <is>
          <t>Duct bank</t>
        </is>
      </c>
      <c r="T2914" s="15" t="n">
        <v>609</v>
      </c>
      <c r="U2914" s="15" t="n">
        <v>65</v>
      </c>
      <c r="V2914" s="15">
        <f>ROUNDUP((T2914+U2914+2*'Read Me'!$B$13)*(1+'Read Me'!$B$12),-1)</f>
        <v/>
      </c>
      <c r="W2914" s="15">
        <f>V2914*N2914*O2914</f>
        <v/>
      </c>
      <c r="X2914" s="12">
        <f>IF(LEFT(I2914,2)="MV",2*N2914*IF(L2914="1/C",O2914,1),0)</f>
        <v/>
      </c>
      <c r="Y2914" s="12">
        <f>IF(OR(LEFT(K2914,4)="LVAX",LEFT(K2914,6)="MV15AX",LEFT(K2914,4)="CTAX",LEFT(K2914,2)="W|"),2*N2914*O2914,0)</f>
        <v/>
      </c>
      <c r="Z2914" s="12" t="inlineStr"/>
      <c r="AA2914" s="12">
        <f>N2914*O2914</f>
        <v/>
      </c>
    </row>
    <row r="2915">
      <c r="A2915" s="12" t="inlineStr">
        <is>
          <t>F-I-0006</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EDG-2</t>
        </is>
      </c>
      <c r="H2915" s="12" t="inlineStr">
        <is>
          <t>EDG-2: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5" t="n">
        <v>609</v>
      </c>
      <c r="U2915" s="15" t="n">
        <v>65</v>
      </c>
      <c r="V2915" s="15">
        <f>ROUNDUP((T2915+U2915+2*'Read Me'!$B$13)*(1+'Read Me'!$B$12),-1)</f>
        <v/>
      </c>
      <c r="W2915" s="15">
        <f>V2915*N2915*O2915</f>
        <v/>
      </c>
      <c r="X2915" s="12">
        <f>IF(LEFT(I2915,2)="MV",2*N2915*IF(L2915="1/C",O2915,1),0)</f>
        <v/>
      </c>
      <c r="Y2915" s="12">
        <f>IF(OR(LEFT(K2915,4)="LVAX",LEFT(K2915,6)="MV15AX",LEFT(K2915,4)="CTAX",LEFT(K2915,2)="W|"),2*N2915*O2915,0)</f>
        <v/>
      </c>
      <c r="Z2915" s="12" t="inlineStr"/>
      <c r="AA2915" s="12">
        <f>N2915*O2915</f>
        <v/>
      </c>
    </row>
    <row r="2916">
      <c r="A2916" s="12" t="inlineStr">
        <is>
          <t>F-I-0007</t>
        </is>
      </c>
      <c r="B2916" s="12" t="inlineStr">
        <is>
          <t>F</t>
        </is>
      </c>
      <c r="C2916" s="12" t="inlineStr">
        <is>
          <t>Controls / service</t>
        </is>
      </c>
      <c r="D2916" s="12" t="inlineStr">
        <is>
          <t>Analog instrument to JB JB-LS-1-AI01: 2 x 1 pr (field cables)</t>
        </is>
      </c>
      <c r="E2916" s="12" t="inlineStr">
        <is>
          <t>LS-1</t>
        </is>
      </c>
      <c r="F2916" s="12" t="inlineStr">
        <is>
          <t>LS-1: sanitary lift station (packaged duplex)</t>
        </is>
      </c>
      <c r="G2916" s="12" t="inlineStr">
        <is>
          <t>JB-LS-1-AI01</t>
        </is>
      </c>
      <c r="H2916" s="12" t="inlineStr">
        <is>
          <t>LS-1: sanitary lift station (packaged duplex)</t>
        </is>
      </c>
      <c r="I2916" s="12" t="inlineStr">
        <is>
          <t>Instrumentation</t>
        </is>
      </c>
      <c r="J2916" s="12" t="inlineStr">
        <is>
          <t>Instrumentation PLTC / TC-ER 300 V, #18 twisted shielded pairs, overall shield</t>
        </is>
      </c>
      <c r="K2916" s="12" t="inlineStr">
        <is>
          <t>PLTC|1 pr|16</t>
        </is>
      </c>
      <c r="L2916" s="12" t="inlineStr">
        <is>
          <t>1 pr</t>
        </is>
      </c>
      <c r="M2916" s="12" t="inlineStr">
        <is>
          <t>16</t>
        </is>
      </c>
      <c r="N2916" s="12" t="n">
        <v>2</v>
      </c>
      <c r="O2916" s="12" t="n">
        <v>1</v>
      </c>
      <c r="P2916" s="12" t="n"/>
      <c r="Q2916" s="12" t="n"/>
      <c r="R2916" s="12" t="n"/>
      <c r="S2916" s="12" t="inlineStr">
        <is>
          <t>Tray / conduit</t>
        </is>
      </c>
      <c r="T2916" s="15" t="n">
        <v>40</v>
      </c>
      <c r="U2916" s="15" t="n">
        <v>10</v>
      </c>
      <c r="V2916" s="15">
        <f>ROUNDUP((T2916+U2916+2*'Read Me'!$B$13)*(1+'Read Me'!$B$12),-1)</f>
        <v/>
      </c>
      <c r="W2916" s="15">
        <f>V2916*N2916*O2916</f>
        <v/>
      </c>
      <c r="X2916" s="12">
        <f>IF(LEFT(I2916,2)="MV",2*N2916*IF(L2916="1/C",O2916,1),0)</f>
        <v/>
      </c>
      <c r="Y2916" s="12">
        <f>IF(OR(LEFT(K2916,4)="LVAX",LEFT(K2916,6)="MV15AX",LEFT(K2916,4)="CTAX",LEFT(K2916,2)="W|"),2*N2916*O2916,0)</f>
        <v/>
      </c>
      <c r="Z2916" s="12" t="inlineStr">
        <is>
          <t>device-to-JB field wiring, one cable per device</t>
        </is>
      </c>
      <c r="AA2916" s="12">
        <f>N2916*O2916</f>
        <v/>
      </c>
    </row>
    <row r="2917">
      <c r="A2917" s="12" t="inlineStr">
        <is>
          <t>F-I-0008</t>
        </is>
      </c>
      <c r="B2917" s="12" t="inlineStr">
        <is>
          <t>F</t>
        </is>
      </c>
      <c r="C2917" s="12" t="inlineStr">
        <is>
          <t>Controls / service</t>
        </is>
      </c>
      <c r="D2917" s="12" t="inlineStr">
        <is>
          <t>Home run JB-LS-1-AI01 to the control / marshalling room</t>
        </is>
      </c>
      <c r="E2917" s="12" t="inlineStr">
        <is>
          <t>CR</t>
        </is>
      </c>
      <c r="F2917" s="12" t="inlineStr">
        <is>
          <t>Control / admin building (main control room)</t>
        </is>
      </c>
      <c r="G2917" s="12" t="inlineStr">
        <is>
          <t>JB-LS-1-AI01</t>
        </is>
      </c>
      <c r="H2917" s="12" t="inlineStr">
        <is>
          <t>LS-1: sanitary lift station (packaged duplex)</t>
        </is>
      </c>
      <c r="I2917" s="12" t="inlineStr">
        <is>
          <t>Instrumentation</t>
        </is>
      </c>
      <c r="J2917" s="12" t="inlineStr">
        <is>
          <t>Instrumentation PLTC / TC-ER 300 V, #18 twisted shielded pairs, overall shield</t>
        </is>
      </c>
      <c r="K2917" s="12" t="inlineStr">
        <is>
          <t>PLTC|24 pr|18</t>
        </is>
      </c>
      <c r="L2917" s="12" t="inlineStr">
        <is>
          <t>24 pr</t>
        </is>
      </c>
      <c r="M2917" s="12" t="inlineStr">
        <is>
          <t>18</t>
        </is>
      </c>
      <c r="N2917" s="12" t="n">
        <v>1</v>
      </c>
      <c r="O2917" s="12" t="n">
        <v>1</v>
      </c>
      <c r="P2917" s="12" t="n"/>
      <c r="Q2917" s="12" t="n"/>
      <c r="R2917" s="12" t="n"/>
      <c r="S2917" s="12" t="inlineStr">
        <is>
          <t>Duct bank</t>
        </is>
      </c>
      <c r="T2917" s="15" t="n">
        <v>326</v>
      </c>
      <c r="U2917" s="15" t="n">
        <v>32</v>
      </c>
      <c r="V2917" s="15">
        <f>ROUNDUP((T2917+U2917+2*'Read Me'!$B$13)*(1+'Read Me'!$B$12),-1)</f>
        <v/>
      </c>
      <c r="W2917" s="15">
        <f>V2917*N2917*O2917</f>
        <v/>
      </c>
      <c r="X2917" s="12">
        <f>IF(LEFT(I2917,2)="MV",2*N2917*IF(L2917="1/C",O2917,1),0)</f>
        <v/>
      </c>
      <c r="Y2917" s="12">
        <f>IF(OR(LEFT(K2917,4)="LVAX",LEFT(K2917,6)="MV15AX",LEFT(K2917,4)="CTAX",LEFT(K2917,2)="W|"),2*N2917*O2917,0)</f>
        <v/>
      </c>
      <c r="Z2917" s="12" t="inlineStr"/>
      <c r="AA2917" s="12">
        <f>N2917*O2917</f>
        <v/>
      </c>
    </row>
    <row r="2918">
      <c r="A2918" s="12" t="inlineStr">
        <is>
          <t>F-I-0009</t>
        </is>
      </c>
      <c r="B2918" s="12" t="inlineStr">
        <is>
          <t>F</t>
        </is>
      </c>
      <c r="C2918" s="12" t="inlineStr">
        <is>
          <t>Controls / service</t>
        </is>
      </c>
      <c r="D2918" s="12" t="inlineStr">
        <is>
          <t>Discrete device to JB JB-LS-1-DI01: 4 x 1 pr (field cables)</t>
        </is>
      </c>
      <c r="E2918" s="12" t="inlineStr">
        <is>
          <t>LS-1</t>
        </is>
      </c>
      <c r="F2918" s="12" t="inlineStr">
        <is>
          <t>LS-1: sanitary lift station (packaged duplex)</t>
        </is>
      </c>
      <c r="G2918" s="12" t="inlineStr">
        <is>
          <t>JB-LS-1-DI01</t>
        </is>
      </c>
      <c r="H2918" s="12" t="inlineStr">
        <is>
          <t>LS-1: sanitary lift station (packaged duplex)</t>
        </is>
      </c>
      <c r="I2918" s="12" t="inlineStr">
        <is>
          <t>Instrumentation</t>
        </is>
      </c>
      <c r="J2918" s="12" t="inlineStr">
        <is>
          <t>Instrumentation PLTC / TC-ER 300 V, #18 twisted shielded pairs, overall shield</t>
        </is>
      </c>
      <c r="K2918" s="12" t="inlineStr">
        <is>
          <t>PLTC|1 pr|16</t>
        </is>
      </c>
      <c r="L2918" s="12" t="inlineStr">
        <is>
          <t>1 pr</t>
        </is>
      </c>
      <c r="M2918" s="12" t="inlineStr">
        <is>
          <t>16</t>
        </is>
      </c>
      <c r="N2918" s="12" t="n">
        <v>4</v>
      </c>
      <c r="O2918" s="12" t="n">
        <v>1</v>
      </c>
      <c r="P2918" s="12" t="n"/>
      <c r="Q2918" s="12" t="n"/>
      <c r="R2918" s="12" t="n"/>
      <c r="S2918" s="12" t="inlineStr">
        <is>
          <t>Tray / conduit</t>
        </is>
      </c>
      <c r="T2918" s="15" t="n">
        <v>40</v>
      </c>
      <c r="U2918" s="15" t="n">
        <v>10</v>
      </c>
      <c r="V2918" s="15">
        <f>ROUNDUP((T2918+U2918+2*'Read Me'!$B$13)*(1+'Read Me'!$B$12),-1)</f>
        <v/>
      </c>
      <c r="W2918" s="15">
        <f>V2918*N2918*O2918</f>
        <v/>
      </c>
      <c r="X2918" s="12">
        <f>IF(LEFT(I2918,2)="MV",2*N2918*IF(L2918="1/C",O2918,1),0)</f>
        <v/>
      </c>
      <c r="Y2918" s="12">
        <f>IF(OR(LEFT(K2918,4)="LVAX",LEFT(K2918,6)="MV15AX",LEFT(K2918,4)="CTAX",LEFT(K2918,2)="W|"),2*N2918*O2918,0)</f>
        <v/>
      </c>
      <c r="Z2918" s="12" t="inlineStr">
        <is>
          <t>device-to-JB field wiring, one cable per device</t>
        </is>
      </c>
      <c r="AA2918" s="12">
        <f>N2918*O2918</f>
        <v/>
      </c>
    </row>
    <row r="2919">
      <c r="A2919" s="12" t="inlineStr">
        <is>
          <t>F-I-0010</t>
        </is>
      </c>
      <c r="B2919" s="12" t="inlineStr">
        <is>
          <t>F</t>
        </is>
      </c>
      <c r="C2919" s="12" t="inlineStr">
        <is>
          <t>Controls / service</t>
        </is>
      </c>
      <c r="D2919" s="12" t="inlineStr">
        <is>
          <t>Home run JB-LS-1-DI01 to the control / marshalling room</t>
        </is>
      </c>
      <c r="E2919" s="12" t="inlineStr">
        <is>
          <t>CR</t>
        </is>
      </c>
      <c r="F2919" s="12" t="inlineStr">
        <is>
          <t>Control / admin building (main control room)</t>
        </is>
      </c>
      <c r="G2919" s="12" t="inlineStr">
        <is>
          <t>JB-LS-1-DI01</t>
        </is>
      </c>
      <c r="H2919" s="12" t="inlineStr">
        <is>
          <t>LS-1: sanitary lift station (packaged duplex)</t>
        </is>
      </c>
      <c r="I2919" s="12" t="inlineStr">
        <is>
          <t>Instrumentation</t>
        </is>
      </c>
      <c r="J2919" s="12" t="inlineStr">
        <is>
          <t>Instrumentation PLTC / TC-ER 300 V, #18 twisted shielded pairs, overall shield</t>
        </is>
      </c>
      <c r="K2919" s="12" t="inlineStr">
        <is>
          <t>PLTC|24 pr|18</t>
        </is>
      </c>
      <c r="L2919" s="12" t="inlineStr">
        <is>
          <t>24 pr</t>
        </is>
      </c>
      <c r="M2919" s="12" t="inlineStr">
        <is>
          <t>18</t>
        </is>
      </c>
      <c r="N2919" s="12" t="n">
        <v>1</v>
      </c>
      <c r="O2919" s="12" t="n">
        <v>1</v>
      </c>
      <c r="P2919" s="12" t="n"/>
      <c r="Q2919" s="12" t="n"/>
      <c r="R2919" s="12" t="n"/>
      <c r="S2919" s="12" t="inlineStr">
        <is>
          <t>Duct bank</t>
        </is>
      </c>
      <c r="T2919" s="15" t="n">
        <v>326</v>
      </c>
      <c r="U2919" s="15" t="n">
        <v>32</v>
      </c>
      <c r="V2919" s="15">
        <f>ROUNDUP((T2919+U2919+2*'Read Me'!$B$13)*(1+'Read Me'!$B$12),-1)</f>
        <v/>
      </c>
      <c r="W2919" s="15">
        <f>V2919*N2919*O2919</f>
        <v/>
      </c>
      <c r="X2919" s="12">
        <f>IF(LEFT(I2919,2)="MV",2*N2919*IF(L2919="1/C",O2919,1),0)</f>
        <v/>
      </c>
      <c r="Y2919" s="12">
        <f>IF(OR(LEFT(K2919,4)="LVAX",LEFT(K2919,6)="MV15AX",LEFT(K2919,4)="CTAX",LEFT(K2919,2)="W|"),2*N2919*O2919,0)</f>
        <v/>
      </c>
      <c r="Z2919" s="12" t="inlineStr"/>
      <c r="AA2919" s="12">
        <f>N2919*O2919</f>
        <v/>
      </c>
    </row>
    <row r="2920">
      <c r="A2920" s="12" t="inlineStr">
        <is>
          <t>F-I-0011</t>
        </is>
      </c>
      <c r="B2920" s="12" t="inlineStr">
        <is>
          <t>F</t>
        </is>
      </c>
      <c r="C2920" s="12" t="inlineStr">
        <is>
          <t>Controls / service</t>
        </is>
      </c>
      <c r="D2920" s="12" t="inlineStr">
        <is>
          <t>Analog instrument to JB JB-Stormwater pump st-AI01: 4 x 1 pr (field cables)</t>
        </is>
      </c>
      <c r="E2920" s="12" t="inlineStr"/>
      <c r="F2920" s="12" t="inlineStr">
        <is>
          <t>Stormwater pump station (2 x 100% submersible pumps)</t>
        </is>
      </c>
      <c r="G2920" s="12" t="inlineStr">
        <is>
          <t>JB-Stormwater pump st-AI01</t>
        </is>
      </c>
      <c r="H2920" s="12" t="inlineStr">
        <is>
          <t>Stormwater pump station (2 x 100% submersible pumps)</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4</v>
      </c>
      <c r="O2920" s="12" t="n">
        <v>1</v>
      </c>
      <c r="P2920" s="12" t="n"/>
      <c r="Q2920" s="12" t="n"/>
      <c r="R2920" s="12" t="n"/>
      <c r="S2920" s="12" t="inlineStr">
        <is>
          <t>Tray / conduit</t>
        </is>
      </c>
      <c r="T2920" s="15" t="n">
        <v>72</v>
      </c>
      <c r="U2920" s="15" t="n">
        <v>10</v>
      </c>
      <c r="V2920" s="15">
        <f>ROUNDUP((T2920+U2920+2*'Read Me'!$B$13)*(1+'Read Me'!$B$12),-1)</f>
        <v/>
      </c>
      <c r="W2920" s="15">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F-I-0012</t>
        </is>
      </c>
      <c r="B2921" s="12" t="inlineStr">
        <is>
          <t>F</t>
        </is>
      </c>
      <c r="C2921" s="12" t="inlineStr">
        <is>
          <t>Controls / service</t>
        </is>
      </c>
      <c r="D2921" s="12" t="inlineStr">
        <is>
          <t>Home run JB-Stormwater pump st-AI01 to the control / marshalling room</t>
        </is>
      </c>
      <c r="E2921" s="12" t="inlineStr">
        <is>
          <t>CR</t>
        </is>
      </c>
      <c r="F2921" s="12" t="inlineStr">
        <is>
          <t>Control / admin building (main control room)</t>
        </is>
      </c>
      <c r="G2921" s="12" t="inlineStr">
        <is>
          <t>JB-Stormwater pump st-AI01</t>
        </is>
      </c>
      <c r="H2921" s="12" t="inlineStr">
        <is>
          <t>Stormwater pump station (2 x 100% submersible pumps)</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5" t="n">
        <v>1397</v>
      </c>
      <c r="U2921" s="15" t="n">
        <v>32</v>
      </c>
      <c r="V2921" s="15">
        <f>ROUNDUP((T2921+U2921+2*'Read Me'!$B$13)*(1+'Read Me'!$B$12),-1)</f>
        <v/>
      </c>
      <c r="W2921" s="15">
        <f>V2921*N2921*O2921</f>
        <v/>
      </c>
      <c r="X2921" s="12">
        <f>IF(LEFT(I2921,2)="MV",2*N2921*IF(L2921="1/C",O2921,1),0)</f>
        <v/>
      </c>
      <c r="Y2921" s="12">
        <f>IF(OR(LEFT(K2921,4)="LVAX",LEFT(K2921,6)="MV15AX",LEFT(K2921,4)="CTAX",LEFT(K2921,2)="W|"),2*N2921*O2921,0)</f>
        <v/>
      </c>
      <c r="Z2921" s="12" t="inlineStr"/>
      <c r="AA2921" s="12">
        <f>N2921*O2921</f>
        <v/>
      </c>
    </row>
    <row r="2922">
      <c r="A2922" s="12" t="inlineStr">
        <is>
          <t>F-I-0013</t>
        </is>
      </c>
      <c r="B2922" s="12" t="inlineStr">
        <is>
          <t>F</t>
        </is>
      </c>
      <c r="C2922" s="12" t="inlineStr">
        <is>
          <t>Controls / service</t>
        </is>
      </c>
      <c r="D2922" s="12" t="inlineStr">
        <is>
          <t>Discrete device to JB JB-Stormwater pump st-DI01: 6 x 1 pr (field cables)</t>
        </is>
      </c>
      <c r="E2922" s="12" t="inlineStr"/>
      <c r="F2922" s="12" t="inlineStr">
        <is>
          <t>Stormwater pump station (2 x 100% submersible pumps)</t>
        </is>
      </c>
      <c r="G2922" s="12" t="inlineStr">
        <is>
          <t>JB-Stormwater pump st-DI01</t>
        </is>
      </c>
      <c r="H2922" s="12" t="inlineStr">
        <is>
          <t>Stormwater pump station (2 x 100% submersible pumps)</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6</v>
      </c>
      <c r="O2922" s="12" t="n">
        <v>1</v>
      </c>
      <c r="P2922" s="12" t="n"/>
      <c r="Q2922" s="12" t="n"/>
      <c r="R2922" s="12" t="n"/>
      <c r="S2922" s="12" t="inlineStr">
        <is>
          <t>Tray / conduit</t>
        </is>
      </c>
      <c r="T2922" s="15" t="n">
        <v>72</v>
      </c>
      <c r="U2922" s="15" t="n">
        <v>10</v>
      </c>
      <c r="V2922" s="15">
        <f>ROUNDUP((T2922+U2922+2*'Read Me'!$B$13)*(1+'Read Me'!$B$12),-1)</f>
        <v/>
      </c>
      <c r="W2922" s="15">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F-I-0014</t>
        </is>
      </c>
      <c r="B2923" s="12" t="inlineStr">
        <is>
          <t>F</t>
        </is>
      </c>
      <c r="C2923" s="12" t="inlineStr">
        <is>
          <t>Controls / service</t>
        </is>
      </c>
      <c r="D2923" s="12" t="inlineStr">
        <is>
          <t>Home run JB-Stormwater pump st-DI01 to the control / marshalling room</t>
        </is>
      </c>
      <c r="E2923" s="12" t="inlineStr">
        <is>
          <t>CR</t>
        </is>
      </c>
      <c r="F2923" s="12" t="inlineStr">
        <is>
          <t>Control / admin building (main control room)</t>
        </is>
      </c>
      <c r="G2923" s="12" t="inlineStr">
        <is>
          <t>JB-Stormwater pump st-DI01</t>
        </is>
      </c>
      <c r="H2923" s="12" t="inlineStr">
        <is>
          <t>Stormwater pump station (2 x 100% submersible pumps)</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5" t="n">
        <v>1397</v>
      </c>
      <c r="U2923" s="15" t="n">
        <v>32</v>
      </c>
      <c r="V2923" s="15">
        <f>ROUNDUP((T2923+U2923+2*'Read Me'!$B$13)*(1+'Read Me'!$B$12),-1)</f>
        <v/>
      </c>
      <c r="W2923" s="15">
        <f>V2923*N2923*O2923</f>
        <v/>
      </c>
      <c r="X2923" s="12">
        <f>IF(LEFT(I2923,2)="MV",2*N2923*IF(L2923="1/C",O2923,1),0)</f>
        <v/>
      </c>
      <c r="Y2923" s="12">
        <f>IF(OR(LEFT(K2923,4)="LVAX",LEFT(K2923,6)="MV15AX",LEFT(K2923,4)="CTAX",LEFT(K2923,2)="W|"),2*N2923*O2923,0)</f>
        <v/>
      </c>
      <c r="Z2923" s="12" t="inlineStr"/>
      <c r="AA2923" s="12">
        <f>N2923*O2923</f>
        <v/>
      </c>
    </row>
    <row r="2924">
      <c r="A2924" s="12" t="inlineStr">
        <is>
          <t>F-P-0001</t>
        </is>
      </c>
      <c r="B2924" s="12" t="inlineStr">
        <is>
          <t>F</t>
        </is>
      </c>
      <c r="C2924" s="12" t="inlineStr">
        <is>
          <t>Controls / service</t>
        </is>
      </c>
      <c r="D2924" s="12" t="inlineStr">
        <is>
          <t>LV power feeder</t>
        </is>
      </c>
      <c r="E2924" s="12" t="inlineStr">
        <is>
          <t>MCC-C2</t>
        </is>
      </c>
      <c r="F2924" s="12" t="inlineStr">
        <is>
          <t>R1 MCC-C2</t>
        </is>
      </c>
      <c r="G2924" s="12" t="inlineStr">
        <is>
          <t>COMMS</t>
        </is>
      </c>
      <c r="H2924" s="12" t="inlineStr">
        <is>
          <t>Comms tower (lattice)</t>
        </is>
      </c>
      <c r="I2924" s="12" t="inlineStr">
        <is>
          <t>LV 600 V</t>
        </is>
      </c>
      <c r="J2924" s="12" t="inlineStr">
        <is>
          <t>Type TC-ER 600 V 3/C Cu XHHW-2 + ground, PVC jacket</t>
        </is>
      </c>
      <c r="K2924" s="12" t="inlineStr">
        <is>
          <t>LV|3/C+G|4</t>
        </is>
      </c>
      <c r="L2924" s="12" t="inlineStr">
        <is>
          <t>3/C+G</t>
        </is>
      </c>
      <c r="M2924" s="12" t="inlineStr">
        <is>
          <t>4</t>
        </is>
      </c>
      <c r="N2924" s="12" t="n">
        <v>1</v>
      </c>
      <c r="O2924" s="12" t="n">
        <v>1</v>
      </c>
      <c r="P2924" s="12" t="n">
        <v>480</v>
      </c>
      <c r="Q2924" s="12" t="n">
        <v>10</v>
      </c>
      <c r="R2924" s="12" t="n">
        <v>14.2</v>
      </c>
      <c r="S2924" s="12" t="inlineStr">
        <is>
          <t>Tray</t>
        </is>
      </c>
      <c r="T2924" s="15" t="n">
        <v>925</v>
      </c>
      <c r="U2924" s="15" t="n">
        <v>204</v>
      </c>
      <c r="V2924" s="15">
        <f>ROUNDUP((T2924+U2924+2*'Read Me'!$B$13)*(1+'Read Me'!$B$12),-1)</f>
        <v/>
      </c>
      <c r="W2924" s="15">
        <f>V2924*N2924*O2924</f>
        <v/>
      </c>
      <c r="X2924" s="12">
        <f>IF(LEFT(I2924,2)="MV",2*N2924*IF(L2924="1/C",O2924,1),0)</f>
        <v/>
      </c>
      <c r="Y2924" s="12">
        <f>IF(OR(LEFT(K2924,4)="LVAX",LEFT(K2924,6)="MV15AX",LEFT(K2924,4)="CTAX",LEFT(K2924,2)="W|"),2*N2924*O2924,0)</f>
        <v/>
      </c>
      <c r="Z2924" s="12" t="inlineStr">
        <is>
          <t>VD 2.0 %</t>
        </is>
      </c>
      <c r="AA2924" s="12">
        <f>N2924*O2924</f>
        <v/>
      </c>
    </row>
    <row r="2925">
      <c r="A2925" s="12" t="inlineStr">
        <is>
          <t>F-P-0002</t>
        </is>
      </c>
      <c r="B2925" s="12" t="inlineStr">
        <is>
          <t>F</t>
        </is>
      </c>
      <c r="C2925" s="12" t="inlineStr">
        <is>
          <t>Controls / service</t>
        </is>
      </c>
      <c r="D2925" s="12" t="inlineStr">
        <is>
          <t>LV panel / distribution feeder</t>
        </is>
      </c>
      <c r="E2925" s="12" t="inlineStr">
        <is>
          <t>MCC-C2</t>
        </is>
      </c>
      <c r="F2925" s="12" t="inlineStr">
        <is>
          <t>R1 MCC-C2</t>
        </is>
      </c>
      <c r="G2925" s="12" t="inlineStr">
        <is>
          <t>CR</t>
        </is>
      </c>
      <c r="H2925" s="12" t="inlineStr">
        <is>
          <t>Control / admin building (main control room)</t>
        </is>
      </c>
      <c r="I2925" s="12" t="inlineStr">
        <is>
          <t>LV 600 V</t>
        </is>
      </c>
      <c r="J2925" s="12" t="inlineStr">
        <is>
          <t>Type TC-ER 600 V 3/C Cu XHHW-2 + ground, PVC jacket</t>
        </is>
      </c>
      <c r="K2925" s="12" t="inlineStr">
        <is>
          <t>LV|3/C+G|500</t>
        </is>
      </c>
      <c r="L2925" s="12" t="inlineStr">
        <is>
          <t>3/C+G</t>
        </is>
      </c>
      <c r="M2925" s="12" t="inlineStr">
        <is>
          <t>500 kcmil</t>
        </is>
      </c>
      <c r="N2925" s="12" t="n">
        <v>1</v>
      </c>
      <c r="O2925" s="12" t="n">
        <v>1</v>
      </c>
      <c r="P2925" s="12" t="n">
        <v>480</v>
      </c>
      <c r="Q2925" s="12" t="n">
        <v>145</v>
      </c>
      <c r="R2925" s="12" t="n">
        <v>205.2</v>
      </c>
      <c r="S2925" s="12" t="inlineStr">
        <is>
          <t>Tray</t>
        </is>
      </c>
      <c r="T2925" s="15" t="n">
        <v>1048</v>
      </c>
      <c r="U2925" s="15" t="n">
        <v>109</v>
      </c>
      <c r="V2925" s="15">
        <f>ROUNDUP((T2925+U2925+2*'Read Me'!$B$13)*(1+'Read Me'!$B$12),-1)</f>
        <v/>
      </c>
      <c r="W2925" s="15">
        <f>V2925*N2925*O2925</f>
        <v/>
      </c>
      <c r="X2925" s="12">
        <f>IF(LEFT(I2925,2)="MV",2*N2925*IF(L2925="1/C",O2925,1),0)</f>
        <v/>
      </c>
      <c r="Y2925" s="12">
        <f>IF(OR(LEFT(K2925,4)="LVAX",LEFT(K2925,6)="MV15AX",LEFT(K2925,4)="CTAX",LEFT(K2925,2)="W|"),2*N2925*O2925,0)</f>
        <v/>
      </c>
      <c r="Z2925" s="12" t="inlineStr">
        <is>
          <t>VD 2.4 %</t>
        </is>
      </c>
      <c r="AA2925" s="12">
        <f>N2925*O2925</f>
        <v/>
      </c>
    </row>
    <row r="2926">
      <c r="A2926" s="12" t="inlineStr">
        <is>
          <t>F-P-0003</t>
        </is>
      </c>
      <c r="B2926" s="12" t="inlineStr">
        <is>
          <t>F</t>
        </is>
      </c>
      <c r="C2926" s="12" t="inlineStr">
        <is>
          <t>Controls / service</t>
        </is>
      </c>
      <c r="D2926" s="12" t="inlineStr">
        <is>
          <t>LV power feeder</t>
        </is>
      </c>
      <c r="E2926" s="12" t="inlineStr">
        <is>
          <t>MCC-C2</t>
        </is>
      </c>
      <c r="F2926" s="12" t="inlineStr">
        <is>
          <t>R1 MCC-C2</t>
        </is>
      </c>
      <c r="G2926" s="12" t="inlineStr">
        <is>
          <t>EDG-1</t>
        </is>
      </c>
      <c r="H2926" s="12" t="inlineStr">
        <is>
          <t>EDG-1: 3 MW emergency diesel generator (480 V)</t>
        </is>
      </c>
      <c r="I2926" s="12" t="inlineStr">
        <is>
          <t>LV 600 V</t>
        </is>
      </c>
      <c r="J2926" s="12" t="inlineStr">
        <is>
          <t>Type TC-ER 600 V 3/C Cu XHHW-2 + ground, PVC jacket</t>
        </is>
      </c>
      <c r="K2926" s="12" t="inlineStr">
        <is>
          <t>LV|3/C+G|4</t>
        </is>
      </c>
      <c r="L2926" s="12" t="inlineStr">
        <is>
          <t>3/C+G</t>
        </is>
      </c>
      <c r="M2926" s="12" t="inlineStr">
        <is>
          <t>4</t>
        </is>
      </c>
      <c r="N2926" s="12" t="n">
        <v>1</v>
      </c>
      <c r="O2926" s="12" t="n">
        <v>1</v>
      </c>
      <c r="P2926" s="12" t="n">
        <v>480</v>
      </c>
      <c r="Q2926" s="12" t="n">
        <v>15</v>
      </c>
      <c r="R2926" s="12" t="n">
        <v>21.2</v>
      </c>
      <c r="S2926" s="12" t="inlineStr">
        <is>
          <t>Tray</t>
        </is>
      </c>
      <c r="T2926" s="15" t="n">
        <v>949</v>
      </c>
      <c r="U2926" s="15" t="n">
        <v>139</v>
      </c>
      <c r="V2926" s="15">
        <f>ROUNDUP((T2926+U2926+2*'Read Me'!$B$13)*(1+'Read Me'!$B$12),-1)</f>
        <v/>
      </c>
      <c r="W2926" s="15">
        <f>V2926*N2926*O2926</f>
        <v/>
      </c>
      <c r="X2926" s="12">
        <f>IF(LEFT(I2926,2)="MV",2*N2926*IF(L2926="1/C",O2926,1),0)</f>
        <v/>
      </c>
      <c r="Y2926" s="12">
        <f>IF(OR(LEFT(K2926,4)="LVAX",LEFT(K2926,6)="MV15AX",LEFT(K2926,4)="CTAX",LEFT(K2926,2)="W|"),2*N2926*O2926,0)</f>
        <v/>
      </c>
      <c r="Z2926" s="12" t="inlineStr">
        <is>
          <t>VD 2.8 %</t>
        </is>
      </c>
      <c r="AA2926" s="12">
        <f>N2926*O2926</f>
        <v/>
      </c>
    </row>
    <row r="2927">
      <c r="A2927" s="12" t="inlineStr">
        <is>
          <t>F-P-0004</t>
        </is>
      </c>
      <c r="B2927" s="12" t="inlineStr">
        <is>
          <t>F</t>
        </is>
      </c>
      <c r="C2927" s="12" t="inlineStr">
        <is>
          <t>Controls / service</t>
        </is>
      </c>
      <c r="D2927" s="12" t="inlineStr">
        <is>
          <t>LV power feeder</t>
        </is>
      </c>
      <c r="E2927" s="12" t="inlineStr">
        <is>
          <t>MCC-C2</t>
        </is>
      </c>
      <c r="F2927" s="12" t="inlineStr">
        <is>
          <t>R1 MCC-C2</t>
        </is>
      </c>
      <c r="G2927" s="12" t="inlineStr">
        <is>
          <t>EDG-2</t>
        </is>
      </c>
      <c r="H2927" s="12" t="inlineStr">
        <is>
          <t>EDG-2: 3 MW emergency diesel generator (480 V)</t>
        </is>
      </c>
      <c r="I2927" s="12" t="inlineStr">
        <is>
          <t>LV 600 V</t>
        </is>
      </c>
      <c r="J2927" s="12" t="inlineStr">
        <is>
          <t>Type TC-ER 600 V 3/C Cu XHHW-2 + ground, PVC jacket</t>
        </is>
      </c>
      <c r="K2927" s="12" t="inlineStr">
        <is>
          <t>LV|3/C+G|4</t>
        </is>
      </c>
      <c r="L2927" s="12" t="inlineStr">
        <is>
          <t>3/C+G</t>
        </is>
      </c>
      <c r="M2927" s="12" t="inlineStr">
        <is>
          <t>4</t>
        </is>
      </c>
      <c r="N2927" s="12" t="n">
        <v>1</v>
      </c>
      <c r="O2927" s="12" t="n">
        <v>1</v>
      </c>
      <c r="P2927" s="12" t="n">
        <v>480</v>
      </c>
      <c r="Q2927" s="12" t="n">
        <v>15</v>
      </c>
      <c r="R2927" s="12" t="n">
        <v>21.2</v>
      </c>
      <c r="S2927" s="12" t="inlineStr">
        <is>
          <t>Tray</t>
        </is>
      </c>
      <c r="T2927" s="15" t="n">
        <v>984</v>
      </c>
      <c r="U2927" s="15" t="n">
        <v>142</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F-P-0005</t>
        </is>
      </c>
      <c r="B2928" s="12" t="inlineStr">
        <is>
          <t>F</t>
        </is>
      </c>
      <c r="C2928" s="12" t="inlineStr">
        <is>
          <t>Controls / service</t>
        </is>
      </c>
      <c r="D2928" s="12" t="inlineStr">
        <is>
          <t>LV panel / distribution feeder</t>
        </is>
      </c>
      <c r="E2928" s="12" t="inlineStr">
        <is>
          <t>MCC-C2</t>
        </is>
      </c>
      <c r="F2928" s="12" t="inlineStr">
        <is>
          <t>R1 MCC-C2</t>
        </is>
      </c>
      <c r="G2928" s="12" t="inlineStr"/>
      <c r="H2928" s="12" t="inlineStr">
        <is>
          <t>Gatehouse</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30</v>
      </c>
      <c r="R2928" s="12" t="n">
        <v>42.5</v>
      </c>
      <c r="S2928" s="12" t="inlineStr">
        <is>
          <t>Tray</t>
        </is>
      </c>
      <c r="T2928" s="15" t="n">
        <v>1135</v>
      </c>
      <c r="U2928" s="15" t="n">
        <v>109</v>
      </c>
      <c r="V2928" s="15">
        <f>ROUNDUP((T2928+U2928+2*'Read Me'!$B$13)*(1+'Read Me'!$B$12),-1)</f>
        <v/>
      </c>
      <c r="W2928" s="15">
        <f>V2928*N2928*O2928</f>
        <v/>
      </c>
      <c r="X2928" s="12">
        <f>IF(LEFT(I2928,2)="MV",2*N2928*IF(L2928="1/C",O2928,1),0)</f>
        <v/>
      </c>
      <c r="Y2928" s="12">
        <f>IF(OR(LEFT(K2928,4)="LVAX",LEFT(K2928,6)="MV15AX",LEFT(K2928,4)="CTAX",LEFT(K2928,2)="W|"),2*N2928*O2928,0)</f>
        <v/>
      </c>
      <c r="Z2928" s="12" t="inlineStr">
        <is>
          <t>VD 2.6 %</t>
        </is>
      </c>
      <c r="AA2928" s="12">
        <f>N2928*O2928</f>
        <v/>
      </c>
    </row>
    <row r="2929">
      <c r="A2929" s="12" t="inlineStr">
        <is>
          <t>F-P-0006</t>
        </is>
      </c>
      <c r="B2929" s="12" t="inlineStr">
        <is>
          <t>F</t>
        </is>
      </c>
      <c r="C2929" s="12" t="inlineStr">
        <is>
          <t>Controls / service</t>
        </is>
      </c>
      <c r="D2929" s="12" t="inlineStr">
        <is>
          <t>Motor 1 of 2, 7 kW</t>
        </is>
      </c>
      <c r="E2929" s="12" t="inlineStr">
        <is>
          <t>MCC-C2</t>
        </is>
      </c>
      <c r="F2929" s="12" t="inlineStr">
        <is>
          <t>R1 MCC-C2</t>
        </is>
      </c>
      <c r="G2929" s="12" t="inlineStr">
        <is>
          <t>LS-1</t>
        </is>
      </c>
      <c r="H2929" s="12" t="inlineStr">
        <is>
          <t>LS-1: sanitary lift station (packaged duplex)</t>
        </is>
      </c>
      <c r="I2929" s="12" t="inlineStr">
        <is>
          <t>LV 600 V</t>
        </is>
      </c>
      <c r="J2929" s="12" t="inlineStr">
        <is>
          <t>Type TC-ER 600 V 3/C Cu XHHW-2 + ground, PVC jacket</t>
        </is>
      </c>
      <c r="K2929" s="12" t="inlineStr">
        <is>
          <t>LV|3/C+G|8</t>
        </is>
      </c>
      <c r="L2929" s="12" t="inlineStr">
        <is>
          <t>3/C+G</t>
        </is>
      </c>
      <c r="M2929" s="12" t="inlineStr">
        <is>
          <t>8</t>
        </is>
      </c>
      <c r="N2929" s="12" t="n">
        <v>1</v>
      </c>
      <c r="O2929" s="12" t="n">
        <v>1</v>
      </c>
      <c r="P2929" s="12" t="n">
        <v>480</v>
      </c>
      <c r="Q2929" s="12" t="n">
        <v>7</v>
      </c>
      <c r="R2929" s="12" t="n">
        <v>9.9</v>
      </c>
      <c r="S2929" s="12" t="inlineStr">
        <is>
          <t>Tray</t>
        </is>
      </c>
      <c r="T2929" s="15" t="n">
        <v>820</v>
      </c>
      <c r="U2929" s="15" t="n">
        <v>146</v>
      </c>
      <c r="V2929" s="15">
        <f>ROUNDUP((T2929+U2929+2*'Read Me'!$B$13)*(1+'Read Me'!$B$12),-1)</f>
        <v/>
      </c>
      <c r="W2929" s="15">
        <f>V2929*N2929*O2929</f>
        <v/>
      </c>
      <c r="X2929" s="12">
        <f>IF(LEFT(I2929,2)="MV",2*N2929*IF(L2929="1/C",O2929,1),0)</f>
        <v/>
      </c>
      <c r="Y2929" s="12">
        <f>IF(OR(LEFT(K2929,4)="LVAX",LEFT(K2929,6)="MV15AX",LEFT(K2929,4)="CTAX",LEFT(K2929,2)="W|"),2*N2929*O2929,0)</f>
        <v/>
      </c>
      <c r="Z2929" s="12" t="inlineStr">
        <is>
          <t>VD 2.9 %</t>
        </is>
      </c>
      <c r="AA2929" s="12">
        <f>N2929*O2929</f>
        <v/>
      </c>
    </row>
    <row r="2930">
      <c r="A2930" s="12" t="inlineStr">
        <is>
          <t>F-P-0007</t>
        </is>
      </c>
      <c r="B2930" s="12" t="inlineStr">
        <is>
          <t>F</t>
        </is>
      </c>
      <c r="C2930" s="12" t="inlineStr">
        <is>
          <t>Controls / service</t>
        </is>
      </c>
      <c r="D2930" s="12" t="inlineStr">
        <is>
          <t>Motor 2 of 2, 7 kW</t>
        </is>
      </c>
      <c r="E2930" s="12" t="inlineStr">
        <is>
          <t>MCC-C2</t>
        </is>
      </c>
      <c r="F2930" s="12" t="inlineStr">
        <is>
          <t>R1 MCC-C2</t>
        </is>
      </c>
      <c r="G2930" s="12" t="inlineStr">
        <is>
          <t>LS-1</t>
        </is>
      </c>
      <c r="H2930" s="12" t="inlineStr">
        <is>
          <t>LS-1: sanitary lift station (packaged duplex)</t>
        </is>
      </c>
      <c r="I2930" s="12" t="inlineStr">
        <is>
          <t>LV 600 V</t>
        </is>
      </c>
      <c r="J2930" s="12" t="inlineStr">
        <is>
          <t>Type TC-ER 600 V 3/C Cu XHHW-2 + ground, PVC jacket</t>
        </is>
      </c>
      <c r="K2930" s="12" t="inlineStr">
        <is>
          <t>LV|3/C+G|8</t>
        </is>
      </c>
      <c r="L2930" s="12" t="inlineStr">
        <is>
          <t>3/C+G</t>
        </is>
      </c>
      <c r="M2930" s="12" t="inlineStr">
        <is>
          <t>8</t>
        </is>
      </c>
      <c r="N2930" s="12" t="n">
        <v>1</v>
      </c>
      <c r="O2930" s="12" t="n">
        <v>1</v>
      </c>
      <c r="P2930" s="12" t="n">
        <v>480</v>
      </c>
      <c r="Q2930" s="12" t="n">
        <v>7</v>
      </c>
      <c r="R2930" s="12" t="n">
        <v>9.9</v>
      </c>
      <c r="S2930" s="12" t="inlineStr">
        <is>
          <t>Tray</t>
        </is>
      </c>
      <c r="T2930" s="15" t="n">
        <v>820</v>
      </c>
      <c r="U2930" s="15" t="n">
        <v>146</v>
      </c>
      <c r="V2930" s="15">
        <f>ROUNDUP((T2930+U2930+2*'Read Me'!$B$13)*(1+'Read Me'!$B$12),-1)</f>
        <v/>
      </c>
      <c r="W2930" s="15">
        <f>V2930*N2930*O2930</f>
        <v/>
      </c>
      <c r="X2930" s="12">
        <f>IF(LEFT(I2930,2)="MV",2*N2930*IF(L2930="1/C",O2930,1),0)</f>
        <v/>
      </c>
      <c r="Y2930" s="12">
        <f>IF(OR(LEFT(K2930,4)="LVAX",LEFT(K2930,6)="MV15AX",LEFT(K2930,4)="CTAX",LEFT(K2930,2)="W|"),2*N2930*O2930,0)</f>
        <v/>
      </c>
      <c r="Z2930" s="12" t="inlineStr">
        <is>
          <t>VD 2.9 %</t>
        </is>
      </c>
      <c r="AA2930" s="12">
        <f>N2930*O2930</f>
        <v/>
      </c>
    </row>
    <row r="2931">
      <c r="A2931" s="12" t="inlineStr">
        <is>
          <t>F-P-0008</t>
        </is>
      </c>
      <c r="B2931" s="12" t="inlineStr">
        <is>
          <t>F</t>
        </is>
      </c>
      <c r="C2931" s="12" t="inlineStr">
        <is>
          <t>Controls / service</t>
        </is>
      </c>
      <c r="D2931" s="12" t="inlineStr">
        <is>
          <t>LV panel / distribution feeder</t>
        </is>
      </c>
      <c r="E2931" s="12" t="inlineStr">
        <is>
          <t>MCC-C2</t>
        </is>
      </c>
      <c r="F2931" s="12" t="inlineStr">
        <is>
          <t>R1 MCC-C2</t>
        </is>
      </c>
      <c r="G2931" s="12" t="inlineStr"/>
      <c r="H2931" s="12" t="inlineStr">
        <is>
          <t>Maintenance building / workshop</t>
        </is>
      </c>
      <c r="I2931" s="12" t="inlineStr">
        <is>
          <t>LV 600 V</t>
        </is>
      </c>
      <c r="J2931" s="12" t="inlineStr">
        <is>
          <t>Type TC-ER 600 V 3/C Cu XHHW-2 + ground, PVC jacket</t>
        </is>
      </c>
      <c r="K2931" s="12" t="inlineStr">
        <is>
          <t>LV|3/C+G|3/0</t>
        </is>
      </c>
      <c r="L2931" s="12" t="inlineStr">
        <is>
          <t>3/C+G</t>
        </is>
      </c>
      <c r="M2931" s="12" t="inlineStr">
        <is>
          <t>3/0</t>
        </is>
      </c>
      <c r="N2931" s="12" t="n">
        <v>1</v>
      </c>
      <c r="O2931" s="12" t="n">
        <v>1</v>
      </c>
      <c r="P2931" s="12" t="n">
        <v>480</v>
      </c>
      <c r="Q2931" s="12" t="n">
        <v>60</v>
      </c>
      <c r="R2931" s="12" t="n">
        <v>84.90000000000001</v>
      </c>
      <c r="S2931" s="12" t="inlineStr">
        <is>
          <t>Tray</t>
        </is>
      </c>
      <c r="T2931" s="15" t="n">
        <v>820</v>
      </c>
      <c r="U2931" s="15" t="n">
        <v>109</v>
      </c>
      <c r="V2931" s="15">
        <f>ROUNDUP((T2931+U2931+2*'Read Me'!$B$13)*(1+'Read Me'!$B$12),-1)</f>
        <v/>
      </c>
      <c r="W2931" s="15">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F-P-0009</t>
        </is>
      </c>
      <c r="B2932" s="12" t="inlineStr">
        <is>
          <t>F</t>
        </is>
      </c>
      <c r="C2932" s="12" t="inlineStr">
        <is>
          <t>Controls / service</t>
        </is>
      </c>
      <c r="D2932" s="12" t="inlineStr">
        <is>
          <t>Site / road lighting: 120 poles, buried circuits pole to pole</t>
        </is>
      </c>
      <c r="E2932" s="12" t="inlineStr"/>
      <c r="F2932" s="12" t="inlineStr">
        <is>
          <t>Site lighting: pole handholes and photocells</t>
        </is>
      </c>
      <c r="G2932" s="12" t="inlineStr"/>
      <c r="H2932" s="12" t="inlineStr">
        <is>
          <t>Site lighting: pole handholes and photocells</t>
        </is>
      </c>
      <c r="I2932" s="12" t="inlineStr">
        <is>
          <t>LV 600 V</t>
        </is>
      </c>
      <c r="J2932" s="12" t="inlineStr">
        <is>
          <t>Type TC-ER 600 V 3/C Cu XHHW-2 + ground, PVC jacket</t>
        </is>
      </c>
      <c r="K2932" s="12" t="inlineStr">
        <is>
          <t>LV|3/C+G|8</t>
        </is>
      </c>
      <c r="L2932" s="12" t="inlineStr">
        <is>
          <t>3/C+G</t>
        </is>
      </c>
      <c r="M2932" s="12" t="inlineStr">
        <is>
          <t>8</t>
        </is>
      </c>
      <c r="N2932" s="12" t="n">
        <v>120</v>
      </c>
      <c r="O2932" s="12" t="n">
        <v>1</v>
      </c>
      <c r="P2932" s="12" t="n">
        <v>480</v>
      </c>
      <c r="Q2932" s="12" t="n"/>
      <c r="R2932" s="12" t="n"/>
      <c r="S2932" s="12" t="inlineStr">
        <is>
          <t>Buried</t>
        </is>
      </c>
      <c r="T2932" s="15" t="n">
        <v>120</v>
      </c>
      <c r="U2932" s="15" t="n">
        <v>30</v>
      </c>
      <c r="V2932" s="15">
        <f>ROUNDUP((T2932+U2932+2*'Read Me'!$B$13)*(1+'Read Me'!$B$12),-1)</f>
        <v/>
      </c>
      <c r="W2932" s="15">
        <f>V2932*N2932*O2932</f>
        <v/>
      </c>
      <c r="X2932" s="12">
        <f>IF(LEFT(I2932,2)="MV",2*N2932*IF(L2932="1/C",O2932,1),0)</f>
        <v/>
      </c>
      <c r="Y2932" s="12">
        <f>IF(OR(LEFT(K2932,4)="LVAX",LEFT(K2932,6)="MV15AX",LEFT(K2932,4)="CTAX",LEFT(K2932,2)="W|"),2*N2932*O2932,0)</f>
        <v/>
      </c>
      <c r="Z2932" s="12" t="inlineStr">
        <is>
          <t>~120 ft between poles + riser</t>
        </is>
      </c>
      <c r="AA2932" s="12">
        <f>N2932*O2932</f>
        <v/>
      </c>
    </row>
    <row r="2933">
      <c r="A2933" s="12" t="inlineStr">
        <is>
          <t>F-P-0010</t>
        </is>
      </c>
      <c r="B2933" s="12" t="inlineStr">
        <is>
          <t>F</t>
        </is>
      </c>
      <c r="C2933" s="12" t="inlineStr">
        <is>
          <t>Controls / service</t>
        </is>
      </c>
      <c r="D2933" s="12" t="inlineStr">
        <is>
          <t>Motor 1 of 2, 75 kW</t>
        </is>
      </c>
      <c r="E2933" s="12" t="inlineStr">
        <is>
          <t>MCC-C2</t>
        </is>
      </c>
      <c r="F2933" s="12" t="inlineStr">
        <is>
          <t>R1 MCC-C2</t>
        </is>
      </c>
      <c r="G2933" s="12" t="inlineStr"/>
      <c r="H2933" s="12" t="inlineStr">
        <is>
          <t>Stormwater pump station (2 x 100% submersible pumps)</t>
        </is>
      </c>
      <c r="I2933" s="12" t="inlineStr">
        <is>
          <t>LV 600 V</t>
        </is>
      </c>
      <c r="J2933" s="12" t="inlineStr">
        <is>
          <t>Type TC-ER 600 V 3/C Cu XHHW-2 + ground, PVC jacket</t>
        </is>
      </c>
      <c r="K2933" s="12" t="inlineStr">
        <is>
          <t>LV|3/C+G|500</t>
        </is>
      </c>
      <c r="L2933" s="12" t="inlineStr">
        <is>
          <t>3/C+G</t>
        </is>
      </c>
      <c r="M2933" s="12" t="inlineStr">
        <is>
          <t>500 kcmil</t>
        </is>
      </c>
      <c r="N2933" s="12" t="n">
        <v>1</v>
      </c>
      <c r="O2933" s="12" t="n">
        <v>1</v>
      </c>
      <c r="P2933" s="12" t="n">
        <v>480</v>
      </c>
      <c r="Q2933" s="12" t="n">
        <v>75</v>
      </c>
      <c r="R2933" s="12" t="n">
        <v>106.1</v>
      </c>
      <c r="S2933" s="12" t="inlineStr">
        <is>
          <t>Duct bank</t>
        </is>
      </c>
      <c r="T2933" s="15" t="n">
        <v>1917</v>
      </c>
      <c r="U2933" s="15" t="n">
        <v>109</v>
      </c>
      <c r="V2933" s="15">
        <f>ROUNDUP((T2933+U2933+2*'Read Me'!$B$13)*(1+'Read Me'!$B$12),-1)</f>
        <v/>
      </c>
      <c r="W2933" s="15">
        <f>V2933*N2933*O2933</f>
        <v/>
      </c>
      <c r="X2933" s="12">
        <f>IF(LEFT(I2933,2)="MV",2*N2933*IF(L2933="1/C",O2933,1),0)</f>
        <v/>
      </c>
      <c r="Y2933" s="12">
        <f>IF(OR(LEFT(K2933,4)="LVAX",LEFT(K2933,6)="MV15AX",LEFT(K2933,4)="CTAX",LEFT(K2933,2)="W|"),2*N2933*O2933,0)</f>
        <v/>
      </c>
      <c r="Z2933" s="12" t="inlineStr">
        <is>
          <t>VD 2.2 %</t>
        </is>
      </c>
      <c r="AA2933" s="12">
        <f>N2933*O2933</f>
        <v/>
      </c>
    </row>
    <row r="2934">
      <c r="A2934" s="12" t="inlineStr">
        <is>
          <t>F-P-0011</t>
        </is>
      </c>
      <c r="B2934" s="12" t="inlineStr">
        <is>
          <t>F</t>
        </is>
      </c>
      <c r="C2934" s="12" t="inlineStr">
        <is>
          <t>Controls / service</t>
        </is>
      </c>
      <c r="D2934" s="12" t="inlineStr">
        <is>
          <t>Motor 2 of 2, 75 kW</t>
        </is>
      </c>
      <c r="E2934" s="12" t="inlineStr">
        <is>
          <t>MCC-C2</t>
        </is>
      </c>
      <c r="F2934" s="12" t="inlineStr">
        <is>
          <t>R1 MCC-C2</t>
        </is>
      </c>
      <c r="G2934" s="12" t="inlineStr"/>
      <c r="H2934" s="12" t="inlineStr">
        <is>
          <t>Stormwater pump station (2 x 100% submersible pumps)</t>
        </is>
      </c>
      <c r="I2934" s="12" t="inlineStr">
        <is>
          <t>LV 600 V</t>
        </is>
      </c>
      <c r="J2934" s="12" t="inlineStr">
        <is>
          <t>Type TC-ER 600 V 3/C Cu XHHW-2 + ground, PVC jacket</t>
        </is>
      </c>
      <c r="K2934" s="12" t="inlineStr">
        <is>
          <t>LV|3/C+G|500</t>
        </is>
      </c>
      <c r="L2934" s="12" t="inlineStr">
        <is>
          <t>3/C+G</t>
        </is>
      </c>
      <c r="M2934" s="12" t="inlineStr">
        <is>
          <t>500 kcmil</t>
        </is>
      </c>
      <c r="N2934" s="12" t="n">
        <v>1</v>
      </c>
      <c r="O2934" s="12" t="n">
        <v>1</v>
      </c>
      <c r="P2934" s="12" t="n">
        <v>480</v>
      </c>
      <c r="Q2934" s="12" t="n">
        <v>75</v>
      </c>
      <c r="R2934" s="12" t="n">
        <v>106.1</v>
      </c>
      <c r="S2934" s="12" t="inlineStr">
        <is>
          <t>Duct bank</t>
        </is>
      </c>
      <c r="T2934" s="15" t="n">
        <v>1917</v>
      </c>
      <c r="U2934" s="15" t="n">
        <v>109</v>
      </c>
      <c r="V2934" s="15">
        <f>ROUNDUP((T2934+U2934+2*'Read Me'!$B$13)*(1+'Read Me'!$B$12),-1)</f>
        <v/>
      </c>
      <c r="W2934" s="15">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F-P-0012</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Warehouse</t>
        </is>
      </c>
      <c r="I2935" s="12" t="inlineStr">
        <is>
          <t>LV 600 V</t>
        </is>
      </c>
      <c r="J2935" s="12" t="inlineStr">
        <is>
          <t>Type TC-ER 600 V 3/C Cu XHHW-2 + ground, PVC jacket</t>
        </is>
      </c>
      <c r="K2935" s="12" t="inlineStr">
        <is>
          <t>LV|3/C+G|500</t>
        </is>
      </c>
      <c r="L2935" s="12" t="inlineStr">
        <is>
          <t>3/C+G</t>
        </is>
      </c>
      <c r="M2935" s="12" t="inlineStr">
        <is>
          <t>500 kcmil</t>
        </is>
      </c>
      <c r="N2935" s="12" t="n">
        <v>1</v>
      </c>
      <c r="O2935" s="12" t="n">
        <v>1</v>
      </c>
      <c r="P2935" s="12" t="n">
        <v>480</v>
      </c>
      <c r="Q2935" s="12" t="n">
        <v>204</v>
      </c>
      <c r="R2935" s="12" t="n">
        <v>288.7</v>
      </c>
      <c r="S2935" s="12" t="inlineStr">
        <is>
          <t>Tray</t>
        </is>
      </c>
      <c r="T2935" s="15" t="n">
        <v>820</v>
      </c>
      <c r="U2935" s="15" t="n">
        <v>168</v>
      </c>
      <c r="V2935" s="15">
        <f>ROUNDUP((T2935+U2935+2*'Read Me'!$B$13)*(1+'Read Me'!$B$12),-1)</f>
        <v/>
      </c>
      <c r="W2935" s="15">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G-L-0001</t>
        </is>
      </c>
      <c r="B2936" s="12" t="inlineStr">
        <is>
          <t>G</t>
        </is>
      </c>
      <c r="C2936" s="12" t="inlineStr">
        <is>
          <t>Carbon capture</t>
        </is>
      </c>
      <c r="D2936" s="12" t="inlineStr">
        <is>
          <t>Lighting, receptacles and small power branch circuits (allowance)</t>
        </is>
      </c>
      <c r="E2936" s="12" t="inlineStr"/>
      <c r="F2936" s="12" t="inlineStr">
        <is>
          <t>CCS F&amp;G / control</t>
        </is>
      </c>
      <c r="G2936" s="12" t="inlineStr"/>
      <c r="H2936" s="12" t="inlineStr">
        <is>
          <t>CCS F&amp;G / control</t>
        </is>
      </c>
      <c r="I2936" s="12" t="inlineStr">
        <is>
          <t>Building wire</t>
        </is>
      </c>
      <c r="J2936" s="12" t="inlineStr">
        <is>
          <t>SIMpull THHN/THWN-2 600 V 1/C Cu (lighting, receptacles, small power)</t>
        </is>
      </c>
      <c r="K2936" s="12" t="inlineStr">
        <is>
          <t>THHN|1/C|12</t>
        </is>
      </c>
      <c r="L2936" s="12" t="inlineStr">
        <is>
          <t>1/C</t>
        </is>
      </c>
      <c r="M2936" s="12" t="inlineStr">
        <is>
          <t>12</t>
        </is>
      </c>
      <c r="N2936" s="12" t="n">
        <v>1</v>
      </c>
      <c r="O2936" s="12" t="n">
        <v>1</v>
      </c>
      <c r="P2936" s="12" t="n">
        <v>277</v>
      </c>
      <c r="Q2936" s="12" t="n"/>
      <c r="R2936" s="12" t="n"/>
      <c r="S2936" s="12" t="inlineStr">
        <is>
          <t>Conduit</t>
        </is>
      </c>
      <c r="T2936" s="15" t="n">
        <v>5400</v>
      </c>
      <c r="U2936" s="15" t="n">
        <v>0</v>
      </c>
      <c r="V2936" s="15">
        <f>ROUNDUP((T2936+U2936+2*'Read Me'!$B$13)*(1+'Read Me'!$B$12),-1)</f>
        <v/>
      </c>
      <c r="W2936" s="15">
        <f>V2936*N2936*O2936</f>
        <v/>
      </c>
      <c r="X2936" s="12">
        <f>IF(LEFT(I2936,2)="MV",2*N2936*IF(L2936="1/C",O2936,1),0)</f>
        <v/>
      </c>
      <c r="Y2936" s="12">
        <f>IF(OR(LEFT(K2936,4)="LVAX",LEFT(K2936,6)="MV15AX",LEFT(K2936,4)="CTAX",LEFT(K2936,2)="W|"),2*N2936*O2936,0)</f>
        <v/>
      </c>
      <c r="Z2936" s="12" t="inlineStr">
        <is>
          <t>allowance: 1.6 ft of conductor per ft2 of floor</t>
        </is>
      </c>
      <c r="AA2936" s="12">
        <f>N2936*O2936</f>
        <v/>
      </c>
    </row>
    <row r="2937">
      <c r="A2937" s="12" t="inlineStr">
        <is>
          <t>G-L-0002</t>
        </is>
      </c>
      <c r="B2937" s="12" t="inlineStr">
        <is>
          <t>G</t>
        </is>
      </c>
      <c r="C2937" s="12" t="inlineStr">
        <is>
          <t>Carbon capture</t>
        </is>
      </c>
      <c r="D2937" s="12" t="inlineStr">
        <is>
          <t>Lighting, receptacles and small power branch circuits (allowance)</t>
        </is>
      </c>
      <c r="E2937" s="12" t="inlineStr"/>
      <c r="F2937" s="12" t="inlineStr">
        <is>
          <t>CCS MV switchgear building (VFDs)</t>
        </is>
      </c>
      <c r="G2937" s="12" t="inlineStr"/>
      <c r="H2937" s="12" t="inlineStr">
        <is>
          <t>CCS MV switchgear building (VFDs)</t>
        </is>
      </c>
      <c r="I2937" s="12" t="inlineStr">
        <is>
          <t>Building wire</t>
        </is>
      </c>
      <c r="J2937" s="12" t="inlineStr">
        <is>
          <t>SIMpull THHN/THWN-2 600 V 1/C Cu (lighting, receptacles, small power)</t>
        </is>
      </c>
      <c r="K2937" s="12" t="inlineStr">
        <is>
          <t>THHN|1/C|12</t>
        </is>
      </c>
      <c r="L2937" s="12" t="inlineStr">
        <is>
          <t>1/C</t>
        </is>
      </c>
      <c r="M2937" s="12" t="inlineStr">
        <is>
          <t>12</t>
        </is>
      </c>
      <c r="N2937" s="12" t="n">
        <v>1</v>
      </c>
      <c r="O2937" s="12" t="n">
        <v>1</v>
      </c>
      <c r="P2937" s="12" t="n">
        <v>277</v>
      </c>
      <c r="Q2937" s="12" t="n"/>
      <c r="R2937" s="12" t="n"/>
      <c r="S2937" s="12" t="inlineStr">
        <is>
          <t>Conduit</t>
        </is>
      </c>
      <c r="T2937" s="15" t="n">
        <v>14560</v>
      </c>
      <c r="U2937" s="15" t="n">
        <v>0</v>
      </c>
      <c r="V2937" s="15">
        <f>ROUNDUP((T2937+U2937+2*'Read Me'!$B$13)*(1+'Read Me'!$B$12),-1)</f>
        <v/>
      </c>
      <c r="W2937" s="15">
        <f>V2937*N2937*O2937</f>
        <v/>
      </c>
      <c r="X2937" s="12">
        <f>IF(LEFT(I2937,2)="MV",2*N2937*IF(L2937="1/C",O2937,1),0)</f>
        <v/>
      </c>
      <c r="Y2937" s="12">
        <f>IF(OR(LEFT(K2937,4)="LVAX",LEFT(K2937,6)="MV15AX",LEFT(K2937,4)="CTAX",LEFT(K2937,2)="W|"),2*N2937*O2937,0)</f>
        <v/>
      </c>
      <c r="Z2937" s="12" t="inlineStr">
        <is>
          <t>allowance: 1.6 ft of conductor per ft2 of floor</t>
        </is>
      </c>
      <c r="AA2937" s="12">
        <f>N2937*O2937</f>
        <v/>
      </c>
    </row>
    <row r="2938">
      <c r="A2938" s="12" t="inlineStr">
        <is>
          <t>G-L-0003</t>
        </is>
      </c>
      <c r="B2938" s="12" t="inlineStr">
        <is>
          <t>G</t>
        </is>
      </c>
      <c r="C2938" s="12" t="inlineStr">
        <is>
          <t>Carbon capture</t>
        </is>
      </c>
      <c r="D2938" s="12" t="inlineStr">
        <is>
          <t>Lighting, receptacles and small power branch circuits (allowance)</t>
        </is>
      </c>
      <c r="E2938" s="12" t="inlineStr"/>
      <c r="F2938" s="12" t="inlineStr">
        <is>
          <t>CT MCC / VFD e-house</t>
        </is>
      </c>
      <c r="G2938" s="12" t="inlineStr"/>
      <c r="H2938" s="12" t="inlineStr">
        <is>
          <t>CT MCC / VFD e-house</t>
        </is>
      </c>
      <c r="I2938" s="12" t="inlineStr">
        <is>
          <t>Building wire</t>
        </is>
      </c>
      <c r="J2938" s="12" t="inlineStr">
        <is>
          <t>SIMpull THHN/THWN-2 600 V 1/C Cu (lighting, receptacles, small power)</t>
        </is>
      </c>
      <c r="K2938" s="12" t="inlineStr">
        <is>
          <t>THHN|1/C|12</t>
        </is>
      </c>
      <c r="L2938" s="12" t="inlineStr">
        <is>
          <t>1/C</t>
        </is>
      </c>
      <c r="M2938" s="12" t="inlineStr">
        <is>
          <t>12</t>
        </is>
      </c>
      <c r="N2938" s="12" t="n">
        <v>1</v>
      </c>
      <c r="O2938" s="12" t="n">
        <v>1</v>
      </c>
      <c r="P2938" s="12" t="n">
        <v>277</v>
      </c>
      <c r="Q2938" s="12" t="n"/>
      <c r="R2938" s="12" t="n"/>
      <c r="S2938" s="12" t="inlineStr">
        <is>
          <t>Conduit</t>
        </is>
      </c>
      <c r="T2938" s="15" t="n">
        <v>7920</v>
      </c>
      <c r="U2938" s="15" t="n">
        <v>0</v>
      </c>
      <c r="V2938" s="15">
        <f>ROUNDUP((T2938+U2938+2*'Read Me'!$B$13)*(1+'Read Me'!$B$12),-1)</f>
        <v/>
      </c>
      <c r="W2938" s="15">
        <f>V2938*N2938*O2938</f>
        <v/>
      </c>
      <c r="X2938" s="12">
        <f>IF(LEFT(I2938,2)="MV",2*N2938*IF(L2938="1/C",O2938,1),0)</f>
        <v/>
      </c>
      <c r="Y2938" s="12">
        <f>IF(OR(LEFT(K2938,4)="LVAX",LEFT(K2938,6)="MV15AX",LEFT(K2938,4)="CTAX",LEFT(K2938,2)="W|"),2*N2938*O2938,0)</f>
        <v/>
      </c>
      <c r="Z2938" s="12" t="inlineStr">
        <is>
          <t>allowance: 1.6 ft of conductor per ft2 of floor</t>
        </is>
      </c>
      <c r="AA2938" s="12">
        <f>N2938*O2938</f>
        <v/>
      </c>
    </row>
    <row r="2939">
      <c r="A2939" s="12" t="inlineStr">
        <is>
          <t>G-C-0001</t>
        </is>
      </c>
      <c r="B2939" s="12" t="inlineStr">
        <is>
          <t>G</t>
        </is>
      </c>
      <c r="C2939" s="12" t="inlineStr">
        <is>
          <t>Carbon capture</t>
        </is>
      </c>
      <c r="D2939" s="12" t="inlineStr">
        <is>
          <t>MOV 1: control</t>
        </is>
      </c>
      <c r="E2939" s="12" t="inlineStr"/>
      <c r="F2939" s="12" t="inlineStr">
        <is>
          <t>CCS MV switchgear building (VFDs)</t>
        </is>
      </c>
      <c r="G2939" s="12" t="inlineStr">
        <is>
          <t>ABS-A</t>
        </is>
      </c>
      <c r="H2939" s="12" t="inlineStr">
        <is>
          <t>Absorber A (62 ft dia x 262 ft, stack to 313 ft)</t>
        </is>
      </c>
      <c r="I2939" s="12" t="inlineStr">
        <is>
          <t>Control</t>
        </is>
      </c>
      <c r="J2939" s="12" t="inlineStr">
        <is>
          <t>Control cable 600 V Type TC-ER, Cu #14 AWG, PVC jacket</t>
        </is>
      </c>
      <c r="K2939" s="12" t="inlineStr">
        <is>
          <t>CT|12/C|14</t>
        </is>
      </c>
      <c r="L2939" s="12" t="inlineStr">
        <is>
          <t>12/C</t>
        </is>
      </c>
      <c r="M2939" s="12" t="inlineStr">
        <is>
          <t>14</t>
        </is>
      </c>
      <c r="N2939" s="12" t="n">
        <v>1</v>
      </c>
      <c r="O2939" s="12" t="n">
        <v>1</v>
      </c>
      <c r="P2939" s="12" t="n"/>
      <c r="Q2939" s="12" t="n"/>
      <c r="R2939" s="12" t="n"/>
      <c r="S2939" s="12" t="inlineStr">
        <is>
          <t>Tray</t>
        </is>
      </c>
      <c r="T2939" s="15" t="n">
        <v>624</v>
      </c>
      <c r="U2939" s="15" t="n">
        <v>50</v>
      </c>
      <c r="V2939" s="15">
        <f>ROUNDUP((T2939+U2939+2*'Read Me'!$B$13)*(1+'Read Me'!$B$12),-1)</f>
        <v/>
      </c>
      <c r="W2939" s="15">
        <f>V2939*N2939*O2939</f>
        <v/>
      </c>
      <c r="X2939" s="12">
        <f>IF(LEFT(I2939,2)="MV",2*N2939*IF(L2939="1/C",O2939,1),0)</f>
        <v/>
      </c>
      <c r="Y2939" s="12">
        <f>IF(OR(LEFT(K2939,4)="LVAX",LEFT(K2939,6)="MV15AX",LEFT(K2939,4)="CTAX",LEFT(K2939,2)="W|"),2*N2939*O2939,0)</f>
        <v/>
      </c>
      <c r="Z2939" s="12" t="inlineStr"/>
      <c r="AA2939" s="12">
        <f>N2939*O2939</f>
        <v/>
      </c>
    </row>
    <row r="2940">
      <c r="A2940" s="12" t="inlineStr">
        <is>
          <t>G-C-0002</t>
        </is>
      </c>
      <c r="B2940" s="12" t="inlineStr">
        <is>
          <t>G</t>
        </is>
      </c>
      <c r="C2940" s="12" t="inlineStr">
        <is>
          <t>Carbon capture</t>
        </is>
      </c>
      <c r="D2940" s="12" t="inlineStr">
        <is>
          <t>MOV 2: control</t>
        </is>
      </c>
      <c r="E2940" s="12" t="inlineStr"/>
      <c r="F2940" s="12" t="inlineStr">
        <is>
          <t>CCS MV switchgear building (VFDs)</t>
        </is>
      </c>
      <c r="G2940" s="12" t="inlineStr">
        <is>
          <t>ABS-A</t>
        </is>
      </c>
      <c r="H2940" s="12" t="inlineStr">
        <is>
          <t>Absorber A (62 ft dia x 262 ft, stack to 313 ft)</t>
        </is>
      </c>
      <c r="I2940" s="12" t="inlineStr">
        <is>
          <t>Control</t>
        </is>
      </c>
      <c r="J2940" s="12" t="inlineStr">
        <is>
          <t>Control cable 600 V Type TC-ER, Cu #14 AWG, PVC jacket</t>
        </is>
      </c>
      <c r="K2940" s="12" t="inlineStr">
        <is>
          <t>CT|12/C|14</t>
        </is>
      </c>
      <c r="L2940" s="12" t="inlineStr">
        <is>
          <t>12/C</t>
        </is>
      </c>
      <c r="M2940" s="12" t="inlineStr">
        <is>
          <t>14</t>
        </is>
      </c>
      <c r="N2940" s="12" t="n">
        <v>1</v>
      </c>
      <c r="O2940" s="12" t="n">
        <v>1</v>
      </c>
      <c r="P2940" s="12" t="n"/>
      <c r="Q2940" s="12" t="n"/>
      <c r="R2940" s="12" t="n"/>
      <c r="S2940" s="12" t="inlineStr">
        <is>
          <t>Tray</t>
        </is>
      </c>
      <c r="T2940" s="15" t="n">
        <v>624</v>
      </c>
      <c r="U2940" s="15" t="n">
        <v>50</v>
      </c>
      <c r="V2940" s="15">
        <f>ROUNDUP((T2940+U2940+2*'Read Me'!$B$13)*(1+'Read Me'!$B$12),-1)</f>
        <v/>
      </c>
      <c r="W2940" s="15">
        <f>V2940*N2940*O2940</f>
        <v/>
      </c>
      <c r="X2940" s="12">
        <f>IF(LEFT(I2940,2)="MV",2*N2940*IF(L2940="1/C",O2940,1),0)</f>
        <v/>
      </c>
      <c r="Y2940" s="12">
        <f>IF(OR(LEFT(K2940,4)="LVAX",LEFT(K2940,6)="MV15AX",LEFT(K2940,4)="CTAX",LEFT(K2940,2)="W|"),2*N2940*O2940,0)</f>
        <v/>
      </c>
      <c r="Z2940" s="12" t="inlineStr"/>
      <c r="AA2940" s="12">
        <f>N2940*O2940</f>
        <v/>
      </c>
    </row>
    <row r="2941">
      <c r="A2941" s="12" t="inlineStr">
        <is>
          <t>G-C-0003</t>
        </is>
      </c>
      <c r="B2941" s="12" t="inlineStr">
        <is>
          <t>G</t>
        </is>
      </c>
      <c r="C2941" s="12" t="inlineStr">
        <is>
          <t>Carbon capture</t>
        </is>
      </c>
      <c r="D2941" s="12" t="inlineStr">
        <is>
          <t>MOV 3: control</t>
        </is>
      </c>
      <c r="E2941" s="12" t="inlineStr"/>
      <c r="F2941" s="12" t="inlineStr">
        <is>
          <t>CCS MV switchgear building (VFDs)</t>
        </is>
      </c>
      <c r="G2941" s="12" t="inlineStr">
        <is>
          <t>ABS-A</t>
        </is>
      </c>
      <c r="H2941" s="12" t="inlineStr">
        <is>
          <t>Absorber A (62 ft dia x 262 ft, stack to 313 ft)</t>
        </is>
      </c>
      <c r="I2941" s="12" t="inlineStr">
        <is>
          <t>Control</t>
        </is>
      </c>
      <c r="J2941" s="12" t="inlineStr">
        <is>
          <t>Control cable 600 V Type TC-ER, Cu #14 AWG, PVC jacket</t>
        </is>
      </c>
      <c r="K2941" s="12" t="inlineStr">
        <is>
          <t>CT|12/C|14</t>
        </is>
      </c>
      <c r="L2941" s="12" t="inlineStr">
        <is>
          <t>12/C</t>
        </is>
      </c>
      <c r="M2941" s="12" t="inlineStr">
        <is>
          <t>14</t>
        </is>
      </c>
      <c r="N2941" s="12" t="n">
        <v>1</v>
      </c>
      <c r="O2941" s="12" t="n">
        <v>1</v>
      </c>
      <c r="P2941" s="12" t="n"/>
      <c r="Q2941" s="12" t="n"/>
      <c r="R2941" s="12" t="n"/>
      <c r="S2941" s="12" t="inlineStr">
        <is>
          <t>Tray</t>
        </is>
      </c>
      <c r="T2941" s="15" t="n">
        <v>624</v>
      </c>
      <c r="U2941" s="15" t="n">
        <v>50</v>
      </c>
      <c r="V2941" s="15">
        <f>ROUNDUP((T2941+U2941+2*'Read Me'!$B$13)*(1+'Read Me'!$B$12),-1)</f>
        <v/>
      </c>
      <c r="W2941" s="15">
        <f>V2941*N2941*O2941</f>
        <v/>
      </c>
      <c r="X2941" s="12">
        <f>IF(LEFT(I2941,2)="MV",2*N2941*IF(L2941="1/C",O2941,1),0)</f>
        <v/>
      </c>
      <c r="Y2941" s="12">
        <f>IF(OR(LEFT(K2941,4)="LVAX",LEFT(K2941,6)="MV15AX",LEFT(K2941,4)="CTAX",LEFT(K2941,2)="W|"),2*N2941*O2941,0)</f>
        <v/>
      </c>
      <c r="Z2941" s="12" t="inlineStr"/>
      <c r="AA2941" s="12">
        <f>N2941*O2941</f>
        <v/>
      </c>
    </row>
    <row r="2942">
      <c r="A2942" s="12" t="inlineStr">
        <is>
          <t>G-C-0004</t>
        </is>
      </c>
      <c r="B2942" s="12" t="inlineStr">
        <is>
          <t>G</t>
        </is>
      </c>
      <c r="C2942" s="12" t="inlineStr">
        <is>
          <t>Carbon capture</t>
        </is>
      </c>
      <c r="D2942" s="12" t="inlineStr">
        <is>
          <t>MOV 4: control</t>
        </is>
      </c>
      <c r="E2942" s="12" t="inlineStr"/>
      <c r="F2942" s="12" t="inlineStr">
        <is>
          <t>CCS MV switchgear building (VFDs)</t>
        </is>
      </c>
      <c r="G2942" s="12" t="inlineStr">
        <is>
          <t>ABS-A</t>
        </is>
      </c>
      <c r="H2942" s="12" t="inlineStr">
        <is>
          <t>Absorber A (62 ft dia x 262 ft, stack to 313 ft)</t>
        </is>
      </c>
      <c r="I2942" s="12" t="inlineStr">
        <is>
          <t>Control</t>
        </is>
      </c>
      <c r="J2942" s="12" t="inlineStr">
        <is>
          <t>Control cable 600 V Type TC-ER, Cu #14 AWG, PVC jacket</t>
        </is>
      </c>
      <c r="K2942" s="12" t="inlineStr">
        <is>
          <t>CT|12/C|14</t>
        </is>
      </c>
      <c r="L2942" s="12" t="inlineStr">
        <is>
          <t>12/C</t>
        </is>
      </c>
      <c r="M2942" s="12" t="inlineStr">
        <is>
          <t>14</t>
        </is>
      </c>
      <c r="N2942" s="12" t="n">
        <v>1</v>
      </c>
      <c r="O2942" s="12" t="n">
        <v>1</v>
      </c>
      <c r="P2942" s="12" t="n"/>
      <c r="Q2942" s="12" t="n"/>
      <c r="R2942" s="12" t="n"/>
      <c r="S2942" s="12" t="inlineStr">
        <is>
          <t>Tray</t>
        </is>
      </c>
      <c r="T2942" s="15" t="n">
        <v>624</v>
      </c>
      <c r="U2942" s="15" t="n">
        <v>50</v>
      </c>
      <c r="V2942" s="15">
        <f>ROUNDUP((T2942+U2942+2*'Read Me'!$B$13)*(1+'Read Me'!$B$12),-1)</f>
        <v/>
      </c>
      <c r="W2942" s="15">
        <f>V2942*N2942*O2942</f>
        <v/>
      </c>
      <c r="X2942" s="12">
        <f>IF(LEFT(I2942,2)="MV",2*N2942*IF(L2942="1/C",O2942,1),0)</f>
        <v/>
      </c>
      <c r="Y2942" s="12">
        <f>IF(OR(LEFT(K2942,4)="LVAX",LEFT(K2942,6)="MV15AX",LEFT(K2942,4)="CTAX",LEFT(K2942,2)="W|"),2*N2942*O2942,0)</f>
        <v/>
      </c>
      <c r="Z2942" s="12" t="inlineStr"/>
      <c r="AA2942" s="12">
        <f>N2942*O2942</f>
        <v/>
      </c>
    </row>
    <row r="2943">
      <c r="A2943" s="12" t="inlineStr">
        <is>
          <t>G-C-0005</t>
        </is>
      </c>
      <c r="B2943" s="12" t="inlineStr">
        <is>
          <t>G</t>
        </is>
      </c>
      <c r="C2943" s="12" t="inlineStr">
        <is>
          <t>Carbon capture</t>
        </is>
      </c>
      <c r="D2943" s="12" t="inlineStr">
        <is>
          <t>MOV 5: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5" t="n">
        <v>624</v>
      </c>
      <c r="U2943" s="15" t="n">
        <v>50</v>
      </c>
      <c r="V2943" s="15">
        <f>ROUNDUP((T2943+U2943+2*'Read Me'!$B$13)*(1+'Read Me'!$B$12),-1)</f>
        <v/>
      </c>
      <c r="W2943" s="15">
        <f>V2943*N2943*O2943</f>
        <v/>
      </c>
      <c r="X2943" s="12">
        <f>IF(LEFT(I2943,2)="MV",2*N2943*IF(L2943="1/C",O2943,1),0)</f>
        <v/>
      </c>
      <c r="Y2943" s="12">
        <f>IF(OR(LEFT(K2943,4)="LVAX",LEFT(K2943,6)="MV15AX",LEFT(K2943,4)="CTAX",LEFT(K2943,2)="W|"),2*N2943*O2943,0)</f>
        <v/>
      </c>
      <c r="Z2943" s="12" t="inlineStr"/>
      <c r="AA2943" s="12">
        <f>N2943*O2943</f>
        <v/>
      </c>
    </row>
    <row r="2944">
      <c r="A2944" s="12" t="inlineStr">
        <is>
          <t>G-C-0006</t>
        </is>
      </c>
      <c r="B2944" s="12" t="inlineStr">
        <is>
          <t>G</t>
        </is>
      </c>
      <c r="C2944" s="12" t="inlineStr">
        <is>
          <t>Carbon capture</t>
        </is>
      </c>
      <c r="D2944" s="12" t="inlineStr">
        <is>
          <t>MOV 6: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5" t="n">
        <v>624</v>
      </c>
      <c r="U2944" s="15" t="n">
        <v>50</v>
      </c>
      <c r="V2944" s="15">
        <f>ROUNDUP((T2944+U2944+2*'Read Me'!$B$13)*(1+'Read Me'!$B$12),-1)</f>
        <v/>
      </c>
      <c r="W2944" s="15">
        <f>V2944*N2944*O2944</f>
        <v/>
      </c>
      <c r="X2944" s="12">
        <f>IF(LEFT(I2944,2)="MV",2*N2944*IF(L2944="1/C",O2944,1),0)</f>
        <v/>
      </c>
      <c r="Y2944" s="12">
        <f>IF(OR(LEFT(K2944,4)="LVAX",LEFT(K2944,6)="MV15AX",LEFT(K2944,4)="CTAX",LEFT(K2944,2)="W|"),2*N2944*O2944,0)</f>
        <v/>
      </c>
      <c r="Z2944" s="12" t="inlineStr"/>
      <c r="AA2944" s="12">
        <f>N2944*O2944</f>
        <v/>
      </c>
    </row>
    <row r="2945">
      <c r="A2945" s="12" t="inlineStr">
        <is>
          <t>G-C-0007</t>
        </is>
      </c>
      <c r="B2945" s="12" t="inlineStr">
        <is>
          <t>G</t>
        </is>
      </c>
      <c r="C2945" s="12" t="inlineStr">
        <is>
          <t>Carbon capture</t>
        </is>
      </c>
      <c r="D2945" s="12" t="inlineStr">
        <is>
          <t>MOV 7: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5" t="n">
        <v>624</v>
      </c>
      <c r="U2945" s="15" t="n">
        <v>50</v>
      </c>
      <c r="V2945" s="15">
        <f>ROUNDUP((T2945+U2945+2*'Read Me'!$B$13)*(1+'Read Me'!$B$12),-1)</f>
        <v/>
      </c>
      <c r="W2945" s="15">
        <f>V2945*N2945*O2945</f>
        <v/>
      </c>
      <c r="X2945" s="12">
        <f>IF(LEFT(I2945,2)="MV",2*N2945*IF(L2945="1/C",O2945,1),0)</f>
        <v/>
      </c>
      <c r="Y2945" s="12">
        <f>IF(OR(LEFT(K2945,4)="LVAX",LEFT(K2945,6)="MV15AX",LEFT(K2945,4)="CTAX",LEFT(K2945,2)="W|"),2*N2945*O2945,0)</f>
        <v/>
      </c>
      <c r="Z2945" s="12" t="inlineStr"/>
      <c r="AA2945" s="12">
        <f>N2945*O2945</f>
        <v/>
      </c>
    </row>
    <row r="2946">
      <c r="A2946" s="12" t="inlineStr">
        <is>
          <t>G-C-0008</t>
        </is>
      </c>
      <c r="B2946" s="12" t="inlineStr">
        <is>
          <t>G</t>
        </is>
      </c>
      <c r="C2946" s="12" t="inlineStr">
        <is>
          <t>Carbon capture</t>
        </is>
      </c>
      <c r="D2946" s="12" t="inlineStr">
        <is>
          <t>MOV 8: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5" t="n">
        <v>624</v>
      </c>
      <c r="U2946" s="15" t="n">
        <v>50</v>
      </c>
      <c r="V2946" s="15">
        <f>ROUNDUP((T2946+U2946+2*'Read Me'!$B$13)*(1+'Read Me'!$B$12),-1)</f>
        <v/>
      </c>
      <c r="W2946" s="15">
        <f>V2946*N2946*O2946</f>
        <v/>
      </c>
      <c r="X2946" s="12">
        <f>IF(LEFT(I2946,2)="MV",2*N2946*IF(L2946="1/C",O2946,1),0)</f>
        <v/>
      </c>
      <c r="Y2946" s="12">
        <f>IF(OR(LEFT(K2946,4)="LVAX",LEFT(K2946,6)="MV15AX",LEFT(K2946,4)="CTAX",LEFT(K2946,2)="W|"),2*N2946*O2946,0)</f>
        <v/>
      </c>
      <c r="Z2946" s="12" t="inlineStr"/>
      <c r="AA2946" s="12">
        <f>N2946*O2946</f>
        <v/>
      </c>
    </row>
    <row r="2947">
      <c r="A2947" s="12" t="inlineStr">
        <is>
          <t>G-C-0009</t>
        </is>
      </c>
      <c r="B2947" s="12" t="inlineStr">
        <is>
          <t>G</t>
        </is>
      </c>
      <c r="C2947" s="12" t="inlineStr">
        <is>
          <t>Carbon capture</t>
        </is>
      </c>
      <c r="D2947" s="12" t="inlineStr">
        <is>
          <t>MOV 9: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5" t="n">
        <v>624</v>
      </c>
      <c r="U2947" s="15" t="n">
        <v>50</v>
      </c>
      <c r="V2947" s="15">
        <f>ROUNDUP((T2947+U2947+2*'Read Me'!$B$13)*(1+'Read Me'!$B$12),-1)</f>
        <v/>
      </c>
      <c r="W2947" s="15">
        <f>V2947*N2947*O2947</f>
        <v/>
      </c>
      <c r="X2947" s="12">
        <f>IF(LEFT(I2947,2)="MV",2*N2947*IF(L2947="1/C",O2947,1),0)</f>
        <v/>
      </c>
      <c r="Y2947" s="12">
        <f>IF(OR(LEFT(K2947,4)="LVAX",LEFT(K2947,6)="MV15AX",LEFT(K2947,4)="CTAX",LEFT(K2947,2)="W|"),2*N2947*O2947,0)</f>
        <v/>
      </c>
      <c r="Z2947" s="12" t="inlineStr"/>
      <c r="AA2947" s="12">
        <f>N2947*O2947</f>
        <v/>
      </c>
    </row>
    <row r="2948">
      <c r="A2948" s="12" t="inlineStr">
        <is>
          <t>G-C-0010</t>
        </is>
      </c>
      <c r="B2948" s="12" t="inlineStr">
        <is>
          <t>G</t>
        </is>
      </c>
      <c r="C2948" s="12" t="inlineStr">
        <is>
          <t>Carbon capture</t>
        </is>
      </c>
      <c r="D2948" s="12" t="inlineStr">
        <is>
          <t>MOV 10: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5" t="n">
        <v>624</v>
      </c>
      <c r="U2948" s="15" t="n">
        <v>50</v>
      </c>
      <c r="V2948" s="15">
        <f>ROUNDUP((T2948+U2948+2*'Read Me'!$B$13)*(1+'Read Me'!$B$12),-1)</f>
        <v/>
      </c>
      <c r="W2948" s="15">
        <f>V2948*N2948*O2948</f>
        <v/>
      </c>
      <c r="X2948" s="12">
        <f>IF(LEFT(I2948,2)="MV",2*N2948*IF(L2948="1/C",O2948,1),0)</f>
        <v/>
      </c>
      <c r="Y2948" s="12">
        <f>IF(OR(LEFT(K2948,4)="LVAX",LEFT(K2948,6)="MV15AX",LEFT(K2948,4)="CTAX",LEFT(K2948,2)="W|"),2*N2948*O2948,0)</f>
        <v/>
      </c>
      <c r="Z2948" s="12" t="inlineStr"/>
      <c r="AA2948" s="12">
        <f>N2948*O2948</f>
        <v/>
      </c>
    </row>
    <row r="2949">
      <c r="A2949" s="12" t="inlineStr">
        <is>
          <t>G-C-0011</t>
        </is>
      </c>
      <c r="B2949" s="12" t="inlineStr">
        <is>
          <t>G</t>
        </is>
      </c>
      <c r="C2949" s="12" t="inlineStr">
        <is>
          <t>Carbon capture</t>
        </is>
      </c>
      <c r="D2949" s="12" t="inlineStr">
        <is>
          <t>Motor 1 of 2: control / local station</t>
        </is>
      </c>
      <c r="E2949" s="12" t="inlineStr"/>
      <c r="F2949" s="12" t="inlineStr">
        <is>
          <t>CCS MV switchgear building (VFDs)</t>
        </is>
      </c>
      <c r="G2949" s="12" t="inlineStr"/>
      <c r="H2949" s="12" t="inlineStr">
        <is>
          <t>Absorber A intercooler (pumps + plate exchanger)</t>
        </is>
      </c>
      <c r="I2949" s="12" t="inlineStr">
        <is>
          <t>Control</t>
        </is>
      </c>
      <c r="J2949" s="12" t="inlineStr">
        <is>
          <t>Control cable 600 V Type TC-ER, Cu #14 AWG, PVC jacket</t>
        </is>
      </c>
      <c r="K2949" s="12" t="inlineStr">
        <is>
          <t>CT|7/C|14</t>
        </is>
      </c>
      <c r="L2949" s="12" t="inlineStr">
        <is>
          <t>7/C</t>
        </is>
      </c>
      <c r="M2949" s="12" t="inlineStr">
        <is>
          <t>14</t>
        </is>
      </c>
      <c r="N2949" s="12" t="n">
        <v>1</v>
      </c>
      <c r="O2949" s="12" t="n">
        <v>1</v>
      </c>
      <c r="P2949" s="12" t="n"/>
      <c r="Q2949" s="12" t="n"/>
      <c r="R2949" s="12" t="n"/>
      <c r="S2949" s="12" t="inlineStr">
        <is>
          <t>Tray</t>
        </is>
      </c>
      <c r="T2949" s="15" t="n">
        <v>606</v>
      </c>
      <c r="U2949" s="15" t="n">
        <v>51</v>
      </c>
      <c r="V2949" s="15">
        <f>ROUNDUP((T2949+U2949+2*'Read Me'!$B$13)*(1+'Read Me'!$B$12),-1)</f>
        <v/>
      </c>
      <c r="W2949" s="15">
        <f>V2949*N2949*O2949</f>
        <v/>
      </c>
      <c r="X2949" s="12">
        <f>IF(LEFT(I2949,2)="MV",2*N2949*IF(L2949="1/C",O2949,1),0)</f>
        <v/>
      </c>
      <c r="Y2949" s="12">
        <f>IF(OR(LEFT(K2949,4)="LVAX",LEFT(K2949,6)="MV15AX",LEFT(K2949,4)="CTAX",LEFT(K2949,2)="W|"),2*N2949*O2949,0)</f>
        <v/>
      </c>
      <c r="Z2949" s="12" t="inlineStr"/>
      <c r="AA2949" s="12">
        <f>N2949*O2949</f>
        <v/>
      </c>
    </row>
    <row r="2950">
      <c r="A2950" s="12" t="inlineStr">
        <is>
          <t>G-C-0012</t>
        </is>
      </c>
      <c r="B2950" s="12" t="inlineStr">
        <is>
          <t>G</t>
        </is>
      </c>
      <c r="C2950" s="12" t="inlineStr">
        <is>
          <t>Carbon capture</t>
        </is>
      </c>
      <c r="D2950" s="12" t="inlineStr">
        <is>
          <t>Motor 2 of 2: control / local station</t>
        </is>
      </c>
      <c r="E2950" s="12" t="inlineStr"/>
      <c r="F2950" s="12" t="inlineStr">
        <is>
          <t>CCS MV switchgear building (VFDs)</t>
        </is>
      </c>
      <c r="G2950" s="12" t="inlineStr"/>
      <c r="H2950" s="12" t="inlineStr">
        <is>
          <t>Absorber A intercooler (pumps + plate exchanger)</t>
        </is>
      </c>
      <c r="I2950" s="12" t="inlineStr">
        <is>
          <t>Control</t>
        </is>
      </c>
      <c r="J2950" s="12" t="inlineStr">
        <is>
          <t>Control cable 600 V Type TC-ER, Cu #14 AWG, PVC jacket</t>
        </is>
      </c>
      <c r="K2950" s="12" t="inlineStr">
        <is>
          <t>CT|7/C|14</t>
        </is>
      </c>
      <c r="L2950" s="12" t="inlineStr">
        <is>
          <t>7/C</t>
        </is>
      </c>
      <c r="M2950" s="12" t="inlineStr">
        <is>
          <t>14</t>
        </is>
      </c>
      <c r="N2950" s="12" t="n">
        <v>1</v>
      </c>
      <c r="O2950" s="12" t="n">
        <v>1</v>
      </c>
      <c r="P2950" s="12" t="n"/>
      <c r="Q2950" s="12" t="n"/>
      <c r="R2950" s="12" t="n"/>
      <c r="S2950" s="12" t="inlineStr">
        <is>
          <t>Tray</t>
        </is>
      </c>
      <c r="T2950" s="15" t="n">
        <v>606</v>
      </c>
      <c r="U2950" s="15" t="n">
        <v>51</v>
      </c>
      <c r="V2950" s="15">
        <f>ROUNDUP((T2950+U2950+2*'Read Me'!$B$13)*(1+'Read Me'!$B$12),-1)</f>
        <v/>
      </c>
      <c r="W2950" s="15">
        <f>V2950*N2950*O2950</f>
        <v/>
      </c>
      <c r="X2950" s="12">
        <f>IF(LEFT(I2950,2)="MV",2*N2950*IF(L2950="1/C",O2950,1),0)</f>
        <v/>
      </c>
      <c r="Y2950" s="12">
        <f>IF(OR(LEFT(K2950,4)="LVAX",LEFT(K2950,6)="MV15AX",LEFT(K2950,4)="CTAX",LEFT(K2950,2)="W|"),2*N2950*O2950,0)</f>
        <v/>
      </c>
      <c r="Z2950" s="12" t="inlineStr"/>
      <c r="AA2950" s="12">
        <f>N2950*O2950</f>
        <v/>
      </c>
    </row>
    <row r="2951">
      <c r="A2951" s="12" t="inlineStr">
        <is>
          <t>G-C-0013</t>
        </is>
      </c>
      <c r="B2951" s="12" t="inlineStr">
        <is>
          <t>G</t>
        </is>
      </c>
      <c r="C2951" s="12" t="inlineStr">
        <is>
          <t>Carbon capture</t>
        </is>
      </c>
      <c r="D2951" s="12" t="inlineStr">
        <is>
          <t>MOV 1: control</t>
        </is>
      </c>
      <c r="E2951" s="12" t="inlineStr"/>
      <c r="F2951" s="12" t="inlineStr">
        <is>
          <t>CCS MV switchgear building (VFDs)</t>
        </is>
      </c>
      <c r="G2951" s="12" t="inlineStr">
        <is>
          <t>ABS-B</t>
        </is>
      </c>
      <c r="H2951" s="12" t="inlineStr">
        <is>
          <t>Absorber B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5" t="n">
        <v>464</v>
      </c>
      <c r="U2951" s="15" t="n">
        <v>50</v>
      </c>
      <c r="V2951" s="15">
        <f>ROUNDUP((T2951+U2951+2*'Read Me'!$B$13)*(1+'Read Me'!$B$12),-1)</f>
        <v/>
      </c>
      <c r="W2951" s="15">
        <f>V2951*N2951*O2951</f>
        <v/>
      </c>
      <c r="X2951" s="12">
        <f>IF(LEFT(I2951,2)="MV",2*N2951*IF(L2951="1/C",O2951,1),0)</f>
        <v/>
      </c>
      <c r="Y2951" s="12">
        <f>IF(OR(LEFT(K2951,4)="LVAX",LEFT(K2951,6)="MV15AX",LEFT(K2951,4)="CTAX",LEFT(K2951,2)="W|"),2*N2951*O2951,0)</f>
        <v/>
      </c>
      <c r="Z2951" s="12" t="inlineStr"/>
      <c r="AA2951" s="12">
        <f>N2951*O2951</f>
        <v/>
      </c>
    </row>
    <row r="2952">
      <c r="A2952" s="12" t="inlineStr">
        <is>
          <t>G-C-0014</t>
        </is>
      </c>
      <c r="B2952" s="12" t="inlineStr">
        <is>
          <t>G</t>
        </is>
      </c>
      <c r="C2952" s="12" t="inlineStr">
        <is>
          <t>Carbon capture</t>
        </is>
      </c>
      <c r="D2952" s="12" t="inlineStr">
        <is>
          <t>MOV 2: control</t>
        </is>
      </c>
      <c r="E2952" s="12" t="inlineStr"/>
      <c r="F2952" s="12" t="inlineStr">
        <is>
          <t>CCS MV switchgear building (VFDs)</t>
        </is>
      </c>
      <c r="G2952" s="12" t="inlineStr">
        <is>
          <t>ABS-B</t>
        </is>
      </c>
      <c r="H2952" s="12" t="inlineStr">
        <is>
          <t>Absorber B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5" t="n">
        <v>464</v>
      </c>
      <c r="U2952" s="15" t="n">
        <v>50</v>
      </c>
      <c r="V2952" s="15">
        <f>ROUNDUP((T2952+U2952+2*'Read Me'!$B$13)*(1+'Read Me'!$B$12),-1)</f>
        <v/>
      </c>
      <c r="W2952" s="15">
        <f>V2952*N2952*O2952</f>
        <v/>
      </c>
      <c r="X2952" s="12">
        <f>IF(LEFT(I2952,2)="MV",2*N2952*IF(L2952="1/C",O2952,1),0)</f>
        <v/>
      </c>
      <c r="Y2952" s="12">
        <f>IF(OR(LEFT(K2952,4)="LVAX",LEFT(K2952,6)="MV15AX",LEFT(K2952,4)="CTAX",LEFT(K2952,2)="W|"),2*N2952*O2952,0)</f>
        <v/>
      </c>
      <c r="Z2952" s="12" t="inlineStr"/>
      <c r="AA2952" s="12">
        <f>N2952*O2952</f>
        <v/>
      </c>
    </row>
    <row r="2953">
      <c r="A2953" s="12" t="inlineStr">
        <is>
          <t>G-C-0015</t>
        </is>
      </c>
      <c r="B2953" s="12" t="inlineStr">
        <is>
          <t>G</t>
        </is>
      </c>
      <c r="C2953" s="12" t="inlineStr">
        <is>
          <t>Carbon capture</t>
        </is>
      </c>
      <c r="D2953" s="12" t="inlineStr">
        <is>
          <t>MOV 3: control</t>
        </is>
      </c>
      <c r="E2953" s="12" t="inlineStr"/>
      <c r="F2953" s="12" t="inlineStr">
        <is>
          <t>CCS MV switchgear building (VFDs)</t>
        </is>
      </c>
      <c r="G2953" s="12" t="inlineStr">
        <is>
          <t>ABS-B</t>
        </is>
      </c>
      <c r="H2953" s="12" t="inlineStr">
        <is>
          <t>Absorber B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5" t="n">
        <v>464</v>
      </c>
      <c r="U2953" s="15" t="n">
        <v>50</v>
      </c>
      <c r="V2953" s="15">
        <f>ROUNDUP((T2953+U2953+2*'Read Me'!$B$13)*(1+'Read Me'!$B$12),-1)</f>
        <v/>
      </c>
      <c r="W2953" s="15">
        <f>V2953*N2953*O2953</f>
        <v/>
      </c>
      <c r="X2953" s="12">
        <f>IF(LEFT(I2953,2)="MV",2*N2953*IF(L2953="1/C",O2953,1),0)</f>
        <v/>
      </c>
      <c r="Y2953" s="12">
        <f>IF(OR(LEFT(K2953,4)="LVAX",LEFT(K2953,6)="MV15AX",LEFT(K2953,4)="CTAX",LEFT(K2953,2)="W|"),2*N2953*O2953,0)</f>
        <v/>
      </c>
      <c r="Z2953" s="12" t="inlineStr"/>
      <c r="AA2953" s="12">
        <f>N2953*O2953</f>
        <v/>
      </c>
    </row>
    <row r="2954">
      <c r="A2954" s="12" t="inlineStr">
        <is>
          <t>G-C-0016</t>
        </is>
      </c>
      <c r="B2954" s="12" t="inlineStr">
        <is>
          <t>G</t>
        </is>
      </c>
      <c r="C2954" s="12" t="inlineStr">
        <is>
          <t>Carbon capture</t>
        </is>
      </c>
      <c r="D2954" s="12" t="inlineStr">
        <is>
          <t>MOV 4: control</t>
        </is>
      </c>
      <c r="E2954" s="12" t="inlineStr"/>
      <c r="F2954" s="12" t="inlineStr">
        <is>
          <t>CCS MV switchgear building (VFDs)</t>
        </is>
      </c>
      <c r="G2954" s="12" t="inlineStr">
        <is>
          <t>ABS-B</t>
        </is>
      </c>
      <c r="H2954" s="12" t="inlineStr">
        <is>
          <t>Absorber B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5" t="n">
        <v>464</v>
      </c>
      <c r="U2954" s="15" t="n">
        <v>50</v>
      </c>
      <c r="V2954" s="15">
        <f>ROUNDUP((T2954+U2954+2*'Read Me'!$B$13)*(1+'Read Me'!$B$12),-1)</f>
        <v/>
      </c>
      <c r="W2954" s="15">
        <f>V2954*N2954*O2954</f>
        <v/>
      </c>
      <c r="X2954" s="12">
        <f>IF(LEFT(I2954,2)="MV",2*N2954*IF(L2954="1/C",O2954,1),0)</f>
        <v/>
      </c>
      <c r="Y2954" s="12">
        <f>IF(OR(LEFT(K2954,4)="LVAX",LEFT(K2954,6)="MV15AX",LEFT(K2954,4)="CTAX",LEFT(K2954,2)="W|"),2*N2954*O2954,0)</f>
        <v/>
      </c>
      <c r="Z2954" s="12" t="inlineStr"/>
      <c r="AA2954" s="12">
        <f>N2954*O2954</f>
        <v/>
      </c>
    </row>
    <row r="2955">
      <c r="A2955" s="12" t="inlineStr">
        <is>
          <t>G-C-0017</t>
        </is>
      </c>
      <c r="B2955" s="12" t="inlineStr">
        <is>
          <t>G</t>
        </is>
      </c>
      <c r="C2955" s="12" t="inlineStr">
        <is>
          <t>Carbon capture</t>
        </is>
      </c>
      <c r="D2955" s="12" t="inlineStr">
        <is>
          <t>MOV 5: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5" t="n">
        <v>464</v>
      </c>
      <c r="U2955" s="15" t="n">
        <v>50</v>
      </c>
      <c r="V2955" s="15">
        <f>ROUNDUP((T2955+U2955+2*'Read Me'!$B$13)*(1+'Read Me'!$B$12),-1)</f>
        <v/>
      </c>
      <c r="W2955" s="15">
        <f>V2955*N2955*O2955</f>
        <v/>
      </c>
      <c r="X2955" s="12">
        <f>IF(LEFT(I2955,2)="MV",2*N2955*IF(L2955="1/C",O2955,1),0)</f>
        <v/>
      </c>
      <c r="Y2955" s="12">
        <f>IF(OR(LEFT(K2955,4)="LVAX",LEFT(K2955,6)="MV15AX",LEFT(K2955,4)="CTAX",LEFT(K2955,2)="W|"),2*N2955*O2955,0)</f>
        <v/>
      </c>
      <c r="Z2955" s="12" t="inlineStr"/>
      <c r="AA2955" s="12">
        <f>N2955*O2955</f>
        <v/>
      </c>
    </row>
    <row r="2956">
      <c r="A2956" s="12" t="inlineStr">
        <is>
          <t>G-C-0018</t>
        </is>
      </c>
      <c r="B2956" s="12" t="inlineStr">
        <is>
          <t>G</t>
        </is>
      </c>
      <c r="C2956" s="12" t="inlineStr">
        <is>
          <t>Carbon capture</t>
        </is>
      </c>
      <c r="D2956" s="12" t="inlineStr">
        <is>
          <t>MOV 6: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5" t="n">
        <v>464</v>
      </c>
      <c r="U2956" s="15" t="n">
        <v>50</v>
      </c>
      <c r="V2956" s="15">
        <f>ROUNDUP((T2956+U2956+2*'Read Me'!$B$13)*(1+'Read Me'!$B$12),-1)</f>
        <v/>
      </c>
      <c r="W2956" s="15">
        <f>V2956*N2956*O2956</f>
        <v/>
      </c>
      <c r="X2956" s="12">
        <f>IF(LEFT(I2956,2)="MV",2*N2956*IF(L2956="1/C",O2956,1),0)</f>
        <v/>
      </c>
      <c r="Y2956" s="12">
        <f>IF(OR(LEFT(K2956,4)="LVAX",LEFT(K2956,6)="MV15AX",LEFT(K2956,4)="CTAX",LEFT(K2956,2)="W|"),2*N2956*O2956,0)</f>
        <v/>
      </c>
      <c r="Z2956" s="12" t="inlineStr"/>
      <c r="AA2956" s="12">
        <f>N2956*O2956</f>
        <v/>
      </c>
    </row>
    <row r="2957">
      <c r="A2957" s="12" t="inlineStr">
        <is>
          <t>G-C-0019</t>
        </is>
      </c>
      <c r="B2957" s="12" t="inlineStr">
        <is>
          <t>G</t>
        </is>
      </c>
      <c r="C2957" s="12" t="inlineStr">
        <is>
          <t>Carbon capture</t>
        </is>
      </c>
      <c r="D2957" s="12" t="inlineStr">
        <is>
          <t>MOV 7: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5" t="n">
        <v>464</v>
      </c>
      <c r="U2957" s="15" t="n">
        <v>50</v>
      </c>
      <c r="V2957" s="15">
        <f>ROUNDUP((T2957+U2957+2*'Read Me'!$B$13)*(1+'Read Me'!$B$12),-1)</f>
        <v/>
      </c>
      <c r="W2957" s="15">
        <f>V2957*N2957*O2957</f>
        <v/>
      </c>
      <c r="X2957" s="12">
        <f>IF(LEFT(I2957,2)="MV",2*N2957*IF(L2957="1/C",O2957,1),0)</f>
        <v/>
      </c>
      <c r="Y2957" s="12">
        <f>IF(OR(LEFT(K2957,4)="LVAX",LEFT(K2957,6)="MV15AX",LEFT(K2957,4)="CTAX",LEFT(K2957,2)="W|"),2*N2957*O2957,0)</f>
        <v/>
      </c>
      <c r="Z2957" s="12" t="inlineStr"/>
      <c r="AA2957" s="12">
        <f>N2957*O2957</f>
        <v/>
      </c>
    </row>
    <row r="2958">
      <c r="A2958" s="12" t="inlineStr">
        <is>
          <t>G-C-0020</t>
        </is>
      </c>
      <c r="B2958" s="12" t="inlineStr">
        <is>
          <t>G</t>
        </is>
      </c>
      <c r="C2958" s="12" t="inlineStr">
        <is>
          <t>Carbon capture</t>
        </is>
      </c>
      <c r="D2958" s="12" t="inlineStr">
        <is>
          <t>MOV 8: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5" t="n">
        <v>464</v>
      </c>
      <c r="U2958" s="15" t="n">
        <v>50</v>
      </c>
      <c r="V2958" s="15">
        <f>ROUNDUP((T2958+U2958+2*'Read Me'!$B$13)*(1+'Read Me'!$B$12),-1)</f>
        <v/>
      </c>
      <c r="W2958" s="15">
        <f>V2958*N2958*O2958</f>
        <v/>
      </c>
      <c r="X2958" s="12">
        <f>IF(LEFT(I2958,2)="MV",2*N2958*IF(L2958="1/C",O2958,1),0)</f>
        <v/>
      </c>
      <c r="Y2958" s="12">
        <f>IF(OR(LEFT(K2958,4)="LVAX",LEFT(K2958,6)="MV15AX",LEFT(K2958,4)="CTAX",LEFT(K2958,2)="W|"),2*N2958*O2958,0)</f>
        <v/>
      </c>
      <c r="Z2958" s="12" t="inlineStr"/>
      <c r="AA2958" s="12">
        <f>N2958*O2958</f>
        <v/>
      </c>
    </row>
    <row r="2959">
      <c r="A2959" s="12" t="inlineStr">
        <is>
          <t>G-C-0021</t>
        </is>
      </c>
      <c r="B2959" s="12" t="inlineStr">
        <is>
          <t>G</t>
        </is>
      </c>
      <c r="C2959" s="12" t="inlineStr">
        <is>
          <t>Carbon capture</t>
        </is>
      </c>
      <c r="D2959" s="12" t="inlineStr">
        <is>
          <t>MOV 9: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5" t="n">
        <v>464</v>
      </c>
      <c r="U2959" s="15" t="n">
        <v>50</v>
      </c>
      <c r="V2959" s="15">
        <f>ROUNDUP((T2959+U2959+2*'Read Me'!$B$13)*(1+'Read Me'!$B$12),-1)</f>
        <v/>
      </c>
      <c r="W2959" s="15">
        <f>V2959*N2959*O2959</f>
        <v/>
      </c>
      <c r="X2959" s="12">
        <f>IF(LEFT(I2959,2)="MV",2*N2959*IF(L2959="1/C",O2959,1),0)</f>
        <v/>
      </c>
      <c r="Y2959" s="12">
        <f>IF(OR(LEFT(K2959,4)="LVAX",LEFT(K2959,6)="MV15AX",LEFT(K2959,4)="CTAX",LEFT(K2959,2)="W|"),2*N2959*O2959,0)</f>
        <v/>
      </c>
      <c r="Z2959" s="12" t="inlineStr"/>
      <c r="AA2959" s="12">
        <f>N2959*O2959</f>
        <v/>
      </c>
    </row>
    <row r="2960">
      <c r="A2960" s="12" t="inlineStr">
        <is>
          <t>G-C-0022</t>
        </is>
      </c>
      <c r="B2960" s="12" t="inlineStr">
        <is>
          <t>G</t>
        </is>
      </c>
      <c r="C2960" s="12" t="inlineStr">
        <is>
          <t>Carbon capture</t>
        </is>
      </c>
      <c r="D2960" s="12" t="inlineStr">
        <is>
          <t>MOV 10: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5" t="n">
        <v>464</v>
      </c>
      <c r="U2960" s="15" t="n">
        <v>50</v>
      </c>
      <c r="V2960" s="15">
        <f>ROUNDUP((T2960+U2960+2*'Read Me'!$B$13)*(1+'Read Me'!$B$12),-1)</f>
        <v/>
      </c>
      <c r="W2960" s="15">
        <f>V2960*N2960*O2960</f>
        <v/>
      </c>
      <c r="X2960" s="12">
        <f>IF(LEFT(I2960,2)="MV",2*N2960*IF(L2960="1/C",O2960,1),0)</f>
        <v/>
      </c>
      <c r="Y2960" s="12">
        <f>IF(OR(LEFT(K2960,4)="LVAX",LEFT(K2960,6)="MV15AX",LEFT(K2960,4)="CTAX",LEFT(K2960,2)="W|"),2*N2960*O2960,0)</f>
        <v/>
      </c>
      <c r="Z2960" s="12" t="inlineStr"/>
      <c r="AA2960" s="12">
        <f>N2960*O2960</f>
        <v/>
      </c>
    </row>
    <row r="2961">
      <c r="A2961" s="12" t="inlineStr">
        <is>
          <t>G-C-0023</t>
        </is>
      </c>
      <c r="B2961" s="12" t="inlineStr">
        <is>
          <t>G</t>
        </is>
      </c>
      <c r="C2961" s="12" t="inlineStr">
        <is>
          <t>Carbon capture</t>
        </is>
      </c>
      <c r="D2961" s="12" t="inlineStr">
        <is>
          <t>Motor 1 of 2: control / local station</t>
        </is>
      </c>
      <c r="E2961" s="12" t="inlineStr"/>
      <c r="F2961" s="12" t="inlineStr">
        <is>
          <t>CCS MV switchgear building (VFDs)</t>
        </is>
      </c>
      <c r="G2961" s="12" t="inlineStr"/>
      <c r="H2961" s="12" t="inlineStr">
        <is>
          <t>Absorber B intercooler (pumps + plate exchanger)</t>
        </is>
      </c>
      <c r="I2961" s="12" t="inlineStr">
        <is>
          <t>Control</t>
        </is>
      </c>
      <c r="J2961" s="12" t="inlineStr">
        <is>
          <t>Control cable 600 V Type TC-ER, Cu #14 AWG, PVC jacket</t>
        </is>
      </c>
      <c r="K2961" s="12" t="inlineStr">
        <is>
          <t>CT|7/C|14</t>
        </is>
      </c>
      <c r="L2961" s="12" t="inlineStr">
        <is>
          <t>7/C</t>
        </is>
      </c>
      <c r="M2961" s="12" t="inlineStr">
        <is>
          <t>14</t>
        </is>
      </c>
      <c r="N2961" s="12" t="n">
        <v>1</v>
      </c>
      <c r="O2961" s="12" t="n">
        <v>1</v>
      </c>
      <c r="P2961" s="12" t="n"/>
      <c r="Q2961" s="12" t="n"/>
      <c r="R2961" s="12" t="n"/>
      <c r="S2961" s="12" t="inlineStr">
        <is>
          <t>Tray</t>
        </is>
      </c>
      <c r="T2961" s="15" t="n">
        <v>446</v>
      </c>
      <c r="U2961" s="15" t="n">
        <v>51</v>
      </c>
      <c r="V2961" s="15">
        <f>ROUNDUP((T2961+U2961+2*'Read Me'!$B$13)*(1+'Read Me'!$B$12),-1)</f>
        <v/>
      </c>
      <c r="W2961" s="15">
        <f>V2961*N2961*O2961</f>
        <v/>
      </c>
      <c r="X2961" s="12">
        <f>IF(LEFT(I2961,2)="MV",2*N2961*IF(L2961="1/C",O2961,1),0)</f>
        <v/>
      </c>
      <c r="Y2961" s="12">
        <f>IF(OR(LEFT(K2961,4)="LVAX",LEFT(K2961,6)="MV15AX",LEFT(K2961,4)="CTAX",LEFT(K2961,2)="W|"),2*N2961*O2961,0)</f>
        <v/>
      </c>
      <c r="Z2961" s="12" t="inlineStr"/>
      <c r="AA2961" s="12">
        <f>N2961*O2961</f>
        <v/>
      </c>
    </row>
    <row r="2962">
      <c r="A2962" s="12" t="inlineStr">
        <is>
          <t>G-C-0024</t>
        </is>
      </c>
      <c r="B2962" s="12" t="inlineStr">
        <is>
          <t>G</t>
        </is>
      </c>
      <c r="C2962" s="12" t="inlineStr">
        <is>
          <t>Carbon capture</t>
        </is>
      </c>
      <c r="D2962" s="12" t="inlineStr">
        <is>
          <t>Motor 2 of 2: control / local station</t>
        </is>
      </c>
      <c r="E2962" s="12" t="inlineStr"/>
      <c r="F2962" s="12" t="inlineStr">
        <is>
          <t>CCS MV switchgear building (VFDs)</t>
        </is>
      </c>
      <c r="G2962" s="12" t="inlineStr"/>
      <c r="H2962" s="12" t="inlineStr">
        <is>
          <t>Absorber B intercooler (pumps + plate exchanger)</t>
        </is>
      </c>
      <c r="I2962" s="12" t="inlineStr">
        <is>
          <t>Control</t>
        </is>
      </c>
      <c r="J2962" s="12" t="inlineStr">
        <is>
          <t>Control cable 600 V Type TC-ER, Cu #14 AWG, PVC jacket</t>
        </is>
      </c>
      <c r="K2962" s="12" t="inlineStr">
        <is>
          <t>CT|7/C|14</t>
        </is>
      </c>
      <c r="L2962" s="12" t="inlineStr">
        <is>
          <t>7/C</t>
        </is>
      </c>
      <c r="M2962" s="12" t="inlineStr">
        <is>
          <t>14</t>
        </is>
      </c>
      <c r="N2962" s="12" t="n">
        <v>1</v>
      </c>
      <c r="O2962" s="12" t="n">
        <v>1</v>
      </c>
      <c r="P2962" s="12" t="n"/>
      <c r="Q2962" s="12" t="n"/>
      <c r="R2962" s="12" t="n"/>
      <c r="S2962" s="12" t="inlineStr">
        <is>
          <t>Tray</t>
        </is>
      </c>
      <c r="T2962" s="15" t="n">
        <v>446</v>
      </c>
      <c r="U2962" s="15" t="n">
        <v>51</v>
      </c>
      <c r="V2962" s="15">
        <f>ROUNDUP((T2962+U2962+2*'Read Me'!$B$13)*(1+'Read Me'!$B$12),-1)</f>
        <v/>
      </c>
      <c r="W2962" s="15">
        <f>V2962*N2962*O2962</f>
        <v/>
      </c>
      <c r="X2962" s="12">
        <f>IF(LEFT(I2962,2)="MV",2*N2962*IF(L2962="1/C",O2962,1),0)</f>
        <v/>
      </c>
      <c r="Y2962" s="12">
        <f>IF(OR(LEFT(K2962,4)="LVAX",LEFT(K2962,6)="MV15AX",LEFT(K2962,4)="CTAX",LEFT(K2962,2)="W|"),2*N2962*O2962,0)</f>
        <v/>
      </c>
      <c r="Z2962" s="12" t="inlineStr"/>
      <c r="AA2962" s="12">
        <f>N2962*O2962</f>
        <v/>
      </c>
    </row>
    <row r="2963">
      <c r="A2963" s="12" t="inlineStr">
        <is>
          <t>G-C-0025</t>
        </is>
      </c>
      <c r="B2963" s="12" t="inlineStr">
        <is>
          <t>G</t>
        </is>
      </c>
      <c r="C2963" s="12" t="inlineStr">
        <is>
          <t>Carbon capture</t>
        </is>
      </c>
      <c r="D2963" s="12" t="inlineStr">
        <is>
          <t>MOV 1: control</t>
        </is>
      </c>
      <c r="E2963" s="12" t="inlineStr"/>
      <c r="F2963" s="12" t="inlineStr">
        <is>
          <t>CCS MV switchgear building (VFDs)</t>
        </is>
      </c>
      <c r="G2963" s="12" t="inlineStr">
        <is>
          <t>ABS-C</t>
        </is>
      </c>
      <c r="H2963" s="12" t="inlineStr">
        <is>
          <t>Absorber C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5" t="n">
        <v>304</v>
      </c>
      <c r="U2963" s="15" t="n">
        <v>50</v>
      </c>
      <c r="V2963" s="15">
        <f>ROUNDUP((T2963+U2963+2*'Read Me'!$B$13)*(1+'Read Me'!$B$12),-1)</f>
        <v/>
      </c>
      <c r="W2963" s="15">
        <f>V2963*N2963*O2963</f>
        <v/>
      </c>
      <c r="X2963" s="12">
        <f>IF(LEFT(I2963,2)="MV",2*N2963*IF(L2963="1/C",O2963,1),0)</f>
        <v/>
      </c>
      <c r="Y2963" s="12">
        <f>IF(OR(LEFT(K2963,4)="LVAX",LEFT(K2963,6)="MV15AX",LEFT(K2963,4)="CTAX",LEFT(K2963,2)="W|"),2*N2963*O2963,0)</f>
        <v/>
      </c>
      <c r="Z2963" s="12" t="inlineStr"/>
      <c r="AA2963" s="12">
        <f>N2963*O2963</f>
        <v/>
      </c>
    </row>
    <row r="2964">
      <c r="A2964" s="12" t="inlineStr">
        <is>
          <t>G-C-0026</t>
        </is>
      </c>
      <c r="B2964" s="12" t="inlineStr">
        <is>
          <t>G</t>
        </is>
      </c>
      <c r="C2964" s="12" t="inlineStr">
        <is>
          <t>Carbon capture</t>
        </is>
      </c>
      <c r="D2964" s="12" t="inlineStr">
        <is>
          <t>MOV 2: control</t>
        </is>
      </c>
      <c r="E2964" s="12" t="inlineStr"/>
      <c r="F2964" s="12" t="inlineStr">
        <is>
          <t>CCS MV switchgear building (VFDs)</t>
        </is>
      </c>
      <c r="G2964" s="12" t="inlineStr">
        <is>
          <t>ABS-C</t>
        </is>
      </c>
      <c r="H2964" s="12" t="inlineStr">
        <is>
          <t>Absorber C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5" t="n">
        <v>304</v>
      </c>
      <c r="U2964" s="15" t="n">
        <v>50</v>
      </c>
      <c r="V2964" s="15">
        <f>ROUNDUP((T2964+U2964+2*'Read Me'!$B$13)*(1+'Read Me'!$B$12),-1)</f>
        <v/>
      </c>
      <c r="W2964" s="15">
        <f>V2964*N2964*O2964</f>
        <v/>
      </c>
      <c r="X2964" s="12">
        <f>IF(LEFT(I2964,2)="MV",2*N2964*IF(L2964="1/C",O2964,1),0)</f>
        <v/>
      </c>
      <c r="Y2964" s="12">
        <f>IF(OR(LEFT(K2964,4)="LVAX",LEFT(K2964,6)="MV15AX",LEFT(K2964,4)="CTAX",LEFT(K2964,2)="W|"),2*N2964*O2964,0)</f>
        <v/>
      </c>
      <c r="Z2964" s="12" t="inlineStr"/>
      <c r="AA2964" s="12">
        <f>N2964*O2964</f>
        <v/>
      </c>
    </row>
    <row r="2965">
      <c r="A2965" s="12" t="inlineStr">
        <is>
          <t>G-C-0027</t>
        </is>
      </c>
      <c r="B2965" s="12" t="inlineStr">
        <is>
          <t>G</t>
        </is>
      </c>
      <c r="C2965" s="12" t="inlineStr">
        <is>
          <t>Carbon capture</t>
        </is>
      </c>
      <c r="D2965" s="12" t="inlineStr">
        <is>
          <t>MOV 3: control</t>
        </is>
      </c>
      <c r="E2965" s="12" t="inlineStr"/>
      <c r="F2965" s="12" t="inlineStr">
        <is>
          <t>CCS MV switchgear building (VFDs)</t>
        </is>
      </c>
      <c r="G2965" s="12" t="inlineStr">
        <is>
          <t>ABS-C</t>
        </is>
      </c>
      <c r="H2965" s="12" t="inlineStr">
        <is>
          <t>Absorber C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5" t="n">
        <v>304</v>
      </c>
      <c r="U2965" s="15" t="n">
        <v>50</v>
      </c>
      <c r="V2965" s="15">
        <f>ROUNDUP((T2965+U2965+2*'Read Me'!$B$13)*(1+'Read Me'!$B$12),-1)</f>
        <v/>
      </c>
      <c r="W2965" s="15">
        <f>V2965*N2965*O2965</f>
        <v/>
      </c>
      <c r="X2965" s="12">
        <f>IF(LEFT(I2965,2)="MV",2*N2965*IF(L2965="1/C",O2965,1),0)</f>
        <v/>
      </c>
      <c r="Y2965" s="12">
        <f>IF(OR(LEFT(K2965,4)="LVAX",LEFT(K2965,6)="MV15AX",LEFT(K2965,4)="CTAX",LEFT(K2965,2)="W|"),2*N2965*O2965,0)</f>
        <v/>
      </c>
      <c r="Z2965" s="12" t="inlineStr"/>
      <c r="AA2965" s="12">
        <f>N2965*O2965</f>
        <v/>
      </c>
    </row>
    <row r="2966">
      <c r="A2966" s="12" t="inlineStr">
        <is>
          <t>G-C-0028</t>
        </is>
      </c>
      <c r="B2966" s="12" t="inlineStr">
        <is>
          <t>G</t>
        </is>
      </c>
      <c r="C2966" s="12" t="inlineStr">
        <is>
          <t>Carbon capture</t>
        </is>
      </c>
      <c r="D2966" s="12" t="inlineStr">
        <is>
          <t>MOV 4: control</t>
        </is>
      </c>
      <c r="E2966" s="12" t="inlineStr"/>
      <c r="F2966" s="12" t="inlineStr">
        <is>
          <t>CCS MV switchgear building (VFDs)</t>
        </is>
      </c>
      <c r="G2966" s="12" t="inlineStr">
        <is>
          <t>ABS-C</t>
        </is>
      </c>
      <c r="H2966" s="12" t="inlineStr">
        <is>
          <t>Absorber C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5" t="n">
        <v>304</v>
      </c>
      <c r="U2966" s="15" t="n">
        <v>50</v>
      </c>
      <c r="V2966" s="15">
        <f>ROUNDUP((T2966+U2966+2*'Read Me'!$B$13)*(1+'Read Me'!$B$12),-1)</f>
        <v/>
      </c>
      <c r="W2966" s="15">
        <f>V2966*N2966*O2966</f>
        <v/>
      </c>
      <c r="X2966" s="12">
        <f>IF(LEFT(I2966,2)="MV",2*N2966*IF(L2966="1/C",O2966,1),0)</f>
        <v/>
      </c>
      <c r="Y2966" s="12">
        <f>IF(OR(LEFT(K2966,4)="LVAX",LEFT(K2966,6)="MV15AX",LEFT(K2966,4)="CTAX",LEFT(K2966,2)="W|"),2*N2966*O2966,0)</f>
        <v/>
      </c>
      <c r="Z2966" s="12" t="inlineStr"/>
      <c r="AA2966" s="12">
        <f>N2966*O2966</f>
        <v/>
      </c>
    </row>
    <row r="2967">
      <c r="A2967" s="12" t="inlineStr">
        <is>
          <t>G-C-0029</t>
        </is>
      </c>
      <c r="B2967" s="12" t="inlineStr">
        <is>
          <t>G</t>
        </is>
      </c>
      <c r="C2967" s="12" t="inlineStr">
        <is>
          <t>Carbon capture</t>
        </is>
      </c>
      <c r="D2967" s="12" t="inlineStr">
        <is>
          <t>MOV 5: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5" t="n">
        <v>304</v>
      </c>
      <c r="U2967" s="15" t="n">
        <v>50</v>
      </c>
      <c r="V2967" s="15">
        <f>ROUNDUP((T2967+U2967+2*'Read Me'!$B$13)*(1+'Read Me'!$B$12),-1)</f>
        <v/>
      </c>
      <c r="W2967" s="15">
        <f>V2967*N2967*O2967</f>
        <v/>
      </c>
      <c r="X2967" s="12">
        <f>IF(LEFT(I2967,2)="MV",2*N2967*IF(L2967="1/C",O2967,1),0)</f>
        <v/>
      </c>
      <c r="Y2967" s="12">
        <f>IF(OR(LEFT(K2967,4)="LVAX",LEFT(K2967,6)="MV15AX",LEFT(K2967,4)="CTAX",LEFT(K2967,2)="W|"),2*N2967*O2967,0)</f>
        <v/>
      </c>
      <c r="Z2967" s="12" t="inlineStr"/>
      <c r="AA2967" s="12">
        <f>N2967*O2967</f>
        <v/>
      </c>
    </row>
    <row r="2968">
      <c r="A2968" s="12" t="inlineStr">
        <is>
          <t>G-C-0030</t>
        </is>
      </c>
      <c r="B2968" s="12" t="inlineStr">
        <is>
          <t>G</t>
        </is>
      </c>
      <c r="C2968" s="12" t="inlineStr">
        <is>
          <t>Carbon capture</t>
        </is>
      </c>
      <c r="D2968" s="12" t="inlineStr">
        <is>
          <t>MOV 6: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5" t="n">
        <v>304</v>
      </c>
      <c r="U2968" s="15" t="n">
        <v>50</v>
      </c>
      <c r="V2968" s="15">
        <f>ROUNDUP((T2968+U2968+2*'Read Me'!$B$13)*(1+'Read Me'!$B$12),-1)</f>
        <v/>
      </c>
      <c r="W2968" s="15">
        <f>V2968*N2968*O2968</f>
        <v/>
      </c>
      <c r="X2968" s="12">
        <f>IF(LEFT(I2968,2)="MV",2*N2968*IF(L2968="1/C",O2968,1),0)</f>
        <v/>
      </c>
      <c r="Y2968" s="12">
        <f>IF(OR(LEFT(K2968,4)="LVAX",LEFT(K2968,6)="MV15AX",LEFT(K2968,4)="CTAX",LEFT(K2968,2)="W|"),2*N2968*O2968,0)</f>
        <v/>
      </c>
      <c r="Z2968" s="12" t="inlineStr"/>
      <c r="AA2968" s="12">
        <f>N2968*O2968</f>
        <v/>
      </c>
    </row>
    <row r="2969">
      <c r="A2969" s="12" t="inlineStr">
        <is>
          <t>G-C-0031</t>
        </is>
      </c>
      <c r="B2969" s="12" t="inlineStr">
        <is>
          <t>G</t>
        </is>
      </c>
      <c r="C2969" s="12" t="inlineStr">
        <is>
          <t>Carbon capture</t>
        </is>
      </c>
      <c r="D2969" s="12" t="inlineStr">
        <is>
          <t>MOV 7: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5" t="n">
        <v>304</v>
      </c>
      <c r="U2969" s="15" t="n">
        <v>50</v>
      </c>
      <c r="V2969" s="15">
        <f>ROUNDUP((T2969+U2969+2*'Read Me'!$B$13)*(1+'Read Me'!$B$12),-1)</f>
        <v/>
      </c>
      <c r="W2969" s="15">
        <f>V2969*N2969*O2969</f>
        <v/>
      </c>
      <c r="X2969" s="12">
        <f>IF(LEFT(I2969,2)="MV",2*N2969*IF(L2969="1/C",O2969,1),0)</f>
        <v/>
      </c>
      <c r="Y2969" s="12">
        <f>IF(OR(LEFT(K2969,4)="LVAX",LEFT(K2969,6)="MV15AX",LEFT(K2969,4)="CTAX",LEFT(K2969,2)="W|"),2*N2969*O2969,0)</f>
        <v/>
      </c>
      <c r="Z2969" s="12" t="inlineStr"/>
      <c r="AA2969" s="12">
        <f>N2969*O2969</f>
        <v/>
      </c>
    </row>
    <row r="2970">
      <c r="A2970" s="12" t="inlineStr">
        <is>
          <t>G-C-0032</t>
        </is>
      </c>
      <c r="B2970" s="12" t="inlineStr">
        <is>
          <t>G</t>
        </is>
      </c>
      <c r="C2970" s="12" t="inlineStr">
        <is>
          <t>Carbon capture</t>
        </is>
      </c>
      <c r="D2970" s="12" t="inlineStr">
        <is>
          <t>MOV 8: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5" t="n">
        <v>304</v>
      </c>
      <c r="U2970" s="15" t="n">
        <v>50</v>
      </c>
      <c r="V2970" s="15">
        <f>ROUNDUP((T2970+U2970+2*'Read Me'!$B$13)*(1+'Read Me'!$B$12),-1)</f>
        <v/>
      </c>
      <c r="W2970" s="15">
        <f>V2970*N2970*O2970</f>
        <v/>
      </c>
      <c r="X2970" s="12">
        <f>IF(LEFT(I2970,2)="MV",2*N2970*IF(L2970="1/C",O2970,1),0)</f>
        <v/>
      </c>
      <c r="Y2970" s="12">
        <f>IF(OR(LEFT(K2970,4)="LVAX",LEFT(K2970,6)="MV15AX",LEFT(K2970,4)="CTAX",LEFT(K2970,2)="W|"),2*N2970*O2970,0)</f>
        <v/>
      </c>
      <c r="Z2970" s="12" t="inlineStr"/>
      <c r="AA2970" s="12">
        <f>N2970*O2970</f>
        <v/>
      </c>
    </row>
    <row r="2971">
      <c r="A2971" s="12" t="inlineStr">
        <is>
          <t>G-C-0033</t>
        </is>
      </c>
      <c r="B2971" s="12" t="inlineStr">
        <is>
          <t>G</t>
        </is>
      </c>
      <c r="C2971" s="12" t="inlineStr">
        <is>
          <t>Carbon capture</t>
        </is>
      </c>
      <c r="D2971" s="12" t="inlineStr">
        <is>
          <t>MOV 9: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5" t="n">
        <v>304</v>
      </c>
      <c r="U2971" s="15" t="n">
        <v>50</v>
      </c>
      <c r="V2971" s="15">
        <f>ROUNDUP((T2971+U2971+2*'Read Me'!$B$13)*(1+'Read Me'!$B$12),-1)</f>
        <v/>
      </c>
      <c r="W2971" s="15">
        <f>V2971*N2971*O2971</f>
        <v/>
      </c>
      <c r="X2971" s="12">
        <f>IF(LEFT(I2971,2)="MV",2*N2971*IF(L2971="1/C",O2971,1),0)</f>
        <v/>
      </c>
      <c r="Y2971" s="12">
        <f>IF(OR(LEFT(K2971,4)="LVAX",LEFT(K2971,6)="MV15AX",LEFT(K2971,4)="CTAX",LEFT(K2971,2)="W|"),2*N2971*O2971,0)</f>
        <v/>
      </c>
      <c r="Z2971" s="12" t="inlineStr"/>
      <c r="AA2971" s="12">
        <f>N2971*O2971</f>
        <v/>
      </c>
    </row>
    <row r="2972">
      <c r="A2972" s="12" t="inlineStr">
        <is>
          <t>G-C-0034</t>
        </is>
      </c>
      <c r="B2972" s="12" t="inlineStr">
        <is>
          <t>G</t>
        </is>
      </c>
      <c r="C2972" s="12" t="inlineStr">
        <is>
          <t>Carbon capture</t>
        </is>
      </c>
      <c r="D2972" s="12" t="inlineStr">
        <is>
          <t>MOV 10: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5" t="n">
        <v>304</v>
      </c>
      <c r="U2972" s="15" t="n">
        <v>50</v>
      </c>
      <c r="V2972" s="15">
        <f>ROUNDUP((T2972+U2972+2*'Read Me'!$B$13)*(1+'Read Me'!$B$12),-1)</f>
        <v/>
      </c>
      <c r="W2972" s="15">
        <f>V2972*N2972*O2972</f>
        <v/>
      </c>
      <c r="X2972" s="12">
        <f>IF(LEFT(I2972,2)="MV",2*N2972*IF(L2972="1/C",O2972,1),0)</f>
        <v/>
      </c>
      <c r="Y2972" s="12">
        <f>IF(OR(LEFT(K2972,4)="LVAX",LEFT(K2972,6)="MV15AX",LEFT(K2972,4)="CTAX",LEFT(K2972,2)="W|"),2*N2972*O2972,0)</f>
        <v/>
      </c>
      <c r="Z2972" s="12" t="inlineStr"/>
      <c r="AA2972" s="12">
        <f>N2972*O2972</f>
        <v/>
      </c>
    </row>
    <row r="2973">
      <c r="A2973" s="12" t="inlineStr">
        <is>
          <t>G-C-0035</t>
        </is>
      </c>
      <c r="B2973" s="12" t="inlineStr">
        <is>
          <t>G</t>
        </is>
      </c>
      <c r="C2973" s="12" t="inlineStr">
        <is>
          <t>Carbon capture</t>
        </is>
      </c>
      <c r="D2973" s="12" t="inlineStr">
        <is>
          <t>Motor 1 of 2: control / local station</t>
        </is>
      </c>
      <c r="E2973" s="12" t="inlineStr"/>
      <c r="F2973" s="12" t="inlineStr">
        <is>
          <t>CCS MV switchgear building (VFDs)</t>
        </is>
      </c>
      <c r="G2973" s="12" t="inlineStr"/>
      <c r="H2973" s="12" t="inlineStr">
        <is>
          <t>Absorber C intercooler (pumps + plate exchanger)</t>
        </is>
      </c>
      <c r="I2973" s="12" t="inlineStr">
        <is>
          <t>Control</t>
        </is>
      </c>
      <c r="J2973" s="12" t="inlineStr">
        <is>
          <t>Control cable 600 V Type TC-ER, Cu #14 AWG, PVC jacket</t>
        </is>
      </c>
      <c r="K2973" s="12" t="inlineStr">
        <is>
          <t>CT|7/C|14</t>
        </is>
      </c>
      <c r="L2973" s="12" t="inlineStr">
        <is>
          <t>7/C</t>
        </is>
      </c>
      <c r="M2973" s="12" t="inlineStr">
        <is>
          <t>14</t>
        </is>
      </c>
      <c r="N2973" s="12" t="n">
        <v>1</v>
      </c>
      <c r="O2973" s="12" t="n">
        <v>1</v>
      </c>
      <c r="P2973" s="12" t="n"/>
      <c r="Q2973" s="12" t="n"/>
      <c r="R2973" s="12" t="n"/>
      <c r="S2973" s="12" t="inlineStr">
        <is>
          <t>Tray</t>
        </is>
      </c>
      <c r="T2973" s="15" t="n">
        <v>199</v>
      </c>
      <c r="U2973" s="15" t="n">
        <v>138</v>
      </c>
      <c r="V2973" s="15">
        <f>ROUNDUP((T2973+U2973+2*'Read Me'!$B$13)*(1+'Read Me'!$B$12),-1)</f>
        <v/>
      </c>
      <c r="W2973" s="15">
        <f>V2973*N2973*O2973</f>
        <v/>
      </c>
      <c r="X2973" s="12">
        <f>IF(LEFT(I2973,2)="MV",2*N2973*IF(L2973="1/C",O2973,1),0)</f>
        <v/>
      </c>
      <c r="Y2973" s="12">
        <f>IF(OR(LEFT(K2973,4)="LVAX",LEFT(K2973,6)="MV15AX",LEFT(K2973,4)="CTAX",LEFT(K2973,2)="W|"),2*N2973*O2973,0)</f>
        <v/>
      </c>
      <c r="Z2973" s="12" t="inlineStr"/>
      <c r="AA2973" s="12">
        <f>N2973*O2973</f>
        <v/>
      </c>
    </row>
    <row r="2974">
      <c r="A2974" s="12" t="inlineStr">
        <is>
          <t>G-C-0036</t>
        </is>
      </c>
      <c r="B2974" s="12" t="inlineStr">
        <is>
          <t>G</t>
        </is>
      </c>
      <c r="C2974" s="12" t="inlineStr">
        <is>
          <t>Carbon capture</t>
        </is>
      </c>
      <c r="D2974" s="12" t="inlineStr">
        <is>
          <t>Motor 2 of 2: control / local station</t>
        </is>
      </c>
      <c r="E2974" s="12" t="inlineStr"/>
      <c r="F2974" s="12" t="inlineStr">
        <is>
          <t>CCS MV switchgear building (VFDs)</t>
        </is>
      </c>
      <c r="G2974" s="12" t="inlineStr"/>
      <c r="H2974" s="12" t="inlineStr">
        <is>
          <t>Absorber C intercooler (pumps + plate exchanger)</t>
        </is>
      </c>
      <c r="I2974" s="12" t="inlineStr">
        <is>
          <t>Control</t>
        </is>
      </c>
      <c r="J2974" s="12" t="inlineStr">
        <is>
          <t>Control cable 600 V Type TC-ER, Cu #14 AWG, PVC jacket</t>
        </is>
      </c>
      <c r="K2974" s="12" t="inlineStr">
        <is>
          <t>CT|7/C|14</t>
        </is>
      </c>
      <c r="L2974" s="12" t="inlineStr">
        <is>
          <t>7/C</t>
        </is>
      </c>
      <c r="M2974" s="12" t="inlineStr">
        <is>
          <t>14</t>
        </is>
      </c>
      <c r="N2974" s="12" t="n">
        <v>1</v>
      </c>
      <c r="O2974" s="12" t="n">
        <v>1</v>
      </c>
      <c r="P2974" s="12" t="n"/>
      <c r="Q2974" s="12" t="n"/>
      <c r="R2974" s="12" t="n"/>
      <c r="S2974" s="12" t="inlineStr">
        <is>
          <t>Tray</t>
        </is>
      </c>
      <c r="T2974" s="15" t="n">
        <v>199</v>
      </c>
      <c r="U2974" s="15" t="n">
        <v>138</v>
      </c>
      <c r="V2974" s="15">
        <f>ROUNDUP((T2974+U2974+2*'Read Me'!$B$13)*(1+'Read Me'!$B$12),-1)</f>
        <v/>
      </c>
      <c r="W2974" s="15">
        <f>V2974*N2974*O2974</f>
        <v/>
      </c>
      <c r="X2974" s="12">
        <f>IF(LEFT(I2974,2)="MV",2*N2974*IF(L2974="1/C",O2974,1),0)</f>
        <v/>
      </c>
      <c r="Y2974" s="12">
        <f>IF(OR(LEFT(K2974,4)="LVAX",LEFT(K2974,6)="MV15AX",LEFT(K2974,4)="CTAX",LEFT(K2974,2)="W|"),2*N2974*O2974,0)</f>
        <v/>
      </c>
      <c r="Z2974" s="12" t="inlineStr"/>
      <c r="AA2974" s="12">
        <f>N2974*O2974</f>
        <v/>
      </c>
    </row>
    <row r="2975">
      <c r="A2975" s="12" t="inlineStr">
        <is>
          <t>G-C-0037</t>
        </is>
      </c>
      <c r="B2975" s="12" t="inlineStr">
        <is>
          <t>G</t>
        </is>
      </c>
      <c r="C2975" s="12" t="inlineStr">
        <is>
          <t>Carbon capture</t>
        </is>
      </c>
      <c r="D2975" s="12" t="inlineStr">
        <is>
          <t>Motor 1 of 4: control / local station</t>
        </is>
      </c>
      <c r="E2975" s="12" t="inlineStr"/>
      <c r="F2975" s="12" t="inlineStr">
        <is>
          <t>CCS MV switchgear building (VFDs)</t>
        </is>
      </c>
      <c r="G2975" s="12" t="inlineStr">
        <is>
          <t>BF-A</t>
        </is>
      </c>
      <c r="H2975" s="12" t="inlineStr">
        <is>
          <t>BF-A: booster fan (~16 MW)</t>
        </is>
      </c>
      <c r="I2975" s="12" t="inlineStr">
        <is>
          <t>Control</t>
        </is>
      </c>
      <c r="J2975" s="12" t="inlineStr">
        <is>
          <t>Control cable 600 V Type TC-ER, Cu #14 AWG, PVC jacket</t>
        </is>
      </c>
      <c r="K2975" s="12" t="inlineStr">
        <is>
          <t>CT|7/C|14</t>
        </is>
      </c>
      <c r="L2975" s="12" t="inlineStr">
        <is>
          <t>7/C</t>
        </is>
      </c>
      <c r="M2975" s="12" t="inlineStr">
        <is>
          <t>14</t>
        </is>
      </c>
      <c r="N2975" s="12" t="n">
        <v>1</v>
      </c>
      <c r="O2975" s="12" t="n">
        <v>1</v>
      </c>
      <c r="P2975" s="12" t="n"/>
      <c r="Q2975" s="12" t="n"/>
      <c r="R2975" s="12" t="n"/>
      <c r="S2975" s="12" t="inlineStr">
        <is>
          <t>Duct bank</t>
        </is>
      </c>
      <c r="T2975" s="15" t="n">
        <v>460</v>
      </c>
      <c r="U2975" s="15" t="n">
        <v>32</v>
      </c>
      <c r="V2975" s="15">
        <f>ROUNDUP((T2975+U2975+2*'Read Me'!$B$13)*(1+'Read Me'!$B$12),-1)</f>
        <v/>
      </c>
      <c r="W2975" s="15">
        <f>V2975*N2975*O2975</f>
        <v/>
      </c>
      <c r="X2975" s="12">
        <f>IF(LEFT(I2975,2)="MV",2*N2975*IF(L2975="1/C",O2975,1),0)</f>
        <v/>
      </c>
      <c r="Y2975" s="12">
        <f>IF(OR(LEFT(K2975,4)="LVAX",LEFT(K2975,6)="MV15AX",LEFT(K2975,4)="CTAX",LEFT(K2975,2)="W|"),2*N2975*O2975,0)</f>
        <v/>
      </c>
      <c r="Z2975" s="12" t="inlineStr"/>
      <c r="AA2975" s="12">
        <f>N2975*O2975</f>
        <v/>
      </c>
    </row>
    <row r="2976">
      <c r="A2976" s="12" t="inlineStr">
        <is>
          <t>G-C-0038</t>
        </is>
      </c>
      <c r="B2976" s="12" t="inlineStr">
        <is>
          <t>G</t>
        </is>
      </c>
      <c r="C2976" s="12" t="inlineStr">
        <is>
          <t>Carbon capture</t>
        </is>
      </c>
      <c r="D2976" s="12" t="inlineStr">
        <is>
          <t>Motor 2 of 4: control / local station</t>
        </is>
      </c>
      <c r="E2976" s="12" t="inlineStr"/>
      <c r="F2976" s="12" t="inlineStr">
        <is>
          <t>CCS MV switchgear building (VFDs)</t>
        </is>
      </c>
      <c r="G2976" s="12" t="inlineStr">
        <is>
          <t>BF-A</t>
        </is>
      </c>
      <c r="H2976" s="12" t="inlineStr">
        <is>
          <t>BF-A: booster fan (~16 MW)</t>
        </is>
      </c>
      <c r="I2976" s="12" t="inlineStr">
        <is>
          <t>Control</t>
        </is>
      </c>
      <c r="J2976" s="12" t="inlineStr">
        <is>
          <t>Control cable 600 V Type TC-ER, Cu #14 AWG, PVC jacket</t>
        </is>
      </c>
      <c r="K2976" s="12" t="inlineStr">
        <is>
          <t>CT|7/C|14</t>
        </is>
      </c>
      <c r="L2976" s="12" t="inlineStr">
        <is>
          <t>7/C</t>
        </is>
      </c>
      <c r="M2976" s="12" t="inlineStr">
        <is>
          <t>14</t>
        </is>
      </c>
      <c r="N2976" s="12" t="n">
        <v>1</v>
      </c>
      <c r="O2976" s="12" t="n">
        <v>1</v>
      </c>
      <c r="P2976" s="12" t="n"/>
      <c r="Q2976" s="12" t="n"/>
      <c r="R2976" s="12" t="n"/>
      <c r="S2976" s="12" t="inlineStr">
        <is>
          <t>Duct bank</t>
        </is>
      </c>
      <c r="T2976" s="15" t="n">
        <v>460</v>
      </c>
      <c r="U2976" s="15" t="n">
        <v>32</v>
      </c>
      <c r="V2976" s="15">
        <f>ROUNDUP((T2976+U2976+2*'Read Me'!$B$13)*(1+'Read Me'!$B$12),-1)</f>
        <v/>
      </c>
      <c r="W2976" s="15">
        <f>V2976*N2976*O2976</f>
        <v/>
      </c>
      <c r="X2976" s="12">
        <f>IF(LEFT(I2976,2)="MV",2*N2976*IF(L2976="1/C",O2976,1),0)</f>
        <v/>
      </c>
      <c r="Y2976" s="12">
        <f>IF(OR(LEFT(K2976,4)="LVAX",LEFT(K2976,6)="MV15AX",LEFT(K2976,4)="CTAX",LEFT(K2976,2)="W|"),2*N2976*O2976,0)</f>
        <v/>
      </c>
      <c r="Z2976" s="12" t="inlineStr"/>
      <c r="AA2976" s="12">
        <f>N2976*O2976</f>
        <v/>
      </c>
    </row>
    <row r="2977">
      <c r="A2977" s="12" t="inlineStr">
        <is>
          <t>G-C-0039</t>
        </is>
      </c>
      <c r="B2977" s="12" t="inlineStr">
        <is>
          <t>G</t>
        </is>
      </c>
      <c r="C2977" s="12" t="inlineStr">
        <is>
          <t>Carbon capture</t>
        </is>
      </c>
      <c r="D2977" s="12" t="inlineStr">
        <is>
          <t>Motor 3 of 4: control / local station</t>
        </is>
      </c>
      <c r="E2977" s="12" t="inlineStr"/>
      <c r="F2977" s="12" t="inlineStr">
        <is>
          <t>CCS MV switchgear building (VFDs)</t>
        </is>
      </c>
      <c r="G2977" s="12" t="inlineStr">
        <is>
          <t>BF-A</t>
        </is>
      </c>
      <c r="H2977" s="12" t="inlineStr">
        <is>
          <t>BF-A: booster fan (~16 MW)</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Duct bank</t>
        </is>
      </c>
      <c r="T2977" s="15" t="n">
        <v>460</v>
      </c>
      <c r="U2977" s="15" t="n">
        <v>32</v>
      </c>
      <c r="V2977" s="15">
        <f>ROUNDUP((T2977+U2977+2*'Read Me'!$B$13)*(1+'Read Me'!$B$12),-1)</f>
        <v/>
      </c>
      <c r="W2977" s="15">
        <f>V2977*N2977*O2977</f>
        <v/>
      </c>
      <c r="X2977" s="12">
        <f>IF(LEFT(I2977,2)="MV",2*N2977*IF(L2977="1/C",O2977,1),0)</f>
        <v/>
      </c>
      <c r="Y2977" s="12">
        <f>IF(OR(LEFT(K2977,4)="LVAX",LEFT(K2977,6)="MV15AX",LEFT(K2977,4)="CTAX",LEFT(K2977,2)="W|"),2*N2977*O2977,0)</f>
        <v/>
      </c>
      <c r="Z2977" s="12" t="inlineStr"/>
      <c r="AA2977" s="12">
        <f>N2977*O2977</f>
        <v/>
      </c>
    </row>
    <row r="2978">
      <c r="A2978" s="12" t="inlineStr">
        <is>
          <t>G-C-0040</t>
        </is>
      </c>
      <c r="B2978" s="12" t="inlineStr">
        <is>
          <t>G</t>
        </is>
      </c>
      <c r="C2978" s="12" t="inlineStr">
        <is>
          <t>Carbon capture</t>
        </is>
      </c>
      <c r="D2978" s="12" t="inlineStr">
        <is>
          <t>Motor 4 of 4: control / local station</t>
        </is>
      </c>
      <c r="E2978" s="12" t="inlineStr"/>
      <c r="F2978" s="12" t="inlineStr">
        <is>
          <t>CCS MV switchgear building (VFDs)</t>
        </is>
      </c>
      <c r="G2978" s="12" t="inlineStr">
        <is>
          <t>BF-A</t>
        </is>
      </c>
      <c r="H2978" s="12" t="inlineStr">
        <is>
          <t>BF-A: booster fan (~16 MW)</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Duct bank</t>
        </is>
      </c>
      <c r="T2978" s="15" t="n">
        <v>460</v>
      </c>
      <c r="U2978" s="15" t="n">
        <v>32</v>
      </c>
      <c r="V2978" s="15">
        <f>ROUNDUP((T2978+U2978+2*'Read Me'!$B$13)*(1+'Read Me'!$B$12),-1)</f>
        <v/>
      </c>
      <c r="W2978" s="15">
        <f>V2978*N2978*O2978</f>
        <v/>
      </c>
      <c r="X2978" s="12">
        <f>IF(LEFT(I2978,2)="MV",2*N2978*IF(L2978="1/C",O2978,1),0)</f>
        <v/>
      </c>
      <c r="Y2978" s="12">
        <f>IF(OR(LEFT(K2978,4)="LVAX",LEFT(K2978,6)="MV15AX",LEFT(K2978,4)="CTAX",LEFT(K2978,2)="W|"),2*N2978*O2978,0)</f>
        <v/>
      </c>
      <c r="Z2978" s="12" t="inlineStr"/>
      <c r="AA2978" s="12">
        <f>N2978*O2978</f>
        <v/>
      </c>
    </row>
    <row r="2979">
      <c r="A2979" s="12" t="inlineStr">
        <is>
          <t>G-C-0041</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BF-B</t>
        </is>
      </c>
      <c r="H2979" s="12" t="inlineStr">
        <is>
          <t>BF-B: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5" t="n">
        <v>300</v>
      </c>
      <c r="U2979" s="15" t="n">
        <v>32</v>
      </c>
      <c r="V2979" s="15">
        <f>ROUNDUP((T2979+U2979+2*'Read Me'!$B$13)*(1+'Read Me'!$B$12),-1)</f>
        <v/>
      </c>
      <c r="W2979" s="15">
        <f>V2979*N2979*O2979</f>
        <v/>
      </c>
      <c r="X2979" s="12">
        <f>IF(LEFT(I2979,2)="MV",2*N2979*IF(L2979="1/C",O2979,1),0)</f>
        <v/>
      </c>
      <c r="Y2979" s="12">
        <f>IF(OR(LEFT(K2979,4)="LVAX",LEFT(K2979,6)="MV15AX",LEFT(K2979,4)="CTAX",LEFT(K2979,2)="W|"),2*N2979*O2979,0)</f>
        <v/>
      </c>
      <c r="Z2979" s="12" t="inlineStr"/>
      <c r="AA2979" s="12">
        <f>N2979*O2979</f>
        <v/>
      </c>
    </row>
    <row r="2980">
      <c r="A2980" s="12" t="inlineStr">
        <is>
          <t>G-C-0042</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BF-B</t>
        </is>
      </c>
      <c r="H2980" s="12" t="inlineStr">
        <is>
          <t>BF-B: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5" t="n">
        <v>300</v>
      </c>
      <c r="U2980" s="15" t="n">
        <v>32</v>
      </c>
      <c r="V2980" s="15">
        <f>ROUNDUP((T2980+U2980+2*'Read Me'!$B$13)*(1+'Read Me'!$B$12),-1)</f>
        <v/>
      </c>
      <c r="W2980" s="15">
        <f>V2980*N2980*O2980</f>
        <v/>
      </c>
      <c r="X2980" s="12">
        <f>IF(LEFT(I2980,2)="MV",2*N2980*IF(L2980="1/C",O2980,1),0)</f>
        <v/>
      </c>
      <c r="Y2980" s="12">
        <f>IF(OR(LEFT(K2980,4)="LVAX",LEFT(K2980,6)="MV15AX",LEFT(K2980,4)="CTAX",LEFT(K2980,2)="W|"),2*N2980*O2980,0)</f>
        <v/>
      </c>
      <c r="Z2980" s="12" t="inlineStr"/>
      <c r="AA2980" s="12">
        <f>N2980*O2980</f>
        <v/>
      </c>
    </row>
    <row r="2981">
      <c r="A2981" s="12" t="inlineStr">
        <is>
          <t>G-C-0043</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BF-B</t>
        </is>
      </c>
      <c r="H2981" s="12" t="inlineStr">
        <is>
          <t>BF-B: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5" t="n">
        <v>300</v>
      </c>
      <c r="U2981" s="15" t="n">
        <v>32</v>
      </c>
      <c r="V2981" s="15">
        <f>ROUNDUP((T2981+U2981+2*'Read Me'!$B$13)*(1+'Read Me'!$B$12),-1)</f>
        <v/>
      </c>
      <c r="W2981" s="15">
        <f>V2981*N2981*O2981</f>
        <v/>
      </c>
      <c r="X2981" s="12">
        <f>IF(LEFT(I2981,2)="MV",2*N2981*IF(L2981="1/C",O2981,1),0)</f>
        <v/>
      </c>
      <c r="Y2981" s="12">
        <f>IF(OR(LEFT(K2981,4)="LVAX",LEFT(K2981,6)="MV15AX",LEFT(K2981,4)="CTAX",LEFT(K2981,2)="W|"),2*N2981*O2981,0)</f>
        <v/>
      </c>
      <c r="Z2981" s="12" t="inlineStr"/>
      <c r="AA2981" s="12">
        <f>N2981*O2981</f>
        <v/>
      </c>
    </row>
    <row r="2982">
      <c r="A2982" s="12" t="inlineStr">
        <is>
          <t>G-C-0044</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BF-B</t>
        </is>
      </c>
      <c r="H2982" s="12" t="inlineStr">
        <is>
          <t>BF-B: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5" t="n">
        <v>300</v>
      </c>
      <c r="U2982" s="15" t="n">
        <v>32</v>
      </c>
      <c r="V2982" s="15">
        <f>ROUNDUP((T2982+U2982+2*'Read Me'!$B$13)*(1+'Read Me'!$B$12),-1)</f>
        <v/>
      </c>
      <c r="W2982" s="15">
        <f>V2982*N2982*O2982</f>
        <v/>
      </c>
      <c r="X2982" s="12">
        <f>IF(LEFT(I2982,2)="MV",2*N2982*IF(L2982="1/C",O2982,1),0)</f>
        <v/>
      </c>
      <c r="Y2982" s="12">
        <f>IF(OR(LEFT(K2982,4)="LVAX",LEFT(K2982,6)="MV15AX",LEFT(K2982,4)="CTAX",LEFT(K2982,2)="W|"),2*N2982*O2982,0)</f>
        <v/>
      </c>
      <c r="Z2982" s="12" t="inlineStr"/>
      <c r="AA2982" s="12">
        <f>N2982*O2982</f>
        <v/>
      </c>
    </row>
    <row r="2983">
      <c r="A2983" s="12" t="inlineStr">
        <is>
          <t>G-C-0045</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BF-C</t>
        </is>
      </c>
      <c r="H2983" s="12" t="inlineStr">
        <is>
          <t>BF-C: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5" t="n">
        <v>140</v>
      </c>
      <c r="U2983" s="15" t="n">
        <v>32</v>
      </c>
      <c r="V2983" s="15">
        <f>ROUNDUP((T2983+U2983+2*'Read Me'!$B$13)*(1+'Read Me'!$B$12),-1)</f>
        <v/>
      </c>
      <c r="W2983" s="15">
        <f>V2983*N2983*O2983</f>
        <v/>
      </c>
      <c r="X2983" s="12">
        <f>IF(LEFT(I2983,2)="MV",2*N2983*IF(L2983="1/C",O2983,1),0)</f>
        <v/>
      </c>
      <c r="Y2983" s="12">
        <f>IF(OR(LEFT(K2983,4)="LVAX",LEFT(K2983,6)="MV15AX",LEFT(K2983,4)="CTAX",LEFT(K2983,2)="W|"),2*N2983*O2983,0)</f>
        <v/>
      </c>
      <c r="Z2983" s="12" t="inlineStr"/>
      <c r="AA2983" s="12">
        <f>N2983*O2983</f>
        <v/>
      </c>
    </row>
    <row r="2984">
      <c r="A2984" s="12" t="inlineStr">
        <is>
          <t>G-C-0046</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BF-C</t>
        </is>
      </c>
      <c r="H2984" s="12" t="inlineStr">
        <is>
          <t>BF-C: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5" t="n">
        <v>140</v>
      </c>
      <c r="U2984" s="15" t="n">
        <v>32</v>
      </c>
      <c r="V2984" s="15">
        <f>ROUNDUP((T2984+U2984+2*'Read Me'!$B$13)*(1+'Read Me'!$B$12),-1)</f>
        <v/>
      </c>
      <c r="W2984" s="15">
        <f>V2984*N2984*O2984</f>
        <v/>
      </c>
      <c r="X2984" s="12">
        <f>IF(LEFT(I2984,2)="MV",2*N2984*IF(L2984="1/C",O2984,1),0)</f>
        <v/>
      </c>
      <c r="Y2984" s="12">
        <f>IF(OR(LEFT(K2984,4)="LVAX",LEFT(K2984,6)="MV15AX",LEFT(K2984,4)="CTAX",LEFT(K2984,2)="W|"),2*N2984*O2984,0)</f>
        <v/>
      </c>
      <c r="Z2984" s="12" t="inlineStr"/>
      <c r="AA2984" s="12">
        <f>N2984*O2984</f>
        <v/>
      </c>
    </row>
    <row r="2985">
      <c r="A2985" s="12" t="inlineStr">
        <is>
          <t>G-C-0047</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BF-C</t>
        </is>
      </c>
      <c r="H2985" s="12" t="inlineStr">
        <is>
          <t>BF-C: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5" t="n">
        <v>140</v>
      </c>
      <c r="U2985" s="15" t="n">
        <v>32</v>
      </c>
      <c r="V2985" s="15">
        <f>ROUNDUP((T2985+U2985+2*'Read Me'!$B$13)*(1+'Read Me'!$B$12),-1)</f>
        <v/>
      </c>
      <c r="W2985" s="15">
        <f>V2985*N2985*O2985</f>
        <v/>
      </c>
      <c r="X2985" s="12">
        <f>IF(LEFT(I2985,2)="MV",2*N2985*IF(L2985="1/C",O2985,1),0)</f>
        <v/>
      </c>
      <c r="Y2985" s="12">
        <f>IF(OR(LEFT(K2985,4)="LVAX",LEFT(K2985,6)="MV15AX",LEFT(K2985,4)="CTAX",LEFT(K2985,2)="W|"),2*N2985*O2985,0)</f>
        <v/>
      </c>
      <c r="Z2985" s="12" t="inlineStr"/>
      <c r="AA2985" s="12">
        <f>N2985*O2985</f>
        <v/>
      </c>
    </row>
    <row r="2986">
      <c r="A2986" s="12" t="inlineStr">
        <is>
          <t>G-C-0048</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BF-C</t>
        </is>
      </c>
      <c r="H2986" s="12" t="inlineStr">
        <is>
          <t>BF-C: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5" t="n">
        <v>140</v>
      </c>
      <c r="U2986" s="15" t="n">
        <v>32</v>
      </c>
      <c r="V2986" s="15">
        <f>ROUNDUP((T2986+U2986+2*'Read Me'!$B$13)*(1+'Read Me'!$B$12),-1)</f>
        <v/>
      </c>
      <c r="W2986" s="15">
        <f>V2986*N2986*O2986</f>
        <v/>
      </c>
      <c r="X2986" s="12">
        <f>IF(LEFT(I2986,2)="MV",2*N2986*IF(L2986="1/C",O2986,1),0)</f>
        <v/>
      </c>
      <c r="Y2986" s="12">
        <f>IF(OR(LEFT(K2986,4)="LVAX",LEFT(K2986,6)="MV15AX",LEFT(K2986,4)="CTAX",LEFT(K2986,2)="W|"),2*N2986*O2986,0)</f>
        <v/>
      </c>
      <c r="Z2986" s="12" t="inlineStr"/>
      <c r="AA2986" s="12">
        <f>N2986*O2986</f>
        <v/>
      </c>
    </row>
    <row r="2987">
      <c r="A2987" s="12" t="inlineStr">
        <is>
          <t>G-C-0049</t>
        </is>
      </c>
      <c r="B2987" s="12" t="inlineStr">
        <is>
          <t>G</t>
        </is>
      </c>
      <c r="C2987" s="12" t="inlineStr">
        <is>
          <t>Carbon capture</t>
        </is>
      </c>
      <c r="D2987" s="12" t="inlineStr">
        <is>
          <t>Control</t>
        </is>
      </c>
      <c r="E2987" s="12" t="inlineStr"/>
      <c r="F2987" s="12" t="inlineStr">
        <is>
          <t>CCS F&amp;G / control</t>
        </is>
      </c>
      <c r="G2987" s="12" t="inlineStr"/>
      <c r="H2987" s="12" t="inlineStr">
        <is>
          <t>CCS F&amp;G / control</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5" t="n">
        <v>0</v>
      </c>
      <c r="U2987" s="15" t="n">
        <v>170</v>
      </c>
      <c r="V2987" s="15">
        <f>ROUNDUP((T2987+U2987+2*'Read Me'!$B$13)*(1+'Read Me'!$B$12),-1)</f>
        <v/>
      </c>
      <c r="W2987" s="15">
        <f>V2987*N2987*O2987</f>
        <v/>
      </c>
      <c r="X2987" s="12">
        <f>IF(LEFT(I2987,2)="MV",2*N2987*IF(L2987="1/C",O2987,1),0)</f>
        <v/>
      </c>
      <c r="Y2987" s="12">
        <f>IF(OR(LEFT(K2987,4)="LVAX",LEFT(K2987,6)="MV15AX",LEFT(K2987,4)="CTAX",LEFT(K2987,2)="W|"),2*N2987*O2987,0)</f>
        <v/>
      </c>
      <c r="Z2987" s="12" t="inlineStr"/>
      <c r="AA2987" s="12">
        <f>N2987*O2987</f>
        <v/>
      </c>
    </row>
    <row r="2988">
      <c r="A2988" s="12" t="inlineStr">
        <is>
          <t>G-C-0050</t>
        </is>
      </c>
      <c r="B2988" s="12" t="inlineStr">
        <is>
          <t>G</t>
        </is>
      </c>
      <c r="C2988" s="12" t="inlineStr">
        <is>
          <t>Carbon capture</t>
        </is>
      </c>
      <c r="D2988" s="12" t="inlineStr">
        <is>
          <t>Control</t>
        </is>
      </c>
      <c r="E2988" s="12" t="inlineStr"/>
      <c r="F2988" s="12" t="inlineStr">
        <is>
          <t>CCS F&amp;G / control</t>
        </is>
      </c>
      <c r="G2988" s="12" t="inlineStr"/>
      <c r="H2988" s="12" t="inlineStr">
        <is>
          <t>CCS MV switchgear building (VFDs)</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5" t="n">
        <v>206</v>
      </c>
      <c r="U2988" s="15" t="n">
        <v>101</v>
      </c>
      <c r="V2988" s="15">
        <f>ROUNDUP((T2988+U2988+2*'Read Me'!$B$13)*(1+'Read Me'!$B$12),-1)</f>
        <v/>
      </c>
      <c r="W2988" s="15">
        <f>V2988*N2988*O2988</f>
        <v/>
      </c>
      <c r="X2988" s="12">
        <f>IF(LEFT(I2988,2)="MV",2*N2988*IF(L2988="1/C",O2988,1),0)</f>
        <v/>
      </c>
      <c r="Y2988" s="12">
        <f>IF(OR(LEFT(K2988,4)="LVAX",LEFT(K2988,6)="MV15AX",LEFT(K2988,4)="CTAX",LEFT(K2988,2)="W|"),2*N2988*O2988,0)</f>
        <v/>
      </c>
      <c r="Z2988" s="12" t="inlineStr"/>
      <c r="AA2988" s="12">
        <f>N2988*O2988</f>
        <v/>
      </c>
    </row>
    <row r="2989">
      <c r="A2989" s="12" t="inlineStr">
        <is>
          <t>G-C-0051</t>
        </is>
      </c>
      <c r="B2989" s="12" t="inlineStr">
        <is>
          <t>G</t>
        </is>
      </c>
      <c r="C2989" s="12" t="inlineStr">
        <is>
          <t>Carbon capture</t>
        </is>
      </c>
      <c r="D2989" s="12" t="inlineStr">
        <is>
          <t>Motor 1 of 6: control / local station</t>
        </is>
      </c>
      <c r="E2989" s="12" t="inlineStr"/>
      <c r="F2989" s="12" t="inlineStr">
        <is>
          <t>CCS MV switchgear building (VFDs)</t>
        </is>
      </c>
      <c r="G2989" s="12" t="inlineStr">
        <is>
          <t>CCS T-1</t>
        </is>
      </c>
      <c r="H2989" s="12" t="inlineStr">
        <is>
          <t>CCS T-1: 230/13.8 kV</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Duct bank</t>
        </is>
      </c>
      <c r="T2989" s="15" t="n">
        <v>360</v>
      </c>
      <c r="U2989" s="15" t="n">
        <v>34</v>
      </c>
      <c r="V2989" s="15">
        <f>ROUNDUP((T2989+U2989+2*'Read Me'!$B$13)*(1+'Read Me'!$B$12),-1)</f>
        <v/>
      </c>
      <c r="W2989" s="15">
        <f>V2989*N2989*O2989</f>
        <v/>
      </c>
      <c r="X2989" s="12">
        <f>IF(LEFT(I2989,2)="MV",2*N2989*IF(L2989="1/C",O2989,1),0)</f>
        <v/>
      </c>
      <c r="Y2989" s="12">
        <f>IF(OR(LEFT(K2989,4)="LVAX",LEFT(K2989,6)="MV15AX",LEFT(K2989,4)="CTAX",LEFT(K2989,2)="W|"),2*N2989*O2989,0)</f>
        <v/>
      </c>
      <c r="Z2989" s="12" t="inlineStr"/>
      <c r="AA2989" s="12">
        <f>N2989*O2989</f>
        <v/>
      </c>
    </row>
    <row r="2990">
      <c r="A2990" s="12" t="inlineStr">
        <is>
          <t>G-C-0052</t>
        </is>
      </c>
      <c r="B2990" s="12" t="inlineStr">
        <is>
          <t>G</t>
        </is>
      </c>
      <c r="C2990" s="12" t="inlineStr">
        <is>
          <t>Carbon capture</t>
        </is>
      </c>
      <c r="D2990" s="12" t="inlineStr">
        <is>
          <t>Motor 2 of 6: control / local station</t>
        </is>
      </c>
      <c r="E2990" s="12" t="inlineStr"/>
      <c r="F2990" s="12" t="inlineStr">
        <is>
          <t>CCS MV switchgear building (VFDs)</t>
        </is>
      </c>
      <c r="G2990" s="12" t="inlineStr">
        <is>
          <t>CCS T-1</t>
        </is>
      </c>
      <c r="H2990" s="12" t="inlineStr">
        <is>
          <t>CCS T-1: 230/13.8 kV</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5" t="n">
        <v>360</v>
      </c>
      <c r="U2990" s="15" t="n">
        <v>34</v>
      </c>
      <c r="V2990" s="15">
        <f>ROUNDUP((T2990+U2990+2*'Read Me'!$B$13)*(1+'Read Me'!$B$12),-1)</f>
        <v/>
      </c>
      <c r="W2990" s="15">
        <f>V2990*N2990*O2990</f>
        <v/>
      </c>
      <c r="X2990" s="12">
        <f>IF(LEFT(I2990,2)="MV",2*N2990*IF(L2990="1/C",O2990,1),0)</f>
        <v/>
      </c>
      <c r="Y2990" s="12">
        <f>IF(OR(LEFT(K2990,4)="LVAX",LEFT(K2990,6)="MV15AX",LEFT(K2990,4)="CTAX",LEFT(K2990,2)="W|"),2*N2990*O2990,0)</f>
        <v/>
      </c>
      <c r="Z2990" s="12" t="inlineStr"/>
      <c r="AA2990" s="12">
        <f>N2990*O2990</f>
        <v/>
      </c>
    </row>
    <row r="2991">
      <c r="A2991" s="12" t="inlineStr">
        <is>
          <t>G-C-0053</t>
        </is>
      </c>
      <c r="B2991" s="12" t="inlineStr">
        <is>
          <t>G</t>
        </is>
      </c>
      <c r="C2991" s="12" t="inlineStr">
        <is>
          <t>Carbon capture</t>
        </is>
      </c>
      <c r="D2991" s="12" t="inlineStr">
        <is>
          <t>Motor 3 of 6: control / local station</t>
        </is>
      </c>
      <c r="E2991" s="12" t="inlineStr"/>
      <c r="F2991" s="12" t="inlineStr">
        <is>
          <t>CCS MV switchgear building (VFDs)</t>
        </is>
      </c>
      <c r="G2991" s="12" t="inlineStr">
        <is>
          <t>CCS T-1</t>
        </is>
      </c>
      <c r="H2991" s="12" t="inlineStr">
        <is>
          <t>CCS T-1: 230/13.8 kV</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Duct bank</t>
        </is>
      </c>
      <c r="T2991" s="15" t="n">
        <v>360</v>
      </c>
      <c r="U2991" s="15" t="n">
        <v>34</v>
      </c>
      <c r="V2991" s="15">
        <f>ROUNDUP((T2991+U2991+2*'Read Me'!$B$13)*(1+'Read Me'!$B$12),-1)</f>
        <v/>
      </c>
      <c r="W2991" s="15">
        <f>V2991*N2991*O2991</f>
        <v/>
      </c>
      <c r="X2991" s="12">
        <f>IF(LEFT(I2991,2)="MV",2*N2991*IF(L2991="1/C",O2991,1),0)</f>
        <v/>
      </c>
      <c r="Y2991" s="12">
        <f>IF(OR(LEFT(K2991,4)="LVAX",LEFT(K2991,6)="MV15AX",LEFT(K2991,4)="CTAX",LEFT(K2991,2)="W|"),2*N2991*O2991,0)</f>
        <v/>
      </c>
      <c r="Z2991" s="12" t="inlineStr"/>
      <c r="AA2991" s="12">
        <f>N2991*O2991</f>
        <v/>
      </c>
    </row>
    <row r="2992">
      <c r="A2992" s="12" t="inlineStr">
        <is>
          <t>G-C-0054</t>
        </is>
      </c>
      <c r="B2992" s="12" t="inlineStr">
        <is>
          <t>G</t>
        </is>
      </c>
      <c r="C2992" s="12" t="inlineStr">
        <is>
          <t>Carbon capture</t>
        </is>
      </c>
      <c r="D2992" s="12" t="inlineStr">
        <is>
          <t>Motor 4 of 6: control / local station</t>
        </is>
      </c>
      <c r="E2992" s="12" t="inlineStr"/>
      <c r="F2992" s="12" t="inlineStr">
        <is>
          <t>CCS MV switchgear building (VFDs)</t>
        </is>
      </c>
      <c r="G2992" s="12" t="inlineStr">
        <is>
          <t>CCS T-1</t>
        </is>
      </c>
      <c r="H2992" s="12" t="inlineStr">
        <is>
          <t>CCS T-1: 230/13.8 kV</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5" t="n">
        <v>360</v>
      </c>
      <c r="U2992" s="15" t="n">
        <v>34</v>
      </c>
      <c r="V2992" s="15">
        <f>ROUNDUP((T2992+U2992+2*'Read Me'!$B$13)*(1+'Read Me'!$B$12),-1)</f>
        <v/>
      </c>
      <c r="W2992" s="15">
        <f>V2992*N2992*O2992</f>
        <v/>
      </c>
      <c r="X2992" s="12">
        <f>IF(LEFT(I2992,2)="MV",2*N2992*IF(L2992="1/C",O2992,1),0)</f>
        <v/>
      </c>
      <c r="Y2992" s="12">
        <f>IF(OR(LEFT(K2992,4)="LVAX",LEFT(K2992,6)="MV15AX",LEFT(K2992,4)="CTAX",LEFT(K2992,2)="W|"),2*N2992*O2992,0)</f>
        <v/>
      </c>
      <c r="Z2992" s="12" t="inlineStr"/>
      <c r="AA2992" s="12">
        <f>N2992*O2992</f>
        <v/>
      </c>
    </row>
    <row r="2993">
      <c r="A2993" s="12" t="inlineStr">
        <is>
          <t>G-C-0055</t>
        </is>
      </c>
      <c r="B2993" s="12" t="inlineStr">
        <is>
          <t>G</t>
        </is>
      </c>
      <c r="C2993" s="12" t="inlineStr">
        <is>
          <t>Carbon capture</t>
        </is>
      </c>
      <c r="D2993" s="12" t="inlineStr">
        <is>
          <t>Motor 5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5" t="n">
        <v>360</v>
      </c>
      <c r="U2993" s="15" t="n">
        <v>34</v>
      </c>
      <c r="V2993" s="15">
        <f>ROUNDUP((T2993+U2993+2*'Read Me'!$B$13)*(1+'Read Me'!$B$12),-1)</f>
        <v/>
      </c>
      <c r="W2993" s="15">
        <f>V2993*N2993*O2993</f>
        <v/>
      </c>
      <c r="X2993" s="12">
        <f>IF(LEFT(I2993,2)="MV",2*N2993*IF(L2993="1/C",O2993,1),0)</f>
        <v/>
      </c>
      <c r="Y2993" s="12">
        <f>IF(OR(LEFT(K2993,4)="LVAX",LEFT(K2993,6)="MV15AX",LEFT(K2993,4)="CTAX",LEFT(K2993,2)="W|"),2*N2993*O2993,0)</f>
        <v/>
      </c>
      <c r="Z2993" s="12" t="inlineStr"/>
      <c r="AA2993" s="12">
        <f>N2993*O2993</f>
        <v/>
      </c>
    </row>
    <row r="2994">
      <c r="A2994" s="12" t="inlineStr">
        <is>
          <t>G-C-0056</t>
        </is>
      </c>
      <c r="B2994" s="12" t="inlineStr">
        <is>
          <t>G</t>
        </is>
      </c>
      <c r="C2994" s="12" t="inlineStr">
        <is>
          <t>Carbon capture</t>
        </is>
      </c>
      <c r="D2994" s="12" t="inlineStr">
        <is>
          <t>Motor 6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5" t="n">
        <v>360</v>
      </c>
      <c r="U2994" s="15" t="n">
        <v>34</v>
      </c>
      <c r="V2994" s="15">
        <f>ROUNDUP((T2994+U2994+2*'Read Me'!$B$13)*(1+'Read Me'!$B$12),-1)</f>
        <v/>
      </c>
      <c r="W2994" s="15">
        <f>V2994*N2994*O2994</f>
        <v/>
      </c>
      <c r="X2994" s="12">
        <f>IF(LEFT(I2994,2)="MV",2*N2994*IF(L2994="1/C",O2994,1),0)</f>
        <v/>
      </c>
      <c r="Y2994" s="12">
        <f>IF(OR(LEFT(K2994,4)="LVAX",LEFT(K2994,6)="MV15AX",LEFT(K2994,4)="CTAX",LEFT(K2994,2)="W|"),2*N2994*O2994,0)</f>
        <v/>
      </c>
      <c r="Z2994" s="12" t="inlineStr"/>
      <c r="AA2994" s="12">
        <f>N2994*O2994</f>
        <v/>
      </c>
    </row>
    <row r="2995">
      <c r="A2995" s="12" t="inlineStr">
        <is>
          <t>G-C-0057</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T-2</t>
        </is>
      </c>
      <c r="H2995" s="12" t="inlineStr">
        <is>
          <t>CCS T-2: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5" t="n">
        <v>410</v>
      </c>
      <c r="U2995" s="15" t="n">
        <v>32</v>
      </c>
      <c r="V2995" s="15">
        <f>ROUNDUP((T2995+U2995+2*'Read Me'!$B$13)*(1+'Read Me'!$B$12),-1)</f>
        <v/>
      </c>
      <c r="W2995" s="15">
        <f>V2995*N2995*O2995</f>
        <v/>
      </c>
      <c r="X2995" s="12">
        <f>IF(LEFT(I2995,2)="MV",2*N2995*IF(L2995="1/C",O2995,1),0)</f>
        <v/>
      </c>
      <c r="Y2995" s="12">
        <f>IF(OR(LEFT(K2995,4)="LVAX",LEFT(K2995,6)="MV15AX",LEFT(K2995,4)="CTAX",LEFT(K2995,2)="W|"),2*N2995*O2995,0)</f>
        <v/>
      </c>
      <c r="Z2995" s="12" t="inlineStr"/>
      <c r="AA2995" s="12">
        <f>N2995*O2995</f>
        <v/>
      </c>
    </row>
    <row r="2996">
      <c r="A2996" s="12" t="inlineStr">
        <is>
          <t>G-C-0058</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T-2</t>
        </is>
      </c>
      <c r="H2996" s="12" t="inlineStr">
        <is>
          <t>CCS T-2: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5" t="n">
        <v>410</v>
      </c>
      <c r="U2996" s="15" t="n">
        <v>32</v>
      </c>
      <c r="V2996" s="15">
        <f>ROUNDUP((T2996+U2996+2*'Read Me'!$B$13)*(1+'Read Me'!$B$12),-1)</f>
        <v/>
      </c>
      <c r="W2996" s="15">
        <f>V2996*N2996*O2996</f>
        <v/>
      </c>
      <c r="X2996" s="12">
        <f>IF(LEFT(I2996,2)="MV",2*N2996*IF(L2996="1/C",O2996,1),0)</f>
        <v/>
      </c>
      <c r="Y2996" s="12">
        <f>IF(OR(LEFT(K2996,4)="LVAX",LEFT(K2996,6)="MV15AX",LEFT(K2996,4)="CTAX",LEFT(K2996,2)="W|"),2*N2996*O2996,0)</f>
        <v/>
      </c>
      <c r="Z2996" s="12" t="inlineStr"/>
      <c r="AA2996" s="12">
        <f>N2996*O2996</f>
        <v/>
      </c>
    </row>
    <row r="2997">
      <c r="A2997" s="12" t="inlineStr">
        <is>
          <t>G-C-0059</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T-2</t>
        </is>
      </c>
      <c r="H2997" s="12" t="inlineStr">
        <is>
          <t>CCS T-2: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5" t="n">
        <v>410</v>
      </c>
      <c r="U2997" s="15" t="n">
        <v>32</v>
      </c>
      <c r="V2997" s="15">
        <f>ROUNDUP((T2997+U2997+2*'Read Me'!$B$13)*(1+'Read Me'!$B$12),-1)</f>
        <v/>
      </c>
      <c r="W2997" s="15">
        <f>V2997*N2997*O2997</f>
        <v/>
      </c>
      <c r="X2997" s="12">
        <f>IF(LEFT(I2997,2)="MV",2*N2997*IF(L2997="1/C",O2997,1),0)</f>
        <v/>
      </c>
      <c r="Y2997" s="12">
        <f>IF(OR(LEFT(K2997,4)="LVAX",LEFT(K2997,6)="MV15AX",LEFT(K2997,4)="CTAX",LEFT(K2997,2)="W|"),2*N2997*O2997,0)</f>
        <v/>
      </c>
      <c r="Z2997" s="12" t="inlineStr"/>
      <c r="AA2997" s="12">
        <f>N2997*O2997</f>
        <v/>
      </c>
    </row>
    <row r="2998">
      <c r="A2998" s="12" t="inlineStr">
        <is>
          <t>G-C-0060</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T-2</t>
        </is>
      </c>
      <c r="H2998" s="12" t="inlineStr">
        <is>
          <t>CCS T-2: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5" t="n">
        <v>410</v>
      </c>
      <c r="U2998" s="15" t="n">
        <v>32</v>
      </c>
      <c r="V2998" s="15">
        <f>ROUNDUP((T2998+U2998+2*'Read Me'!$B$13)*(1+'Read Me'!$B$12),-1)</f>
        <v/>
      </c>
      <c r="W2998" s="15">
        <f>V2998*N2998*O2998</f>
        <v/>
      </c>
      <c r="X2998" s="12">
        <f>IF(LEFT(I2998,2)="MV",2*N2998*IF(L2998="1/C",O2998,1),0)</f>
        <v/>
      </c>
      <c r="Y2998" s="12">
        <f>IF(OR(LEFT(K2998,4)="LVAX",LEFT(K2998,6)="MV15AX",LEFT(K2998,4)="CTAX",LEFT(K2998,2)="W|"),2*N2998*O2998,0)</f>
        <v/>
      </c>
      <c r="Z2998" s="12" t="inlineStr"/>
      <c r="AA2998" s="12">
        <f>N2998*O2998</f>
        <v/>
      </c>
    </row>
    <row r="2999">
      <c r="A2999" s="12" t="inlineStr">
        <is>
          <t>G-C-0061</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5" t="n">
        <v>410</v>
      </c>
      <c r="U2999" s="15" t="n">
        <v>32</v>
      </c>
      <c r="V2999" s="15">
        <f>ROUNDUP((T2999+U2999+2*'Read Me'!$B$13)*(1+'Read Me'!$B$12),-1)</f>
        <v/>
      </c>
      <c r="W2999" s="15">
        <f>V2999*N2999*O2999</f>
        <v/>
      </c>
      <c r="X2999" s="12">
        <f>IF(LEFT(I2999,2)="MV",2*N2999*IF(L2999="1/C",O2999,1),0)</f>
        <v/>
      </c>
      <c r="Y2999" s="12">
        <f>IF(OR(LEFT(K2999,4)="LVAX",LEFT(K2999,6)="MV15AX",LEFT(K2999,4)="CTAX",LEFT(K2999,2)="W|"),2*N2999*O2999,0)</f>
        <v/>
      </c>
      <c r="Z2999" s="12" t="inlineStr"/>
      <c r="AA2999" s="12">
        <f>N2999*O2999</f>
        <v/>
      </c>
    </row>
    <row r="3000">
      <c r="A3000" s="12" t="inlineStr">
        <is>
          <t>G-C-0062</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5" t="n">
        <v>410</v>
      </c>
      <c r="U3000" s="15" t="n">
        <v>32</v>
      </c>
      <c r="V3000" s="15">
        <f>ROUNDUP((T3000+U3000+2*'Read Me'!$B$13)*(1+'Read Me'!$B$12),-1)</f>
        <v/>
      </c>
      <c r="W3000" s="15">
        <f>V3000*N3000*O3000</f>
        <v/>
      </c>
      <c r="X3000" s="12">
        <f>IF(LEFT(I3000,2)="MV",2*N3000*IF(L3000="1/C",O3000,1),0)</f>
        <v/>
      </c>
      <c r="Y3000" s="12">
        <f>IF(OR(LEFT(K3000,4)="LVAX",LEFT(K3000,6)="MV15AX",LEFT(K3000,4)="CTAX",LEFT(K3000,2)="W|"),2*N3000*O3000,0)</f>
        <v/>
      </c>
      <c r="Z3000" s="12" t="inlineStr"/>
      <c r="AA3000" s="12">
        <f>N3000*O3000</f>
        <v/>
      </c>
    </row>
    <row r="3001">
      <c r="A3001" s="12" t="inlineStr">
        <is>
          <t>G-C-0063</t>
        </is>
      </c>
      <c r="B3001" s="12" t="inlineStr">
        <is>
          <t>G</t>
        </is>
      </c>
      <c r="C3001" s="12" t="inlineStr">
        <is>
          <t>Carbon capture</t>
        </is>
      </c>
      <c r="D3001" s="12" t="inlineStr">
        <is>
          <t>Motor 1 of 30: control / local station</t>
        </is>
      </c>
      <c r="E3001" s="12" t="inlineStr"/>
      <c r="F3001" s="12" t="inlineStr">
        <is>
          <t>CT MCC / VFD e-house</t>
        </is>
      </c>
      <c r="G3001" s="12" t="inlineStr">
        <is>
          <t>CCS-CT</t>
        </is>
      </c>
      <c r="H3001" s="12" t="inlineStr">
        <is>
          <t>CCS cooling tower (~30 cells): CCS process cooling only</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5" t="n">
        <v>0</v>
      </c>
      <c r="U3001" s="15" t="n">
        <v>48</v>
      </c>
      <c r="V3001" s="15">
        <f>ROUNDUP((T3001+U3001+2*'Read Me'!$B$13)*(1+'Read Me'!$B$12),-1)</f>
        <v/>
      </c>
      <c r="W3001" s="15">
        <f>V3001*N3001*O3001</f>
        <v/>
      </c>
      <c r="X3001" s="12">
        <f>IF(LEFT(I3001,2)="MV",2*N3001*IF(L3001="1/C",O3001,1),0)</f>
        <v/>
      </c>
      <c r="Y3001" s="12">
        <f>IF(OR(LEFT(K3001,4)="LVAX",LEFT(K3001,6)="MV15AX",LEFT(K3001,4)="CTAX",LEFT(K3001,2)="W|"),2*N3001*O3001,0)</f>
        <v/>
      </c>
      <c r="Z3001" s="12" t="inlineStr"/>
      <c r="AA3001" s="12">
        <f>N3001*O3001</f>
        <v/>
      </c>
    </row>
    <row r="3002">
      <c r="A3002" s="12" t="inlineStr">
        <is>
          <t>G-C-0064</t>
        </is>
      </c>
      <c r="B3002" s="12" t="inlineStr">
        <is>
          <t>G</t>
        </is>
      </c>
      <c r="C3002" s="12" t="inlineStr">
        <is>
          <t>Carbon capture</t>
        </is>
      </c>
      <c r="D3002" s="12" t="inlineStr">
        <is>
          <t>Motor 2 of 30: control / local station</t>
        </is>
      </c>
      <c r="E3002" s="12" t="inlineStr"/>
      <c r="F3002" s="12" t="inlineStr">
        <is>
          <t>CT MCC / VFD e-house</t>
        </is>
      </c>
      <c r="G3002" s="12" t="inlineStr">
        <is>
          <t>CCS-CT</t>
        </is>
      </c>
      <c r="H3002" s="12" t="inlineStr">
        <is>
          <t>CCS cooling tower (~30 cells): CCS process cooling only</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5" t="n">
        <v>0</v>
      </c>
      <c r="U3002" s="15" t="n">
        <v>48</v>
      </c>
      <c r="V3002" s="15">
        <f>ROUNDUP((T3002+U3002+2*'Read Me'!$B$13)*(1+'Read Me'!$B$12),-1)</f>
        <v/>
      </c>
      <c r="W3002" s="15">
        <f>V3002*N3002*O3002</f>
        <v/>
      </c>
      <c r="X3002" s="12">
        <f>IF(LEFT(I3002,2)="MV",2*N3002*IF(L3002="1/C",O3002,1),0)</f>
        <v/>
      </c>
      <c r="Y3002" s="12">
        <f>IF(OR(LEFT(K3002,4)="LVAX",LEFT(K3002,6)="MV15AX",LEFT(K3002,4)="CTAX",LEFT(K3002,2)="W|"),2*N3002*O3002,0)</f>
        <v/>
      </c>
      <c r="Z3002" s="12" t="inlineStr"/>
      <c r="AA3002" s="12">
        <f>N3002*O3002</f>
        <v/>
      </c>
    </row>
    <row r="3003">
      <c r="A3003" s="12" t="inlineStr">
        <is>
          <t>G-C-0065</t>
        </is>
      </c>
      <c r="B3003" s="12" t="inlineStr">
        <is>
          <t>G</t>
        </is>
      </c>
      <c r="C3003" s="12" t="inlineStr">
        <is>
          <t>Carbon capture</t>
        </is>
      </c>
      <c r="D3003" s="12" t="inlineStr">
        <is>
          <t>Motor 3 of 30: control / local station</t>
        </is>
      </c>
      <c r="E3003" s="12" t="inlineStr"/>
      <c r="F3003" s="12" t="inlineStr">
        <is>
          <t>CT MCC / VFD e-house</t>
        </is>
      </c>
      <c r="G3003" s="12" t="inlineStr">
        <is>
          <t>CCS-CT</t>
        </is>
      </c>
      <c r="H3003" s="12" t="inlineStr">
        <is>
          <t>CCS cooling tower (~30 cells): CCS process cooling only</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5" t="n">
        <v>0</v>
      </c>
      <c r="U3003" s="15" t="n">
        <v>48</v>
      </c>
      <c r="V3003" s="15">
        <f>ROUNDUP((T3003+U3003+2*'Read Me'!$B$13)*(1+'Read Me'!$B$12),-1)</f>
        <v/>
      </c>
      <c r="W3003" s="15">
        <f>V3003*N3003*O3003</f>
        <v/>
      </c>
      <c r="X3003" s="12">
        <f>IF(LEFT(I3003,2)="MV",2*N3003*IF(L3003="1/C",O3003,1),0)</f>
        <v/>
      </c>
      <c r="Y3003" s="12">
        <f>IF(OR(LEFT(K3003,4)="LVAX",LEFT(K3003,6)="MV15AX",LEFT(K3003,4)="CTAX",LEFT(K3003,2)="W|"),2*N3003*O3003,0)</f>
        <v/>
      </c>
      <c r="Z3003" s="12" t="inlineStr"/>
      <c r="AA3003" s="12">
        <f>N3003*O3003</f>
        <v/>
      </c>
    </row>
    <row r="3004">
      <c r="A3004" s="12" t="inlineStr">
        <is>
          <t>G-C-0066</t>
        </is>
      </c>
      <c r="B3004" s="12" t="inlineStr">
        <is>
          <t>G</t>
        </is>
      </c>
      <c r="C3004" s="12" t="inlineStr">
        <is>
          <t>Carbon capture</t>
        </is>
      </c>
      <c r="D3004" s="12" t="inlineStr">
        <is>
          <t>Motor 4 of 30: control / local station</t>
        </is>
      </c>
      <c r="E3004" s="12" t="inlineStr"/>
      <c r="F3004" s="12" t="inlineStr">
        <is>
          <t>CT MCC / VFD e-house</t>
        </is>
      </c>
      <c r="G3004" s="12" t="inlineStr">
        <is>
          <t>CCS-CT</t>
        </is>
      </c>
      <c r="H3004" s="12" t="inlineStr">
        <is>
          <t>CCS cooling tower (~30 cells): CCS process cooling only</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5" t="n">
        <v>0</v>
      </c>
      <c r="U3004" s="15" t="n">
        <v>48</v>
      </c>
      <c r="V3004" s="15">
        <f>ROUNDUP((T3004+U3004+2*'Read Me'!$B$13)*(1+'Read Me'!$B$12),-1)</f>
        <v/>
      </c>
      <c r="W3004" s="15">
        <f>V3004*N3004*O3004</f>
        <v/>
      </c>
      <c r="X3004" s="12">
        <f>IF(LEFT(I3004,2)="MV",2*N3004*IF(L3004="1/C",O3004,1),0)</f>
        <v/>
      </c>
      <c r="Y3004" s="12">
        <f>IF(OR(LEFT(K3004,4)="LVAX",LEFT(K3004,6)="MV15AX",LEFT(K3004,4)="CTAX",LEFT(K3004,2)="W|"),2*N3004*O3004,0)</f>
        <v/>
      </c>
      <c r="Z3004" s="12" t="inlineStr"/>
      <c r="AA3004" s="12">
        <f>N3004*O3004</f>
        <v/>
      </c>
    </row>
    <row r="3005">
      <c r="A3005" s="12" t="inlineStr">
        <is>
          <t>G-C-0067</t>
        </is>
      </c>
      <c r="B3005" s="12" t="inlineStr">
        <is>
          <t>G</t>
        </is>
      </c>
      <c r="C3005" s="12" t="inlineStr">
        <is>
          <t>Carbon capture</t>
        </is>
      </c>
      <c r="D3005" s="12" t="inlineStr">
        <is>
          <t>Motor 5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5" t="n">
        <v>0</v>
      </c>
      <c r="U3005" s="15" t="n">
        <v>48</v>
      </c>
      <c r="V3005" s="15">
        <f>ROUNDUP((T3005+U3005+2*'Read Me'!$B$13)*(1+'Read Me'!$B$12),-1)</f>
        <v/>
      </c>
      <c r="W3005" s="15">
        <f>V3005*N3005*O3005</f>
        <v/>
      </c>
      <c r="X3005" s="12">
        <f>IF(LEFT(I3005,2)="MV",2*N3005*IF(L3005="1/C",O3005,1),0)</f>
        <v/>
      </c>
      <c r="Y3005" s="12">
        <f>IF(OR(LEFT(K3005,4)="LVAX",LEFT(K3005,6)="MV15AX",LEFT(K3005,4)="CTAX",LEFT(K3005,2)="W|"),2*N3005*O3005,0)</f>
        <v/>
      </c>
      <c r="Z3005" s="12" t="inlineStr"/>
      <c r="AA3005" s="12">
        <f>N3005*O3005</f>
        <v/>
      </c>
    </row>
    <row r="3006">
      <c r="A3006" s="12" t="inlineStr">
        <is>
          <t>G-C-0068</t>
        </is>
      </c>
      <c r="B3006" s="12" t="inlineStr">
        <is>
          <t>G</t>
        </is>
      </c>
      <c r="C3006" s="12" t="inlineStr">
        <is>
          <t>Carbon capture</t>
        </is>
      </c>
      <c r="D3006" s="12" t="inlineStr">
        <is>
          <t>Motor 6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5" t="n">
        <v>0</v>
      </c>
      <c r="U3006" s="15" t="n">
        <v>48</v>
      </c>
      <c r="V3006" s="15">
        <f>ROUNDUP((T3006+U3006+2*'Read Me'!$B$13)*(1+'Read Me'!$B$12),-1)</f>
        <v/>
      </c>
      <c r="W3006" s="15">
        <f>V3006*N3006*O3006</f>
        <v/>
      </c>
      <c r="X3006" s="12">
        <f>IF(LEFT(I3006,2)="MV",2*N3006*IF(L3006="1/C",O3006,1),0)</f>
        <v/>
      </c>
      <c r="Y3006" s="12">
        <f>IF(OR(LEFT(K3006,4)="LVAX",LEFT(K3006,6)="MV15AX",LEFT(K3006,4)="CTAX",LEFT(K3006,2)="W|"),2*N3006*O3006,0)</f>
        <v/>
      </c>
      <c r="Z3006" s="12" t="inlineStr"/>
      <c r="AA3006" s="12">
        <f>N3006*O3006</f>
        <v/>
      </c>
    </row>
    <row r="3007">
      <c r="A3007" s="12" t="inlineStr">
        <is>
          <t>G-C-0069</t>
        </is>
      </c>
      <c r="B3007" s="12" t="inlineStr">
        <is>
          <t>G</t>
        </is>
      </c>
      <c r="C3007" s="12" t="inlineStr">
        <is>
          <t>Carbon capture</t>
        </is>
      </c>
      <c r="D3007" s="12" t="inlineStr">
        <is>
          <t>Motor 7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5" t="n">
        <v>0</v>
      </c>
      <c r="U3007" s="15" t="n">
        <v>48</v>
      </c>
      <c r="V3007" s="15">
        <f>ROUNDUP((T3007+U3007+2*'Read Me'!$B$13)*(1+'Read Me'!$B$12),-1)</f>
        <v/>
      </c>
      <c r="W3007" s="15">
        <f>V3007*N3007*O3007</f>
        <v/>
      </c>
      <c r="X3007" s="12">
        <f>IF(LEFT(I3007,2)="MV",2*N3007*IF(L3007="1/C",O3007,1),0)</f>
        <v/>
      </c>
      <c r="Y3007" s="12">
        <f>IF(OR(LEFT(K3007,4)="LVAX",LEFT(K3007,6)="MV15AX",LEFT(K3007,4)="CTAX",LEFT(K3007,2)="W|"),2*N3007*O3007,0)</f>
        <v/>
      </c>
      <c r="Z3007" s="12" t="inlineStr"/>
      <c r="AA3007" s="12">
        <f>N3007*O3007</f>
        <v/>
      </c>
    </row>
    <row r="3008">
      <c r="A3008" s="12" t="inlineStr">
        <is>
          <t>G-C-0070</t>
        </is>
      </c>
      <c r="B3008" s="12" t="inlineStr">
        <is>
          <t>G</t>
        </is>
      </c>
      <c r="C3008" s="12" t="inlineStr">
        <is>
          <t>Carbon capture</t>
        </is>
      </c>
      <c r="D3008" s="12" t="inlineStr">
        <is>
          <t>Motor 8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5" t="n">
        <v>0</v>
      </c>
      <c r="U3008" s="15" t="n">
        <v>48</v>
      </c>
      <c r="V3008" s="15">
        <f>ROUNDUP((T3008+U3008+2*'Read Me'!$B$13)*(1+'Read Me'!$B$12),-1)</f>
        <v/>
      </c>
      <c r="W3008" s="15">
        <f>V3008*N3008*O3008</f>
        <v/>
      </c>
      <c r="X3008" s="12">
        <f>IF(LEFT(I3008,2)="MV",2*N3008*IF(L3008="1/C",O3008,1),0)</f>
        <v/>
      </c>
      <c r="Y3008" s="12">
        <f>IF(OR(LEFT(K3008,4)="LVAX",LEFT(K3008,6)="MV15AX",LEFT(K3008,4)="CTAX",LEFT(K3008,2)="W|"),2*N3008*O3008,0)</f>
        <v/>
      </c>
      <c r="Z3008" s="12" t="inlineStr"/>
      <c r="AA3008" s="12">
        <f>N3008*O3008</f>
        <v/>
      </c>
    </row>
    <row r="3009">
      <c r="A3009" s="12" t="inlineStr">
        <is>
          <t>G-C-0071</t>
        </is>
      </c>
      <c r="B3009" s="12" t="inlineStr">
        <is>
          <t>G</t>
        </is>
      </c>
      <c r="C3009" s="12" t="inlineStr">
        <is>
          <t>Carbon capture</t>
        </is>
      </c>
      <c r="D3009" s="12" t="inlineStr">
        <is>
          <t>Motor 9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5" t="n">
        <v>0</v>
      </c>
      <c r="U3009" s="15" t="n">
        <v>48</v>
      </c>
      <c r="V3009" s="15">
        <f>ROUNDUP((T3009+U3009+2*'Read Me'!$B$13)*(1+'Read Me'!$B$12),-1)</f>
        <v/>
      </c>
      <c r="W3009" s="15">
        <f>V3009*N3009*O3009</f>
        <v/>
      </c>
      <c r="X3009" s="12">
        <f>IF(LEFT(I3009,2)="MV",2*N3009*IF(L3009="1/C",O3009,1),0)</f>
        <v/>
      </c>
      <c r="Y3009" s="12">
        <f>IF(OR(LEFT(K3009,4)="LVAX",LEFT(K3009,6)="MV15AX",LEFT(K3009,4)="CTAX",LEFT(K3009,2)="W|"),2*N3009*O3009,0)</f>
        <v/>
      </c>
      <c r="Z3009" s="12" t="inlineStr"/>
      <c r="AA3009" s="12">
        <f>N3009*O3009</f>
        <v/>
      </c>
    </row>
    <row r="3010">
      <c r="A3010" s="12" t="inlineStr">
        <is>
          <t>G-C-0072</t>
        </is>
      </c>
      <c r="B3010" s="12" t="inlineStr">
        <is>
          <t>G</t>
        </is>
      </c>
      <c r="C3010" s="12" t="inlineStr">
        <is>
          <t>Carbon capture</t>
        </is>
      </c>
      <c r="D3010" s="12" t="inlineStr">
        <is>
          <t>Motor 10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5" t="n">
        <v>0</v>
      </c>
      <c r="U3010" s="15" t="n">
        <v>48</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G-C-0073</t>
        </is>
      </c>
      <c r="B3011" s="12" t="inlineStr">
        <is>
          <t>G</t>
        </is>
      </c>
      <c r="C3011" s="12" t="inlineStr">
        <is>
          <t>Carbon capture</t>
        </is>
      </c>
      <c r="D3011" s="12" t="inlineStr">
        <is>
          <t>Motor 11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5" t="n">
        <v>0</v>
      </c>
      <c r="U3011" s="15" t="n">
        <v>48</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G-C-0074</t>
        </is>
      </c>
      <c r="B3012" s="12" t="inlineStr">
        <is>
          <t>G</t>
        </is>
      </c>
      <c r="C3012" s="12" t="inlineStr">
        <is>
          <t>Carbon capture</t>
        </is>
      </c>
      <c r="D3012" s="12" t="inlineStr">
        <is>
          <t>Motor 12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5" t="n">
        <v>0</v>
      </c>
      <c r="U3012" s="15" t="n">
        <v>48</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G-C-0075</t>
        </is>
      </c>
      <c r="B3013" s="12" t="inlineStr">
        <is>
          <t>G</t>
        </is>
      </c>
      <c r="C3013" s="12" t="inlineStr">
        <is>
          <t>Carbon capture</t>
        </is>
      </c>
      <c r="D3013" s="12" t="inlineStr">
        <is>
          <t>Motor 13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5" t="n">
        <v>0</v>
      </c>
      <c r="U3013" s="15" t="n">
        <v>48</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G-C-0076</t>
        </is>
      </c>
      <c r="B3014" s="12" t="inlineStr">
        <is>
          <t>G</t>
        </is>
      </c>
      <c r="C3014" s="12" t="inlineStr">
        <is>
          <t>Carbon capture</t>
        </is>
      </c>
      <c r="D3014" s="12" t="inlineStr">
        <is>
          <t>Motor 14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5" t="n">
        <v>0</v>
      </c>
      <c r="U3014" s="15" t="n">
        <v>48</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G-C-0077</t>
        </is>
      </c>
      <c r="B3015" s="12" t="inlineStr">
        <is>
          <t>G</t>
        </is>
      </c>
      <c r="C3015" s="12" t="inlineStr">
        <is>
          <t>Carbon capture</t>
        </is>
      </c>
      <c r="D3015" s="12" t="inlineStr">
        <is>
          <t>Motor 15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5" t="n">
        <v>0</v>
      </c>
      <c r="U3015" s="15" t="n">
        <v>48</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G-C-0078</t>
        </is>
      </c>
      <c r="B3016" s="12" t="inlineStr">
        <is>
          <t>G</t>
        </is>
      </c>
      <c r="C3016" s="12" t="inlineStr">
        <is>
          <t>Carbon capture</t>
        </is>
      </c>
      <c r="D3016" s="12" t="inlineStr">
        <is>
          <t>Motor 16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5" t="n">
        <v>0</v>
      </c>
      <c r="U3016" s="15" t="n">
        <v>48</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G-C-0079</t>
        </is>
      </c>
      <c r="B3017" s="12" t="inlineStr">
        <is>
          <t>G</t>
        </is>
      </c>
      <c r="C3017" s="12" t="inlineStr">
        <is>
          <t>Carbon capture</t>
        </is>
      </c>
      <c r="D3017" s="12" t="inlineStr">
        <is>
          <t>Motor 17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5" t="n">
        <v>0</v>
      </c>
      <c r="U3017" s="15" t="n">
        <v>48</v>
      </c>
      <c r="V3017" s="15">
        <f>ROUNDUP((T3017+U3017+2*'Read Me'!$B$13)*(1+'Read Me'!$B$12),-1)</f>
        <v/>
      </c>
      <c r="W3017" s="15">
        <f>V3017*N3017*O3017</f>
        <v/>
      </c>
      <c r="X3017" s="12">
        <f>IF(LEFT(I3017,2)="MV",2*N3017*IF(L3017="1/C",O3017,1),0)</f>
        <v/>
      </c>
      <c r="Y3017" s="12">
        <f>IF(OR(LEFT(K3017,4)="LVAX",LEFT(K3017,6)="MV15AX",LEFT(K3017,4)="CTAX",LEFT(K3017,2)="W|"),2*N3017*O3017,0)</f>
        <v/>
      </c>
      <c r="Z3017" s="12" t="inlineStr"/>
      <c r="AA3017" s="12">
        <f>N3017*O3017</f>
        <v/>
      </c>
    </row>
    <row r="3018">
      <c r="A3018" s="12" t="inlineStr">
        <is>
          <t>G-C-0080</t>
        </is>
      </c>
      <c r="B3018" s="12" t="inlineStr">
        <is>
          <t>G</t>
        </is>
      </c>
      <c r="C3018" s="12" t="inlineStr">
        <is>
          <t>Carbon capture</t>
        </is>
      </c>
      <c r="D3018" s="12" t="inlineStr">
        <is>
          <t>Motor 18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5" t="n">
        <v>0</v>
      </c>
      <c r="U3018" s="15" t="n">
        <v>48</v>
      </c>
      <c r="V3018" s="15">
        <f>ROUNDUP((T3018+U3018+2*'Read Me'!$B$13)*(1+'Read Me'!$B$12),-1)</f>
        <v/>
      </c>
      <c r="W3018" s="15">
        <f>V3018*N3018*O3018</f>
        <v/>
      </c>
      <c r="X3018" s="12">
        <f>IF(LEFT(I3018,2)="MV",2*N3018*IF(L3018="1/C",O3018,1),0)</f>
        <v/>
      </c>
      <c r="Y3018" s="12">
        <f>IF(OR(LEFT(K3018,4)="LVAX",LEFT(K3018,6)="MV15AX",LEFT(K3018,4)="CTAX",LEFT(K3018,2)="W|"),2*N3018*O3018,0)</f>
        <v/>
      </c>
      <c r="Z3018" s="12" t="inlineStr"/>
      <c r="AA3018" s="12">
        <f>N3018*O3018</f>
        <v/>
      </c>
    </row>
    <row r="3019">
      <c r="A3019" s="12" t="inlineStr">
        <is>
          <t>G-C-0081</t>
        </is>
      </c>
      <c r="B3019" s="12" t="inlineStr">
        <is>
          <t>G</t>
        </is>
      </c>
      <c r="C3019" s="12" t="inlineStr">
        <is>
          <t>Carbon capture</t>
        </is>
      </c>
      <c r="D3019" s="12" t="inlineStr">
        <is>
          <t>Motor 19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5" t="n">
        <v>0</v>
      </c>
      <c r="U3019" s="15" t="n">
        <v>48</v>
      </c>
      <c r="V3019" s="15">
        <f>ROUNDUP((T3019+U3019+2*'Read Me'!$B$13)*(1+'Read Me'!$B$12),-1)</f>
        <v/>
      </c>
      <c r="W3019" s="15">
        <f>V3019*N3019*O3019</f>
        <v/>
      </c>
      <c r="X3019" s="12">
        <f>IF(LEFT(I3019,2)="MV",2*N3019*IF(L3019="1/C",O3019,1),0)</f>
        <v/>
      </c>
      <c r="Y3019" s="12">
        <f>IF(OR(LEFT(K3019,4)="LVAX",LEFT(K3019,6)="MV15AX",LEFT(K3019,4)="CTAX",LEFT(K3019,2)="W|"),2*N3019*O3019,0)</f>
        <v/>
      </c>
      <c r="Z3019" s="12" t="inlineStr"/>
      <c r="AA3019" s="12">
        <f>N3019*O3019</f>
        <v/>
      </c>
    </row>
    <row r="3020">
      <c r="A3020" s="12" t="inlineStr">
        <is>
          <t>G-C-0082</t>
        </is>
      </c>
      <c r="B3020" s="12" t="inlineStr">
        <is>
          <t>G</t>
        </is>
      </c>
      <c r="C3020" s="12" t="inlineStr">
        <is>
          <t>Carbon capture</t>
        </is>
      </c>
      <c r="D3020" s="12" t="inlineStr">
        <is>
          <t>Motor 20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5" t="n">
        <v>0</v>
      </c>
      <c r="U3020" s="15" t="n">
        <v>48</v>
      </c>
      <c r="V3020" s="15">
        <f>ROUNDUP((T3020+U3020+2*'Read Me'!$B$13)*(1+'Read Me'!$B$12),-1)</f>
        <v/>
      </c>
      <c r="W3020" s="15">
        <f>V3020*N3020*O3020</f>
        <v/>
      </c>
      <c r="X3020" s="12">
        <f>IF(LEFT(I3020,2)="MV",2*N3020*IF(L3020="1/C",O3020,1),0)</f>
        <v/>
      </c>
      <c r="Y3020" s="12">
        <f>IF(OR(LEFT(K3020,4)="LVAX",LEFT(K3020,6)="MV15AX",LEFT(K3020,4)="CTAX",LEFT(K3020,2)="W|"),2*N3020*O3020,0)</f>
        <v/>
      </c>
      <c r="Z3020" s="12" t="inlineStr"/>
      <c r="AA3020" s="12">
        <f>N3020*O3020</f>
        <v/>
      </c>
    </row>
    <row r="3021">
      <c r="A3021" s="12" t="inlineStr">
        <is>
          <t>G-C-0083</t>
        </is>
      </c>
      <c r="B3021" s="12" t="inlineStr">
        <is>
          <t>G</t>
        </is>
      </c>
      <c r="C3021" s="12" t="inlineStr">
        <is>
          <t>Carbon capture</t>
        </is>
      </c>
      <c r="D3021" s="12" t="inlineStr">
        <is>
          <t>Motor 21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5" t="n">
        <v>0</v>
      </c>
      <c r="U3021" s="15" t="n">
        <v>48</v>
      </c>
      <c r="V3021" s="15">
        <f>ROUNDUP((T3021+U3021+2*'Read Me'!$B$13)*(1+'Read Me'!$B$12),-1)</f>
        <v/>
      </c>
      <c r="W3021" s="15">
        <f>V3021*N3021*O3021</f>
        <v/>
      </c>
      <c r="X3021" s="12">
        <f>IF(LEFT(I3021,2)="MV",2*N3021*IF(L3021="1/C",O3021,1),0)</f>
        <v/>
      </c>
      <c r="Y3021" s="12">
        <f>IF(OR(LEFT(K3021,4)="LVAX",LEFT(K3021,6)="MV15AX",LEFT(K3021,4)="CTAX",LEFT(K3021,2)="W|"),2*N3021*O3021,0)</f>
        <v/>
      </c>
      <c r="Z3021" s="12" t="inlineStr"/>
      <c r="AA3021" s="12">
        <f>N3021*O3021</f>
        <v/>
      </c>
    </row>
    <row r="3022">
      <c r="A3022" s="12" t="inlineStr">
        <is>
          <t>G-C-0084</t>
        </is>
      </c>
      <c r="B3022" s="12" t="inlineStr">
        <is>
          <t>G</t>
        </is>
      </c>
      <c r="C3022" s="12" t="inlineStr">
        <is>
          <t>Carbon capture</t>
        </is>
      </c>
      <c r="D3022" s="12" t="inlineStr">
        <is>
          <t>Motor 22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48</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G-C-0085</t>
        </is>
      </c>
      <c r="B3023" s="12" t="inlineStr">
        <is>
          <t>G</t>
        </is>
      </c>
      <c r="C3023" s="12" t="inlineStr">
        <is>
          <t>Carbon capture</t>
        </is>
      </c>
      <c r="D3023" s="12" t="inlineStr">
        <is>
          <t>Motor 23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48</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G-C-0086</t>
        </is>
      </c>
      <c r="B3024" s="12" t="inlineStr">
        <is>
          <t>G</t>
        </is>
      </c>
      <c r="C3024" s="12" t="inlineStr">
        <is>
          <t>Carbon capture</t>
        </is>
      </c>
      <c r="D3024" s="12" t="inlineStr">
        <is>
          <t>Motor 24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5" t="n">
        <v>0</v>
      </c>
      <c r="U3024" s="15" t="n">
        <v>48</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G-C-0087</t>
        </is>
      </c>
      <c r="B3025" s="12" t="inlineStr">
        <is>
          <t>G</t>
        </is>
      </c>
      <c r="C3025" s="12" t="inlineStr">
        <is>
          <t>Carbon capture</t>
        </is>
      </c>
      <c r="D3025" s="12" t="inlineStr">
        <is>
          <t>Motor 25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5" t="n">
        <v>0</v>
      </c>
      <c r="U3025" s="15" t="n">
        <v>48</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G-C-0088</t>
        </is>
      </c>
      <c r="B3026" s="12" t="inlineStr">
        <is>
          <t>G</t>
        </is>
      </c>
      <c r="C3026" s="12" t="inlineStr">
        <is>
          <t>Carbon capture</t>
        </is>
      </c>
      <c r="D3026" s="12" t="inlineStr">
        <is>
          <t>Motor 26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5" t="n">
        <v>0</v>
      </c>
      <c r="U3026" s="15" t="n">
        <v>48</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G-C-0089</t>
        </is>
      </c>
      <c r="B3027" s="12" t="inlineStr">
        <is>
          <t>G</t>
        </is>
      </c>
      <c r="C3027" s="12" t="inlineStr">
        <is>
          <t>Carbon capture</t>
        </is>
      </c>
      <c r="D3027" s="12" t="inlineStr">
        <is>
          <t>Motor 27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0</v>
      </c>
      <c r="U3027" s="15" t="n">
        <v>48</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G-C-0090</t>
        </is>
      </c>
      <c r="B3028" s="12" t="inlineStr">
        <is>
          <t>G</t>
        </is>
      </c>
      <c r="C3028" s="12" t="inlineStr">
        <is>
          <t>Carbon capture</t>
        </is>
      </c>
      <c r="D3028" s="12" t="inlineStr">
        <is>
          <t>Motor 28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0</v>
      </c>
      <c r="U3028" s="15" t="n">
        <v>48</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G-C-0091</t>
        </is>
      </c>
      <c r="B3029" s="12" t="inlineStr">
        <is>
          <t>G</t>
        </is>
      </c>
      <c r="C3029" s="12" t="inlineStr">
        <is>
          <t>Carbon capture</t>
        </is>
      </c>
      <c r="D3029" s="12" t="inlineStr">
        <is>
          <t>Motor 29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0</v>
      </c>
      <c r="U3029" s="15" t="n">
        <v>48</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G-C-0092</t>
        </is>
      </c>
      <c r="B3030" s="12" t="inlineStr">
        <is>
          <t>G</t>
        </is>
      </c>
      <c r="C3030" s="12" t="inlineStr">
        <is>
          <t>Carbon capture</t>
        </is>
      </c>
      <c r="D3030" s="12" t="inlineStr">
        <is>
          <t>Motor 30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5" t="n">
        <v>0</v>
      </c>
      <c r="U3030" s="15" t="n">
        <v>48</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G-C-0093</t>
        </is>
      </c>
      <c r="B3031" s="12" t="inlineStr">
        <is>
          <t>G</t>
        </is>
      </c>
      <c r="C3031" s="12" t="inlineStr">
        <is>
          <t>Carbon capture</t>
        </is>
      </c>
      <c r="D3031" s="12" t="inlineStr">
        <is>
          <t>Motor 1 of 2: control / local station</t>
        </is>
      </c>
      <c r="E3031" s="12" t="inlineStr"/>
      <c r="F3031" s="12" t="inlineStr">
        <is>
          <t>CCS MV switchgear building (VFDs)</t>
        </is>
      </c>
      <c r="G3031" s="12" t="inlineStr"/>
      <c r="H3031" s="12" t="inlineStr">
        <is>
          <t>CCS instrument air</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206</v>
      </c>
      <c r="U3031" s="15" t="n">
        <v>51</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G-C-0094</t>
        </is>
      </c>
      <c r="B3032" s="12" t="inlineStr">
        <is>
          <t>G</t>
        </is>
      </c>
      <c r="C3032" s="12" t="inlineStr">
        <is>
          <t>Carbon capture</t>
        </is>
      </c>
      <c r="D3032" s="12" t="inlineStr">
        <is>
          <t>Motor 2 of 2: control / local station</t>
        </is>
      </c>
      <c r="E3032" s="12" t="inlineStr"/>
      <c r="F3032" s="12" t="inlineStr">
        <is>
          <t>CCS MV switchgear building (VFDs)</t>
        </is>
      </c>
      <c r="G3032" s="12" t="inlineStr"/>
      <c r="H3032" s="12" t="inlineStr">
        <is>
          <t>CCS instrument air</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Duct bank</t>
        </is>
      </c>
      <c r="T3032" s="15" t="n">
        <v>206</v>
      </c>
      <c r="U3032" s="15" t="n">
        <v>51</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G-C-0095</t>
        </is>
      </c>
      <c r="B3033" s="12" t="inlineStr">
        <is>
          <t>G</t>
        </is>
      </c>
      <c r="C3033" s="12" t="inlineStr">
        <is>
          <t>Carbon capture</t>
        </is>
      </c>
      <c r="D3033" s="12" t="inlineStr">
        <is>
          <t>Motor 1 of 6: control / local station</t>
        </is>
      </c>
      <c r="E3033" s="12" t="inlineStr"/>
      <c r="F3033" s="12" t="inlineStr">
        <is>
          <t>CT MCC / VFD e-house</t>
        </is>
      </c>
      <c r="G3033" s="12" t="inlineStr"/>
      <c r="H3033" s="12" t="inlineStr">
        <is>
          <t>CCS wastewater (DCC + tower blowdown)</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Conduit link</t>
        </is>
      </c>
      <c r="T3033" s="15" t="n">
        <v>5</v>
      </c>
      <c r="U3033" s="15" t="n">
        <v>87</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G-C-0096</t>
        </is>
      </c>
      <c r="B3034" s="12" t="inlineStr">
        <is>
          <t>G</t>
        </is>
      </c>
      <c r="C3034" s="12" t="inlineStr">
        <is>
          <t>Carbon capture</t>
        </is>
      </c>
      <c r="D3034" s="12" t="inlineStr">
        <is>
          <t>Motor 2 of 6: control / local station</t>
        </is>
      </c>
      <c r="E3034" s="12" t="inlineStr"/>
      <c r="F3034" s="12" t="inlineStr">
        <is>
          <t>CT MCC / VFD e-house</t>
        </is>
      </c>
      <c r="G3034" s="12" t="inlineStr"/>
      <c r="H3034" s="12" t="inlineStr">
        <is>
          <t>CCS wastewater (DCC + tower blowdown)</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Conduit link</t>
        </is>
      </c>
      <c r="T3034" s="15" t="n">
        <v>5</v>
      </c>
      <c r="U3034" s="15" t="n">
        <v>87</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G-C-0097</t>
        </is>
      </c>
      <c r="B3035" s="12" t="inlineStr">
        <is>
          <t>G</t>
        </is>
      </c>
      <c r="C3035" s="12" t="inlineStr">
        <is>
          <t>Carbon capture</t>
        </is>
      </c>
      <c r="D3035" s="12" t="inlineStr">
        <is>
          <t>Motor 3 of 6: control / local station</t>
        </is>
      </c>
      <c r="E3035" s="12" t="inlineStr"/>
      <c r="F3035" s="12" t="inlineStr">
        <is>
          <t>CT MCC / VFD e-house</t>
        </is>
      </c>
      <c r="G3035" s="12" t="inlineStr"/>
      <c r="H3035" s="12" t="inlineStr">
        <is>
          <t>CCS wastewater (DCC + tower blowdown)</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Conduit link</t>
        </is>
      </c>
      <c r="T3035" s="15" t="n">
        <v>5</v>
      </c>
      <c r="U3035" s="15" t="n">
        <v>87</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G-C-0098</t>
        </is>
      </c>
      <c r="B3036" s="12" t="inlineStr">
        <is>
          <t>G</t>
        </is>
      </c>
      <c r="C3036" s="12" t="inlineStr">
        <is>
          <t>Carbon capture</t>
        </is>
      </c>
      <c r="D3036" s="12" t="inlineStr">
        <is>
          <t>Motor 4 of 6: control / local station</t>
        </is>
      </c>
      <c r="E3036" s="12" t="inlineStr"/>
      <c r="F3036" s="12" t="inlineStr">
        <is>
          <t>CT MCC / VFD e-house</t>
        </is>
      </c>
      <c r="G3036" s="12" t="inlineStr"/>
      <c r="H3036" s="12" t="inlineStr">
        <is>
          <t>CCS wastewater (DCC + tower blowdown)</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Conduit link</t>
        </is>
      </c>
      <c r="T3036" s="15" t="n">
        <v>5</v>
      </c>
      <c r="U3036" s="15" t="n">
        <v>87</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G-C-0099</t>
        </is>
      </c>
      <c r="B3037" s="12" t="inlineStr">
        <is>
          <t>G</t>
        </is>
      </c>
      <c r="C3037" s="12" t="inlineStr">
        <is>
          <t>Carbon capture</t>
        </is>
      </c>
      <c r="D3037" s="12" t="inlineStr">
        <is>
          <t>Motor 5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Conduit link</t>
        </is>
      </c>
      <c r="T3037" s="15" t="n">
        <v>5</v>
      </c>
      <c r="U3037" s="15" t="n">
        <v>87</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G-C-0100</t>
        </is>
      </c>
      <c r="B3038" s="12" t="inlineStr">
        <is>
          <t>G</t>
        </is>
      </c>
      <c r="C3038" s="12" t="inlineStr">
        <is>
          <t>Carbon capture</t>
        </is>
      </c>
      <c r="D3038" s="12" t="inlineStr">
        <is>
          <t>Motor 6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Conduit link</t>
        </is>
      </c>
      <c r="T3038" s="15" t="n">
        <v>5</v>
      </c>
      <c r="U3038" s="15" t="n">
        <v>87</v>
      </c>
      <c r="V3038" s="15">
        <f>ROUNDUP((T3038+U3038+2*'Read Me'!$B$13)*(1+'Read Me'!$B$12),-1)</f>
        <v/>
      </c>
      <c r="W3038" s="15">
        <f>V3038*N3038*O3038</f>
        <v/>
      </c>
      <c r="X3038" s="12">
        <f>IF(LEFT(I3038,2)="MV",2*N3038*IF(L3038="1/C",O3038,1),0)</f>
        <v/>
      </c>
      <c r="Y3038" s="12">
        <f>IF(OR(LEFT(K3038,4)="LVAX",LEFT(K3038,6)="MV15AX",LEFT(K3038,4)="CTAX",LEFT(K3038,2)="W|"),2*N3038*O3038,0)</f>
        <v/>
      </c>
      <c r="Z3038" s="12" t="inlineStr"/>
      <c r="AA3038" s="12">
        <f>N3038*O3038</f>
        <v/>
      </c>
    </row>
    <row r="3039">
      <c r="A3039" s="12" t="inlineStr">
        <is>
          <t>G-C-0101</t>
        </is>
      </c>
      <c r="B3039" s="12" t="inlineStr">
        <is>
          <t>G</t>
        </is>
      </c>
      <c r="C3039" s="12" t="inlineStr">
        <is>
          <t>Carbon capture</t>
        </is>
      </c>
      <c r="D3039" s="12" t="inlineStr">
        <is>
          <t>Motor 1 of 10: control / local station</t>
        </is>
      </c>
      <c r="E3039" s="12" t="inlineStr"/>
      <c r="F3039" s="12" t="inlineStr">
        <is>
          <t>CCS MV switchgear building (VFDs)</t>
        </is>
      </c>
      <c r="G3039" s="12" t="inlineStr"/>
      <c r="H3039" s="12" t="inlineStr">
        <is>
          <t>CO2 compression 3 x ~19 MW + dehydration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5" t="n">
        <v>291</v>
      </c>
      <c r="U3039" s="15" t="n">
        <v>36</v>
      </c>
      <c r="V3039" s="15">
        <f>ROUNDUP((T3039+U3039+2*'Read Me'!$B$13)*(1+'Read Me'!$B$12),-1)</f>
        <v/>
      </c>
      <c r="W3039" s="15">
        <f>V3039*N3039*O3039</f>
        <v/>
      </c>
      <c r="X3039" s="12">
        <f>IF(LEFT(I3039,2)="MV",2*N3039*IF(L3039="1/C",O3039,1),0)</f>
        <v/>
      </c>
      <c r="Y3039" s="12">
        <f>IF(OR(LEFT(K3039,4)="LVAX",LEFT(K3039,6)="MV15AX",LEFT(K3039,4)="CTAX",LEFT(K3039,2)="W|"),2*N3039*O3039,0)</f>
        <v/>
      </c>
      <c r="Z3039" s="12" t="inlineStr"/>
      <c r="AA3039" s="12">
        <f>N3039*O3039</f>
        <v/>
      </c>
    </row>
    <row r="3040">
      <c r="A3040" s="12" t="inlineStr">
        <is>
          <t>G-C-0102</t>
        </is>
      </c>
      <c r="B3040" s="12" t="inlineStr">
        <is>
          <t>G</t>
        </is>
      </c>
      <c r="C3040" s="12" t="inlineStr">
        <is>
          <t>Carbon capture</t>
        </is>
      </c>
      <c r="D3040" s="12" t="inlineStr">
        <is>
          <t>Motor 2 of 10: control / local station</t>
        </is>
      </c>
      <c r="E3040" s="12" t="inlineStr"/>
      <c r="F3040" s="12" t="inlineStr">
        <is>
          <t>CCS MV switchgear building (VFDs)</t>
        </is>
      </c>
      <c r="G3040" s="12" t="inlineStr"/>
      <c r="H3040" s="12" t="inlineStr">
        <is>
          <t>CO2 compression 3 x ~19 MW + dehydration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5" t="n">
        <v>291</v>
      </c>
      <c r="U3040" s="15" t="n">
        <v>36</v>
      </c>
      <c r="V3040" s="15">
        <f>ROUNDUP((T3040+U3040+2*'Read Me'!$B$13)*(1+'Read Me'!$B$12),-1)</f>
        <v/>
      </c>
      <c r="W3040" s="15">
        <f>V3040*N3040*O3040</f>
        <v/>
      </c>
      <c r="X3040" s="12">
        <f>IF(LEFT(I3040,2)="MV",2*N3040*IF(L3040="1/C",O3040,1),0)</f>
        <v/>
      </c>
      <c r="Y3040" s="12">
        <f>IF(OR(LEFT(K3040,4)="LVAX",LEFT(K3040,6)="MV15AX",LEFT(K3040,4)="CTAX",LEFT(K3040,2)="W|"),2*N3040*O3040,0)</f>
        <v/>
      </c>
      <c r="Z3040" s="12" t="inlineStr"/>
      <c r="AA3040" s="12">
        <f>N3040*O3040</f>
        <v/>
      </c>
    </row>
    <row r="3041">
      <c r="A3041" s="12" t="inlineStr">
        <is>
          <t>G-C-0103</t>
        </is>
      </c>
      <c r="B3041" s="12" t="inlineStr">
        <is>
          <t>G</t>
        </is>
      </c>
      <c r="C3041" s="12" t="inlineStr">
        <is>
          <t>Carbon capture</t>
        </is>
      </c>
      <c r="D3041" s="12" t="inlineStr">
        <is>
          <t>Motor 3 of 10: control / local station</t>
        </is>
      </c>
      <c r="E3041" s="12" t="inlineStr"/>
      <c r="F3041" s="12" t="inlineStr">
        <is>
          <t>CCS MV switchgear building (VFDs)</t>
        </is>
      </c>
      <c r="G3041" s="12" t="inlineStr"/>
      <c r="H3041" s="12" t="inlineStr">
        <is>
          <t>CO2 compression 3 x ~19 MW + dehydration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5" t="n">
        <v>291</v>
      </c>
      <c r="U3041" s="15" t="n">
        <v>36</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G-C-0104</t>
        </is>
      </c>
      <c r="B3042" s="12" t="inlineStr">
        <is>
          <t>G</t>
        </is>
      </c>
      <c r="C3042" s="12" t="inlineStr">
        <is>
          <t>Carbon capture</t>
        </is>
      </c>
      <c r="D3042" s="12" t="inlineStr">
        <is>
          <t>Motor 4 of 10: control / local station</t>
        </is>
      </c>
      <c r="E3042" s="12" t="inlineStr"/>
      <c r="F3042" s="12" t="inlineStr">
        <is>
          <t>CCS MV switchgear building (VFDs)</t>
        </is>
      </c>
      <c r="G3042" s="12" t="inlineStr"/>
      <c r="H3042" s="12" t="inlineStr">
        <is>
          <t>CO2 compression 3 x ~19 MW + dehydration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5" t="n">
        <v>291</v>
      </c>
      <c r="U3042" s="15" t="n">
        <v>36</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G-C-0105</t>
        </is>
      </c>
      <c r="B3043" s="12" t="inlineStr">
        <is>
          <t>G</t>
        </is>
      </c>
      <c r="C3043" s="12" t="inlineStr">
        <is>
          <t>Carbon capture</t>
        </is>
      </c>
      <c r="D3043" s="12" t="inlineStr">
        <is>
          <t>Motor 5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5" t="n">
        <v>291</v>
      </c>
      <c r="U3043" s="15" t="n">
        <v>36</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G-C-0106</t>
        </is>
      </c>
      <c r="B3044" s="12" t="inlineStr">
        <is>
          <t>G</t>
        </is>
      </c>
      <c r="C3044" s="12" t="inlineStr">
        <is>
          <t>Carbon capture</t>
        </is>
      </c>
      <c r="D3044" s="12" t="inlineStr">
        <is>
          <t>Motor 6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5" t="n">
        <v>291</v>
      </c>
      <c r="U3044" s="15" t="n">
        <v>36</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G-C-0107</t>
        </is>
      </c>
      <c r="B3045" s="12" t="inlineStr">
        <is>
          <t>G</t>
        </is>
      </c>
      <c r="C3045" s="12" t="inlineStr">
        <is>
          <t>Carbon capture</t>
        </is>
      </c>
      <c r="D3045" s="12" t="inlineStr">
        <is>
          <t>Motor 7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5" t="n">
        <v>291</v>
      </c>
      <c r="U3045" s="15" t="n">
        <v>36</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G-C-0108</t>
        </is>
      </c>
      <c r="B3046" s="12" t="inlineStr">
        <is>
          <t>G</t>
        </is>
      </c>
      <c r="C3046" s="12" t="inlineStr">
        <is>
          <t>Carbon capture</t>
        </is>
      </c>
      <c r="D3046" s="12" t="inlineStr">
        <is>
          <t>Motor 8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5" t="n">
        <v>291</v>
      </c>
      <c r="U3046" s="15" t="n">
        <v>36</v>
      </c>
      <c r="V3046" s="15">
        <f>ROUNDUP((T3046+U3046+2*'Read Me'!$B$13)*(1+'Read Me'!$B$12),-1)</f>
        <v/>
      </c>
      <c r="W3046" s="15">
        <f>V3046*N3046*O3046</f>
        <v/>
      </c>
      <c r="X3046" s="12">
        <f>IF(LEFT(I3046,2)="MV",2*N3046*IF(L3046="1/C",O3046,1),0)</f>
        <v/>
      </c>
      <c r="Y3046" s="12">
        <f>IF(OR(LEFT(K3046,4)="LVAX",LEFT(K3046,6)="MV15AX",LEFT(K3046,4)="CTAX",LEFT(K3046,2)="W|"),2*N3046*O3046,0)</f>
        <v/>
      </c>
      <c r="Z3046" s="12" t="inlineStr"/>
      <c r="AA3046" s="12">
        <f>N3046*O3046</f>
        <v/>
      </c>
    </row>
    <row r="3047">
      <c r="A3047" s="12" t="inlineStr">
        <is>
          <t>G-C-0109</t>
        </is>
      </c>
      <c r="B3047" s="12" t="inlineStr">
        <is>
          <t>G</t>
        </is>
      </c>
      <c r="C3047" s="12" t="inlineStr">
        <is>
          <t>Carbon capture</t>
        </is>
      </c>
      <c r="D3047" s="12" t="inlineStr">
        <is>
          <t>Motor 9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5" t="n">
        <v>291</v>
      </c>
      <c r="U3047" s="15" t="n">
        <v>36</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G-C-0110</t>
        </is>
      </c>
      <c r="B3048" s="12" t="inlineStr">
        <is>
          <t>G</t>
        </is>
      </c>
      <c r="C3048" s="12" t="inlineStr">
        <is>
          <t>Carbon capture</t>
        </is>
      </c>
      <c r="D3048" s="12" t="inlineStr">
        <is>
          <t>Motor 10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5" t="n">
        <v>291</v>
      </c>
      <c r="U3048" s="15" t="n">
        <v>36</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G-C-0111</t>
        </is>
      </c>
      <c r="B3049" s="12" t="inlineStr">
        <is>
          <t>G</t>
        </is>
      </c>
      <c r="C3049" s="12" t="inlineStr">
        <is>
          <t>Carbon capture</t>
        </is>
      </c>
      <c r="D3049" s="12" t="inlineStr">
        <is>
          <t>Motor 1 of 2: control / local station</t>
        </is>
      </c>
      <c r="E3049" s="12" t="inlineStr"/>
      <c r="F3049" s="12" t="inlineStr">
        <is>
          <t>CCS MV switchgear building (VFDs)</t>
        </is>
      </c>
      <c r="G3049" s="12" t="inlineStr"/>
      <c r="H3049" s="12" t="inlineStr">
        <is>
          <t>CO2 dehydration: molecular-sieve towers and regeneration heater</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5" t="n">
        <v>305</v>
      </c>
      <c r="U3049" s="15" t="n">
        <v>160</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G-C-0112</t>
        </is>
      </c>
      <c r="B3050" s="12" t="inlineStr">
        <is>
          <t>G</t>
        </is>
      </c>
      <c r="C3050" s="12" t="inlineStr">
        <is>
          <t>Carbon capture</t>
        </is>
      </c>
      <c r="D3050" s="12" t="inlineStr">
        <is>
          <t>Motor 2 of 2: control / local station</t>
        </is>
      </c>
      <c r="E3050" s="12" t="inlineStr"/>
      <c r="F3050" s="12" t="inlineStr">
        <is>
          <t>CCS MV switchgear building (VFDs)</t>
        </is>
      </c>
      <c r="G3050" s="12" t="inlineStr"/>
      <c r="H3050" s="12" t="inlineStr">
        <is>
          <t>CO2 dehydration: molecular-sieve towers and regeneration heater</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5" t="n">
        <v>305</v>
      </c>
      <c r="U3050" s="15" t="n">
        <v>160</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G-C-0113</t>
        </is>
      </c>
      <c r="B3051" s="12" t="inlineStr">
        <is>
          <t>G</t>
        </is>
      </c>
      <c r="C3051" s="12" t="inlineStr">
        <is>
          <t>Carbon capture</t>
        </is>
      </c>
      <c r="D3051" s="12" t="inlineStr">
        <is>
          <t>Motor 1 of 1: control / local station</t>
        </is>
      </c>
      <c r="E3051" s="12" t="inlineStr"/>
      <c r="F3051" s="12" t="inlineStr">
        <is>
          <t>CCS MV switchgear building (VFDs)</t>
        </is>
      </c>
      <c r="G3051" s="12" t="inlineStr"/>
      <c r="H3051" s="12" t="inlineStr">
        <is>
          <t>CO2 dehydration: molecular-sieve towers and regeneration heater</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5" t="n">
        <v>305</v>
      </c>
      <c r="U3051" s="15" t="n">
        <v>160</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G-C-0114</t>
        </is>
      </c>
      <c r="B3052" s="12" t="inlineStr">
        <is>
          <t>G</t>
        </is>
      </c>
      <c r="C3052" s="12" t="inlineStr">
        <is>
          <t>Carbon capture</t>
        </is>
      </c>
      <c r="D3052" s="12" t="inlineStr">
        <is>
          <t>MOV 1: control</t>
        </is>
      </c>
      <c r="E3052" s="12" t="inlineStr"/>
      <c r="F3052" s="12" t="inlineStr">
        <is>
          <t>CCS MV switchgear building (VFDs)</t>
        </is>
      </c>
      <c r="G3052" s="12" t="inlineStr"/>
      <c r="H3052" s="12" t="inlineStr">
        <is>
          <t>CO2 dehydration: molecular-sieve towers and regeneration heater</t>
        </is>
      </c>
      <c r="I3052" s="12" t="inlineStr">
        <is>
          <t>Control</t>
        </is>
      </c>
      <c r="J3052" s="12" t="inlineStr">
        <is>
          <t>Control cable 600 V Type TC-ER, Cu #14 AWG, PVC jacket</t>
        </is>
      </c>
      <c r="K3052" s="12" t="inlineStr">
        <is>
          <t>CT|12/C|14</t>
        </is>
      </c>
      <c r="L3052" s="12" t="inlineStr">
        <is>
          <t>12/C</t>
        </is>
      </c>
      <c r="M3052" s="12" t="inlineStr">
        <is>
          <t>14</t>
        </is>
      </c>
      <c r="N3052" s="12" t="n">
        <v>1</v>
      </c>
      <c r="O3052" s="12" t="n">
        <v>1</v>
      </c>
      <c r="P3052" s="12" t="n"/>
      <c r="Q3052" s="12" t="n"/>
      <c r="R3052" s="12" t="n"/>
      <c r="S3052" s="12" t="inlineStr">
        <is>
          <t>Duct bank</t>
        </is>
      </c>
      <c r="T3052" s="15" t="n">
        <v>305</v>
      </c>
      <c r="U3052" s="15" t="n">
        <v>160</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G-C-0115</t>
        </is>
      </c>
      <c r="B3053" s="12" t="inlineStr">
        <is>
          <t>G</t>
        </is>
      </c>
      <c r="C3053" s="12" t="inlineStr">
        <is>
          <t>Carbon capture</t>
        </is>
      </c>
      <c r="D3053" s="12" t="inlineStr">
        <is>
          <t>MOV 2: control</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Duct bank</t>
        </is>
      </c>
      <c r="T3053" s="15" t="n">
        <v>305</v>
      </c>
      <c r="U3053" s="15" t="n">
        <v>160</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G-C-0116</t>
        </is>
      </c>
      <c r="B3054" s="12" t="inlineStr">
        <is>
          <t>G</t>
        </is>
      </c>
      <c r="C3054" s="12" t="inlineStr">
        <is>
          <t>Carbon capture</t>
        </is>
      </c>
      <c r="D3054" s="12" t="inlineStr">
        <is>
          <t>MOV 3: control</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Duct bank</t>
        </is>
      </c>
      <c r="T3054" s="15" t="n">
        <v>305</v>
      </c>
      <c r="U3054" s="15" t="n">
        <v>160</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G-C-0117</t>
        </is>
      </c>
      <c r="B3055" s="12" t="inlineStr">
        <is>
          <t>G</t>
        </is>
      </c>
      <c r="C3055" s="12" t="inlineStr">
        <is>
          <t>Carbon capture</t>
        </is>
      </c>
      <c r="D3055" s="12" t="inlineStr">
        <is>
          <t>MOV 4: control</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Duct bank</t>
        </is>
      </c>
      <c r="T3055" s="15" t="n">
        <v>305</v>
      </c>
      <c r="U3055" s="15" t="n">
        <v>160</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G-C-0118</t>
        </is>
      </c>
      <c r="B3056" s="12" t="inlineStr">
        <is>
          <t>G</t>
        </is>
      </c>
      <c r="C3056" s="12" t="inlineStr">
        <is>
          <t>Carbon capture</t>
        </is>
      </c>
      <c r="D3056" s="12" t="inlineStr">
        <is>
          <t>MOV 5: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5" t="n">
        <v>305</v>
      </c>
      <c r="U3056" s="15" t="n">
        <v>160</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G-C-0119</t>
        </is>
      </c>
      <c r="B3057" s="12" t="inlineStr">
        <is>
          <t>G</t>
        </is>
      </c>
      <c r="C3057" s="12" t="inlineStr">
        <is>
          <t>Carbon capture</t>
        </is>
      </c>
      <c r="D3057" s="12" t="inlineStr">
        <is>
          <t>MOV 6: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5" t="n">
        <v>305</v>
      </c>
      <c r="U3057" s="15" t="n">
        <v>160</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G-C-0120</t>
        </is>
      </c>
      <c r="B3058" s="12" t="inlineStr">
        <is>
          <t>G</t>
        </is>
      </c>
      <c r="C3058" s="12" t="inlineStr">
        <is>
          <t>Carbon capture</t>
        </is>
      </c>
      <c r="D3058" s="12" t="inlineStr">
        <is>
          <t>MOV 7: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5" t="n">
        <v>305</v>
      </c>
      <c r="U3058" s="15" t="n">
        <v>160</v>
      </c>
      <c r="V3058" s="15">
        <f>ROUNDUP((T3058+U3058+2*'Read Me'!$B$13)*(1+'Read Me'!$B$12),-1)</f>
        <v/>
      </c>
      <c r="W3058" s="15">
        <f>V3058*N3058*O3058</f>
        <v/>
      </c>
      <c r="X3058" s="12">
        <f>IF(LEFT(I3058,2)="MV",2*N3058*IF(L3058="1/C",O3058,1),0)</f>
        <v/>
      </c>
      <c r="Y3058" s="12">
        <f>IF(OR(LEFT(K3058,4)="LVAX",LEFT(K3058,6)="MV15AX",LEFT(K3058,4)="CTAX",LEFT(K3058,2)="W|"),2*N3058*O3058,0)</f>
        <v/>
      </c>
      <c r="Z3058" s="12" t="inlineStr"/>
      <c r="AA3058" s="12">
        <f>N3058*O3058</f>
        <v/>
      </c>
    </row>
    <row r="3059">
      <c r="A3059" s="12" t="inlineStr">
        <is>
          <t>G-C-0121</t>
        </is>
      </c>
      <c r="B3059" s="12" t="inlineStr">
        <is>
          <t>G</t>
        </is>
      </c>
      <c r="C3059" s="12" t="inlineStr">
        <is>
          <t>Carbon capture</t>
        </is>
      </c>
      <c r="D3059" s="12" t="inlineStr">
        <is>
          <t>MOV 8: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5" t="n">
        <v>305</v>
      </c>
      <c r="U3059" s="15" t="n">
        <v>160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G-C-0122</t>
        </is>
      </c>
      <c r="B3060" s="12" t="inlineStr">
        <is>
          <t>G</t>
        </is>
      </c>
      <c r="C3060" s="12" t="inlineStr">
        <is>
          <t>Carbon capture</t>
        </is>
      </c>
      <c r="D3060" s="12" t="inlineStr">
        <is>
          <t>MOV 9: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5" t="n">
        <v>305</v>
      </c>
      <c r="U3060" s="15" t="n">
        <v>160</v>
      </c>
      <c r="V3060" s="15">
        <f>ROUNDUP((T3060+U3060+2*'Read Me'!$B$13)*(1+'Read Me'!$B$12),-1)</f>
        <v/>
      </c>
      <c r="W3060" s="15">
        <f>V3060*N3060*O3060</f>
        <v/>
      </c>
      <c r="X3060" s="12">
        <f>IF(LEFT(I3060,2)="MV",2*N3060*IF(L3060="1/C",O3060,1),0)</f>
        <v/>
      </c>
      <c r="Y3060" s="12">
        <f>IF(OR(LEFT(K3060,4)="LVAX",LEFT(K3060,6)="MV15AX",LEFT(K3060,4)="CTAX",LEFT(K3060,2)="W|"),2*N3060*O3060,0)</f>
        <v/>
      </c>
      <c r="Z3060" s="12" t="inlineStr"/>
      <c r="AA3060" s="12">
        <f>N3060*O3060</f>
        <v/>
      </c>
    </row>
    <row r="3061">
      <c r="A3061" s="12" t="inlineStr">
        <is>
          <t>G-C-0123</t>
        </is>
      </c>
      <c r="B3061" s="12" t="inlineStr">
        <is>
          <t>G</t>
        </is>
      </c>
      <c r="C3061" s="12" t="inlineStr">
        <is>
          <t>Carbon capture</t>
        </is>
      </c>
      <c r="D3061" s="12" t="inlineStr">
        <is>
          <t>MOV 10: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5" t="n">
        <v>305</v>
      </c>
      <c r="U3061" s="15" t="n">
        <v>160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G-C-0124</t>
        </is>
      </c>
      <c r="B3062" s="12" t="inlineStr">
        <is>
          <t>G</t>
        </is>
      </c>
      <c r="C3062" s="12" t="inlineStr">
        <is>
          <t>Carbon capture</t>
        </is>
      </c>
      <c r="D3062" s="12" t="inlineStr">
        <is>
          <t>MOV 11: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5" t="n">
        <v>305</v>
      </c>
      <c r="U3062" s="15" t="n">
        <v>160</v>
      </c>
      <c r="V3062" s="15">
        <f>ROUNDUP((T3062+U3062+2*'Read Me'!$B$13)*(1+'Read Me'!$B$12),-1)</f>
        <v/>
      </c>
      <c r="W3062" s="15">
        <f>V3062*N3062*O3062</f>
        <v/>
      </c>
      <c r="X3062" s="12">
        <f>IF(LEFT(I3062,2)="MV",2*N3062*IF(L3062="1/C",O3062,1),0)</f>
        <v/>
      </c>
      <c r="Y3062" s="12">
        <f>IF(OR(LEFT(K3062,4)="LVAX",LEFT(K3062,6)="MV15AX",LEFT(K3062,4)="CTAX",LEFT(K3062,2)="W|"),2*N3062*O3062,0)</f>
        <v/>
      </c>
      <c r="Z3062" s="12" t="inlineStr"/>
      <c r="AA3062" s="12">
        <f>N3062*O3062</f>
        <v/>
      </c>
    </row>
    <row r="3063">
      <c r="A3063" s="12" t="inlineStr">
        <is>
          <t>G-C-0125</t>
        </is>
      </c>
      <c r="B3063" s="12" t="inlineStr">
        <is>
          <t>G</t>
        </is>
      </c>
      <c r="C3063" s="12" t="inlineStr">
        <is>
          <t>Carbon capture</t>
        </is>
      </c>
      <c r="D3063" s="12" t="inlineStr">
        <is>
          <t>MOV 12: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5" t="n">
        <v>305</v>
      </c>
      <c r="U3063" s="15" t="n">
        <v>160</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G-C-0126</t>
        </is>
      </c>
      <c r="B3064" s="12" t="inlineStr">
        <is>
          <t>G</t>
        </is>
      </c>
      <c r="C3064" s="12" t="inlineStr">
        <is>
          <t>Carbon capture</t>
        </is>
      </c>
      <c r="D3064" s="12" t="inlineStr">
        <is>
          <t>Motor 1 of 4: control / local station</t>
        </is>
      </c>
      <c r="E3064" s="12" t="inlineStr"/>
      <c r="F3064" s="12" t="inlineStr">
        <is>
          <t>CCS MV switchgear building (VFDs)</t>
        </is>
      </c>
      <c r="G3064" s="12" t="inlineStr"/>
      <c r="H3064" s="12" t="inlineStr">
        <is>
          <t>CONDITIONAL: HP export compressor + metering</t>
        </is>
      </c>
      <c r="I3064" s="12" t="inlineStr">
        <is>
          <t>Control</t>
        </is>
      </c>
      <c r="J3064" s="12" t="inlineStr">
        <is>
          <t>ARMOR-X MC-HL 600 V control, Cu #14 AWG (Class I Div 2)</t>
        </is>
      </c>
      <c r="K3064" s="12" t="inlineStr">
        <is>
          <t>CTAX|7/C|14</t>
        </is>
      </c>
      <c r="L3064" s="12" t="inlineStr">
        <is>
          <t>7/C</t>
        </is>
      </c>
      <c r="M3064" s="12" t="inlineStr">
        <is>
          <t>14</t>
        </is>
      </c>
      <c r="N3064" s="12" t="n">
        <v>1</v>
      </c>
      <c r="O3064" s="12" t="n">
        <v>1</v>
      </c>
      <c r="P3064" s="12" t="n"/>
      <c r="Q3064" s="12" t="n"/>
      <c r="R3064" s="12" t="n"/>
      <c r="S3064" s="12" t="inlineStr">
        <is>
          <t>Duct bank</t>
        </is>
      </c>
      <c r="T3064" s="15" t="n">
        <v>303</v>
      </c>
      <c r="U3064" s="15" t="n">
        <v>34</v>
      </c>
      <c r="V3064" s="15">
        <f>ROUNDUP((T3064+U3064+2*'Read Me'!$B$13)*(1+'Read Me'!$B$12),-1)</f>
        <v/>
      </c>
      <c r="W3064" s="15">
        <f>V3064*N3064*O3064</f>
        <v/>
      </c>
      <c r="X3064" s="12">
        <f>IF(LEFT(I3064,2)="MV",2*N3064*IF(L3064="1/C",O3064,1),0)</f>
        <v/>
      </c>
      <c r="Y3064" s="12">
        <f>IF(OR(LEFT(K3064,4)="LVAX",LEFT(K3064,6)="MV15AX",LEFT(K3064,4)="CTAX",LEFT(K3064,2)="W|"),2*N3064*O3064,0)</f>
        <v/>
      </c>
      <c r="Z3064" s="12" t="inlineStr"/>
      <c r="AA3064" s="12">
        <f>N3064*O3064</f>
        <v/>
      </c>
    </row>
    <row r="3065">
      <c r="A3065" s="12" t="inlineStr">
        <is>
          <t>G-C-0127</t>
        </is>
      </c>
      <c r="B3065" s="12" t="inlineStr">
        <is>
          <t>G</t>
        </is>
      </c>
      <c r="C3065" s="12" t="inlineStr">
        <is>
          <t>Carbon capture</t>
        </is>
      </c>
      <c r="D3065" s="12" t="inlineStr">
        <is>
          <t>Motor 2 of 4: control / local station</t>
        </is>
      </c>
      <c r="E3065" s="12" t="inlineStr"/>
      <c r="F3065" s="12" t="inlineStr">
        <is>
          <t>CCS MV switchgear building (VFDs)</t>
        </is>
      </c>
      <c r="G3065" s="12" t="inlineStr"/>
      <c r="H3065" s="12" t="inlineStr">
        <is>
          <t>CONDITIONAL: HP export compressor + metering</t>
        </is>
      </c>
      <c r="I3065" s="12" t="inlineStr">
        <is>
          <t>Control</t>
        </is>
      </c>
      <c r="J3065" s="12" t="inlineStr">
        <is>
          <t>ARMOR-X MC-HL 600 V control, Cu #14 AWG (Class I Div 2)</t>
        </is>
      </c>
      <c r="K3065" s="12" t="inlineStr">
        <is>
          <t>CTAX|7/C|14</t>
        </is>
      </c>
      <c r="L3065" s="12" t="inlineStr">
        <is>
          <t>7/C</t>
        </is>
      </c>
      <c r="M3065" s="12" t="inlineStr">
        <is>
          <t>14</t>
        </is>
      </c>
      <c r="N3065" s="12" t="n">
        <v>1</v>
      </c>
      <c r="O3065" s="12" t="n">
        <v>1</v>
      </c>
      <c r="P3065" s="12" t="n"/>
      <c r="Q3065" s="12" t="n"/>
      <c r="R3065" s="12" t="n"/>
      <c r="S3065" s="12" t="inlineStr">
        <is>
          <t>Duct bank</t>
        </is>
      </c>
      <c r="T3065" s="15" t="n">
        <v>303</v>
      </c>
      <c r="U3065" s="15" t="n">
        <v>34</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G-C-0128</t>
        </is>
      </c>
      <c r="B3066" s="12" t="inlineStr">
        <is>
          <t>G</t>
        </is>
      </c>
      <c r="C3066" s="12" t="inlineStr">
        <is>
          <t>Carbon capture</t>
        </is>
      </c>
      <c r="D3066" s="12" t="inlineStr">
        <is>
          <t>Motor 3 of 4: control / local station</t>
        </is>
      </c>
      <c r="E3066" s="12" t="inlineStr"/>
      <c r="F3066" s="12" t="inlineStr">
        <is>
          <t>CCS MV switchgear building (VFDs)</t>
        </is>
      </c>
      <c r="G3066" s="12" t="inlineStr"/>
      <c r="H3066" s="12" t="inlineStr">
        <is>
          <t>CONDITIONAL: HP export compressor + metering</t>
        </is>
      </c>
      <c r="I3066" s="12" t="inlineStr">
        <is>
          <t>Control</t>
        </is>
      </c>
      <c r="J3066" s="12" t="inlineStr">
        <is>
          <t>ARMOR-X MC-HL 600 V control, Cu #14 AWG (Class I Div 2)</t>
        </is>
      </c>
      <c r="K3066" s="12" t="inlineStr">
        <is>
          <t>CTAX|7/C|14</t>
        </is>
      </c>
      <c r="L3066" s="12" t="inlineStr">
        <is>
          <t>7/C</t>
        </is>
      </c>
      <c r="M3066" s="12" t="inlineStr">
        <is>
          <t>14</t>
        </is>
      </c>
      <c r="N3066" s="12" t="n">
        <v>1</v>
      </c>
      <c r="O3066" s="12" t="n">
        <v>1</v>
      </c>
      <c r="P3066" s="12" t="n"/>
      <c r="Q3066" s="12" t="n"/>
      <c r="R3066" s="12" t="n"/>
      <c r="S3066" s="12" t="inlineStr">
        <is>
          <t>Duct bank</t>
        </is>
      </c>
      <c r="T3066" s="15" t="n">
        <v>303</v>
      </c>
      <c r="U3066" s="15" t="n">
        <v>34</v>
      </c>
      <c r="V3066" s="15">
        <f>ROUNDUP((T3066+U3066+2*'Read Me'!$B$13)*(1+'Read Me'!$B$12),-1)</f>
        <v/>
      </c>
      <c r="W3066" s="15">
        <f>V3066*N3066*O3066</f>
        <v/>
      </c>
      <c r="X3066" s="12">
        <f>IF(LEFT(I3066,2)="MV",2*N3066*IF(L3066="1/C",O3066,1),0)</f>
        <v/>
      </c>
      <c r="Y3066" s="12">
        <f>IF(OR(LEFT(K3066,4)="LVAX",LEFT(K3066,6)="MV15AX",LEFT(K3066,4)="CTAX",LEFT(K3066,2)="W|"),2*N3066*O3066,0)</f>
        <v/>
      </c>
      <c r="Z3066" s="12" t="inlineStr"/>
      <c r="AA3066" s="12">
        <f>N3066*O3066</f>
        <v/>
      </c>
    </row>
    <row r="3067">
      <c r="A3067" s="12" t="inlineStr">
        <is>
          <t>G-C-0129</t>
        </is>
      </c>
      <c r="B3067" s="12" t="inlineStr">
        <is>
          <t>G</t>
        </is>
      </c>
      <c r="C3067" s="12" t="inlineStr">
        <is>
          <t>Carbon capture</t>
        </is>
      </c>
      <c r="D3067" s="12" t="inlineStr">
        <is>
          <t>Motor 4 of 4: control / local station</t>
        </is>
      </c>
      <c r="E3067" s="12" t="inlineStr"/>
      <c r="F3067" s="12" t="inlineStr">
        <is>
          <t>CCS MV switchgear building (VFDs)</t>
        </is>
      </c>
      <c r="G3067" s="12" t="inlineStr"/>
      <c r="H3067" s="12" t="inlineStr">
        <is>
          <t>CONDITIONAL: HP export compressor + metering</t>
        </is>
      </c>
      <c r="I3067" s="12" t="inlineStr">
        <is>
          <t>Control</t>
        </is>
      </c>
      <c r="J3067" s="12" t="inlineStr">
        <is>
          <t>ARMOR-X MC-HL 600 V control, Cu #14 AWG (Class I Div 2)</t>
        </is>
      </c>
      <c r="K3067" s="12" t="inlineStr">
        <is>
          <t>CTAX|7/C|14</t>
        </is>
      </c>
      <c r="L3067" s="12" t="inlineStr">
        <is>
          <t>7/C</t>
        </is>
      </c>
      <c r="M3067" s="12" t="inlineStr">
        <is>
          <t>14</t>
        </is>
      </c>
      <c r="N3067" s="12" t="n">
        <v>1</v>
      </c>
      <c r="O3067" s="12" t="n">
        <v>1</v>
      </c>
      <c r="P3067" s="12" t="n"/>
      <c r="Q3067" s="12" t="n"/>
      <c r="R3067" s="12" t="n"/>
      <c r="S3067" s="12" t="inlineStr">
        <is>
          <t>Duct bank</t>
        </is>
      </c>
      <c r="T3067" s="15" t="n">
        <v>303</v>
      </c>
      <c r="U3067" s="15" t="n">
        <v>34</v>
      </c>
      <c r="V3067" s="15">
        <f>ROUNDUP((T3067+U3067+2*'Read Me'!$B$13)*(1+'Read Me'!$B$12),-1)</f>
        <v/>
      </c>
      <c r="W3067" s="15">
        <f>V3067*N3067*O3067</f>
        <v/>
      </c>
      <c r="X3067" s="12">
        <f>IF(LEFT(I3067,2)="MV",2*N3067*IF(L3067="1/C",O3067,1),0)</f>
        <v/>
      </c>
      <c r="Y3067" s="12">
        <f>IF(OR(LEFT(K3067,4)="LVAX",LEFT(K3067,6)="MV15AX",LEFT(K3067,4)="CTAX",LEFT(K3067,2)="W|"),2*N3067*O3067,0)</f>
        <v/>
      </c>
      <c r="Z3067" s="12" t="inlineStr"/>
      <c r="AA3067" s="12">
        <f>N3067*O3067</f>
        <v/>
      </c>
    </row>
    <row r="3068">
      <c r="A3068" s="12" t="inlineStr">
        <is>
          <t>G-C-0130</t>
        </is>
      </c>
      <c r="B3068" s="12" t="inlineStr">
        <is>
          <t>G</t>
        </is>
      </c>
      <c r="C3068" s="12" t="inlineStr">
        <is>
          <t>Carbon capture</t>
        </is>
      </c>
      <c r="D3068" s="12" t="inlineStr">
        <is>
          <t>Motor 1 of 2: control / local station</t>
        </is>
      </c>
      <c r="E3068" s="12" t="inlineStr"/>
      <c r="F3068" s="12" t="inlineStr">
        <is>
          <t>CCS MV switchgear building (VFDs)</t>
        </is>
      </c>
      <c r="G3068" s="12" t="inlineStr"/>
      <c r="H3068" s="12" t="inlineStr">
        <is>
          <t>DCC-A pumps + water filter</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Tray</t>
        </is>
      </c>
      <c r="T3068" s="15" t="n">
        <v>569</v>
      </c>
      <c r="U3068" s="15" t="n">
        <v>134</v>
      </c>
      <c r="V3068" s="15">
        <f>ROUNDUP((T3068+U3068+2*'Read Me'!$B$13)*(1+'Read Me'!$B$12),-1)</f>
        <v/>
      </c>
      <c r="W3068" s="15">
        <f>V3068*N3068*O3068</f>
        <v/>
      </c>
      <c r="X3068" s="12">
        <f>IF(LEFT(I3068,2)="MV",2*N3068*IF(L3068="1/C",O3068,1),0)</f>
        <v/>
      </c>
      <c r="Y3068" s="12">
        <f>IF(OR(LEFT(K3068,4)="LVAX",LEFT(K3068,6)="MV15AX",LEFT(K3068,4)="CTAX",LEFT(K3068,2)="W|"),2*N3068*O3068,0)</f>
        <v/>
      </c>
      <c r="Z3068" s="12" t="inlineStr"/>
      <c r="AA3068" s="12">
        <f>N3068*O3068</f>
        <v/>
      </c>
    </row>
    <row r="3069">
      <c r="A3069" s="12" t="inlineStr">
        <is>
          <t>G-C-0131</t>
        </is>
      </c>
      <c r="B3069" s="12" t="inlineStr">
        <is>
          <t>G</t>
        </is>
      </c>
      <c r="C3069" s="12" t="inlineStr">
        <is>
          <t>Carbon capture</t>
        </is>
      </c>
      <c r="D3069" s="12" t="inlineStr">
        <is>
          <t>Motor 2 of 2: control / local station</t>
        </is>
      </c>
      <c r="E3069" s="12" t="inlineStr"/>
      <c r="F3069" s="12" t="inlineStr">
        <is>
          <t>CCS MV switchgear building (VFDs)</t>
        </is>
      </c>
      <c r="G3069" s="12" t="inlineStr"/>
      <c r="H3069" s="12" t="inlineStr">
        <is>
          <t>DCC-A pumps + water filter</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Tray</t>
        </is>
      </c>
      <c r="T3069" s="15" t="n">
        <v>569</v>
      </c>
      <c r="U3069" s="15" t="n">
        <v>134</v>
      </c>
      <c r="V3069" s="15">
        <f>ROUNDUP((T3069+U3069+2*'Read Me'!$B$13)*(1+'Read Me'!$B$12),-1)</f>
        <v/>
      </c>
      <c r="W3069" s="15">
        <f>V3069*N3069*O3069</f>
        <v/>
      </c>
      <c r="X3069" s="12">
        <f>IF(LEFT(I3069,2)="MV",2*N3069*IF(L3069="1/C",O3069,1),0)</f>
        <v/>
      </c>
      <c r="Y3069" s="12">
        <f>IF(OR(LEFT(K3069,4)="LVAX",LEFT(K3069,6)="MV15AX",LEFT(K3069,4)="CTAX",LEFT(K3069,2)="W|"),2*N3069*O3069,0)</f>
        <v/>
      </c>
      <c r="Z3069" s="12" t="inlineStr"/>
      <c r="AA3069" s="12">
        <f>N3069*O3069</f>
        <v/>
      </c>
    </row>
    <row r="3070">
      <c r="A3070" s="12" t="inlineStr">
        <is>
          <t>G-C-0132</t>
        </is>
      </c>
      <c r="B3070" s="12" t="inlineStr">
        <is>
          <t>G</t>
        </is>
      </c>
      <c r="C3070" s="12" t="inlineStr">
        <is>
          <t>Carbon capture</t>
        </is>
      </c>
      <c r="D3070" s="12" t="inlineStr">
        <is>
          <t>Motor 1 of 2: control / local station</t>
        </is>
      </c>
      <c r="E3070" s="12" t="inlineStr"/>
      <c r="F3070" s="12" t="inlineStr">
        <is>
          <t>CCS MV switchgear building (VFDs)</t>
        </is>
      </c>
      <c r="G3070" s="12" t="inlineStr"/>
      <c r="H3070" s="12" t="inlineStr">
        <is>
          <t>DCC-B pumps + water filter</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Tray</t>
        </is>
      </c>
      <c r="T3070" s="15" t="n">
        <v>469</v>
      </c>
      <c r="U3070" s="15" t="n">
        <v>92</v>
      </c>
      <c r="V3070" s="15">
        <f>ROUNDUP((T3070+U3070+2*'Read Me'!$B$13)*(1+'Read Me'!$B$12),-1)</f>
        <v/>
      </c>
      <c r="W3070" s="15">
        <f>V3070*N3070*O3070</f>
        <v/>
      </c>
      <c r="X3070" s="12">
        <f>IF(LEFT(I3070,2)="MV",2*N3070*IF(L3070="1/C",O3070,1),0)</f>
        <v/>
      </c>
      <c r="Y3070" s="12">
        <f>IF(OR(LEFT(K3070,4)="LVAX",LEFT(K3070,6)="MV15AX",LEFT(K3070,4)="CTAX",LEFT(K3070,2)="W|"),2*N3070*O3070,0)</f>
        <v/>
      </c>
      <c r="Z3070" s="12" t="inlineStr"/>
      <c r="AA3070" s="12">
        <f>N3070*O3070</f>
        <v/>
      </c>
    </row>
    <row r="3071">
      <c r="A3071" s="12" t="inlineStr">
        <is>
          <t>G-C-0133</t>
        </is>
      </c>
      <c r="B3071" s="12" t="inlineStr">
        <is>
          <t>G</t>
        </is>
      </c>
      <c r="C3071" s="12" t="inlineStr">
        <is>
          <t>Carbon capture</t>
        </is>
      </c>
      <c r="D3071" s="12" t="inlineStr">
        <is>
          <t>Motor 2 of 2: control / local station</t>
        </is>
      </c>
      <c r="E3071" s="12" t="inlineStr"/>
      <c r="F3071" s="12" t="inlineStr">
        <is>
          <t>CCS MV switchgear building (VFDs)</t>
        </is>
      </c>
      <c r="G3071" s="12" t="inlineStr"/>
      <c r="H3071" s="12" t="inlineStr">
        <is>
          <t>DCC-B pumps + water filter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5" t="n">
        <v>469</v>
      </c>
      <c r="U3071" s="15" t="n">
        <v>92</v>
      </c>
      <c r="V3071" s="15">
        <f>ROUNDUP((T3071+U3071+2*'Read Me'!$B$13)*(1+'Read Me'!$B$12),-1)</f>
        <v/>
      </c>
      <c r="W3071" s="15">
        <f>V3071*N3071*O3071</f>
        <v/>
      </c>
      <c r="X3071" s="12">
        <f>IF(LEFT(I3071,2)="MV",2*N3071*IF(L3071="1/C",O3071,1),0)</f>
        <v/>
      </c>
      <c r="Y3071" s="12">
        <f>IF(OR(LEFT(K3071,4)="LVAX",LEFT(K3071,6)="MV15AX",LEFT(K3071,4)="CTAX",LEFT(K3071,2)="W|"),2*N3071*O3071,0)</f>
        <v/>
      </c>
      <c r="Z3071" s="12" t="inlineStr"/>
      <c r="AA3071" s="12">
        <f>N3071*O3071</f>
        <v/>
      </c>
    </row>
    <row r="3072">
      <c r="A3072" s="12" t="inlineStr">
        <is>
          <t>G-C-0134</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DCC-C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5" t="n">
        <v>249</v>
      </c>
      <c r="U3072" s="15" t="n">
        <v>134</v>
      </c>
      <c r="V3072" s="15">
        <f>ROUNDUP((T3072+U3072+2*'Read Me'!$B$13)*(1+'Read Me'!$B$12),-1)</f>
        <v/>
      </c>
      <c r="W3072" s="15">
        <f>V3072*N3072*O3072</f>
        <v/>
      </c>
      <c r="X3072" s="12">
        <f>IF(LEFT(I3072,2)="MV",2*N3072*IF(L3072="1/C",O3072,1),0)</f>
        <v/>
      </c>
      <c r="Y3072" s="12">
        <f>IF(OR(LEFT(K3072,4)="LVAX",LEFT(K3072,6)="MV15AX",LEFT(K3072,4)="CTAX",LEFT(K3072,2)="W|"),2*N3072*O3072,0)</f>
        <v/>
      </c>
      <c r="Z3072" s="12" t="inlineStr"/>
      <c r="AA3072" s="12">
        <f>N3072*O3072</f>
        <v/>
      </c>
    </row>
    <row r="3073">
      <c r="A3073" s="12" t="inlineStr">
        <is>
          <t>G-C-0135</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DCC-C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5" t="n">
        <v>249</v>
      </c>
      <c r="U3073" s="15" t="n">
        <v>134</v>
      </c>
      <c r="V3073" s="15">
        <f>ROUNDUP((T3073+U3073+2*'Read Me'!$B$13)*(1+'Read Me'!$B$12),-1)</f>
        <v/>
      </c>
      <c r="W3073" s="15">
        <f>V3073*N3073*O3073</f>
        <v/>
      </c>
      <c r="X3073" s="12">
        <f>IF(LEFT(I3073,2)="MV",2*N3073*IF(L3073="1/C",O3073,1),0)</f>
        <v/>
      </c>
      <c r="Y3073" s="12">
        <f>IF(OR(LEFT(K3073,4)="LVAX",LEFT(K3073,6)="MV15AX",LEFT(K3073,4)="CTAX",LEFT(K3073,2)="W|"),2*N3073*O3073,0)</f>
        <v/>
      </c>
      <c r="Z3073" s="12" t="inlineStr"/>
      <c r="AA3073" s="12">
        <f>N3073*O3073</f>
        <v/>
      </c>
    </row>
    <row r="3074">
      <c r="A3074" s="12" t="inlineStr">
        <is>
          <t>G-C-0136</t>
        </is>
      </c>
      <c r="B3074" s="12" t="inlineStr">
        <is>
          <t>G</t>
        </is>
      </c>
      <c r="C3074" s="12" t="inlineStr">
        <is>
          <t>Carbon capture</t>
        </is>
      </c>
      <c r="D3074" s="12" t="inlineStr">
        <is>
          <t>Motor 1 of 2: control / local station</t>
        </is>
      </c>
      <c r="E3074" s="12" t="inlineStr"/>
      <c r="F3074" s="12" t="inlineStr">
        <is>
          <t>CCS MV switchgear building (VFDs)</t>
        </is>
      </c>
      <c r="G3074" s="12" t="inlineStr">
        <is>
          <t>DMP-A</t>
        </is>
      </c>
      <c r="H3074" s="12" t="inlineStr">
        <is>
          <t>DMP-A: diverter / bypass damper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Estimated</t>
        </is>
      </c>
      <c r="T3074" s="15" t="n">
        <v>702</v>
      </c>
      <c r="U3074" s="15" t="n">
        <v>40</v>
      </c>
      <c r="V3074" s="15">
        <f>ROUNDUP((T3074+U3074+2*'Read Me'!$B$13)*(1+'Read Me'!$B$12),-1)</f>
        <v/>
      </c>
      <c r="W3074" s="15">
        <f>V3074*N3074*O3074</f>
        <v/>
      </c>
      <c r="X3074" s="12">
        <f>IF(LEFT(I3074,2)="MV",2*N3074*IF(L3074="1/C",O3074,1),0)</f>
        <v/>
      </c>
      <c r="Y3074" s="12">
        <f>IF(OR(LEFT(K3074,4)="LVAX",LEFT(K3074,6)="MV15AX",LEFT(K3074,4)="CTAX",LEFT(K3074,2)="W|"),2*N3074*O3074,0)</f>
        <v/>
      </c>
      <c r="Z3074" s="12" t="inlineStr"/>
      <c r="AA3074" s="12">
        <f>N3074*O3074</f>
        <v/>
      </c>
    </row>
    <row r="3075">
      <c r="A3075" s="12" t="inlineStr">
        <is>
          <t>G-C-0137</t>
        </is>
      </c>
      <c r="B3075" s="12" t="inlineStr">
        <is>
          <t>G</t>
        </is>
      </c>
      <c r="C3075" s="12" t="inlineStr">
        <is>
          <t>Carbon capture</t>
        </is>
      </c>
      <c r="D3075" s="12" t="inlineStr">
        <is>
          <t>Motor 2 of 2: control / local station</t>
        </is>
      </c>
      <c r="E3075" s="12" t="inlineStr"/>
      <c r="F3075" s="12" t="inlineStr">
        <is>
          <t>CCS MV switchgear building (VFDs)</t>
        </is>
      </c>
      <c r="G3075" s="12" t="inlineStr">
        <is>
          <t>DMP-A</t>
        </is>
      </c>
      <c r="H3075" s="12" t="inlineStr">
        <is>
          <t>DMP-A: diverter / bypass damper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Estimated</t>
        </is>
      </c>
      <c r="T3075" s="15" t="n">
        <v>702</v>
      </c>
      <c r="U3075" s="15" t="n">
        <v>40</v>
      </c>
      <c r="V3075" s="15">
        <f>ROUNDUP((T3075+U3075+2*'Read Me'!$B$13)*(1+'Read Me'!$B$12),-1)</f>
        <v/>
      </c>
      <c r="W3075" s="15">
        <f>V3075*N3075*O3075</f>
        <v/>
      </c>
      <c r="X3075" s="12">
        <f>IF(LEFT(I3075,2)="MV",2*N3075*IF(L3075="1/C",O3075,1),0)</f>
        <v/>
      </c>
      <c r="Y3075" s="12">
        <f>IF(OR(LEFT(K3075,4)="LVAX",LEFT(K3075,6)="MV15AX",LEFT(K3075,4)="CTAX",LEFT(K3075,2)="W|"),2*N3075*O3075,0)</f>
        <v/>
      </c>
      <c r="Z3075" s="12" t="inlineStr"/>
      <c r="AA3075" s="12">
        <f>N3075*O3075</f>
        <v/>
      </c>
    </row>
    <row r="3076">
      <c r="A3076" s="12" t="inlineStr">
        <is>
          <t>G-C-0138</t>
        </is>
      </c>
      <c r="B3076" s="12" t="inlineStr">
        <is>
          <t>G</t>
        </is>
      </c>
      <c r="C3076" s="12" t="inlineStr">
        <is>
          <t>Carbon capture</t>
        </is>
      </c>
      <c r="D3076" s="12" t="inlineStr">
        <is>
          <t>Motor 1 of 2: control / local station</t>
        </is>
      </c>
      <c r="E3076" s="12" t="inlineStr"/>
      <c r="F3076" s="12" t="inlineStr">
        <is>
          <t>CCS MV switchgear building (VFDs)</t>
        </is>
      </c>
      <c r="G3076" s="12" t="inlineStr">
        <is>
          <t>DMP-B</t>
        </is>
      </c>
      <c r="H3076" s="12" t="inlineStr">
        <is>
          <t>DMP-B: diverter / bypass damper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Estimated</t>
        </is>
      </c>
      <c r="T3076" s="15" t="n">
        <v>542</v>
      </c>
      <c r="U3076" s="15" t="n">
        <v>40</v>
      </c>
      <c r="V3076" s="15">
        <f>ROUNDUP((T3076+U3076+2*'Read Me'!$B$13)*(1+'Read Me'!$B$12),-1)</f>
        <v/>
      </c>
      <c r="W3076" s="15">
        <f>V3076*N3076*O3076</f>
        <v/>
      </c>
      <c r="X3076" s="12">
        <f>IF(LEFT(I3076,2)="MV",2*N3076*IF(L3076="1/C",O3076,1),0)</f>
        <v/>
      </c>
      <c r="Y3076" s="12">
        <f>IF(OR(LEFT(K3076,4)="LVAX",LEFT(K3076,6)="MV15AX",LEFT(K3076,4)="CTAX",LEFT(K3076,2)="W|"),2*N3076*O3076,0)</f>
        <v/>
      </c>
      <c r="Z3076" s="12" t="inlineStr"/>
      <c r="AA3076" s="12">
        <f>N3076*O3076</f>
        <v/>
      </c>
    </row>
    <row r="3077">
      <c r="A3077" s="12" t="inlineStr">
        <is>
          <t>G-C-0139</t>
        </is>
      </c>
      <c r="B3077" s="12" t="inlineStr">
        <is>
          <t>G</t>
        </is>
      </c>
      <c r="C3077" s="12" t="inlineStr">
        <is>
          <t>Carbon capture</t>
        </is>
      </c>
      <c r="D3077" s="12" t="inlineStr">
        <is>
          <t>Motor 2 of 2: control / local station</t>
        </is>
      </c>
      <c r="E3077" s="12" t="inlineStr"/>
      <c r="F3077" s="12" t="inlineStr">
        <is>
          <t>CCS MV switchgear building (VFDs)</t>
        </is>
      </c>
      <c r="G3077" s="12" t="inlineStr">
        <is>
          <t>DMP-B</t>
        </is>
      </c>
      <c r="H3077" s="12" t="inlineStr">
        <is>
          <t>DMP-B: diverter / bypass damper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Estimated</t>
        </is>
      </c>
      <c r="T3077" s="15" t="n">
        <v>542</v>
      </c>
      <c r="U3077" s="15" t="n">
        <v>40</v>
      </c>
      <c r="V3077" s="15">
        <f>ROUNDUP((T3077+U3077+2*'Read Me'!$B$13)*(1+'Read Me'!$B$12),-1)</f>
        <v/>
      </c>
      <c r="W3077" s="15">
        <f>V3077*N3077*O3077</f>
        <v/>
      </c>
      <c r="X3077" s="12">
        <f>IF(LEFT(I3077,2)="MV",2*N3077*IF(L3077="1/C",O3077,1),0)</f>
        <v/>
      </c>
      <c r="Y3077" s="12">
        <f>IF(OR(LEFT(K3077,4)="LVAX",LEFT(K3077,6)="MV15AX",LEFT(K3077,4)="CTAX",LEFT(K3077,2)="W|"),2*N3077*O3077,0)</f>
        <v/>
      </c>
      <c r="Z3077" s="12" t="inlineStr"/>
      <c r="AA3077" s="12">
        <f>N3077*O3077</f>
        <v/>
      </c>
    </row>
    <row r="3078">
      <c r="A3078" s="12" t="inlineStr">
        <is>
          <t>G-C-0140</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DMP-C</t>
        </is>
      </c>
      <c r="H3078" s="12" t="inlineStr">
        <is>
          <t>DMP-C: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Estimated</t>
        </is>
      </c>
      <c r="T3078" s="15" t="n">
        <v>382</v>
      </c>
      <c r="U3078" s="15" t="n">
        <v>40</v>
      </c>
      <c r="V3078" s="15">
        <f>ROUNDUP((T3078+U3078+2*'Read Me'!$B$13)*(1+'Read Me'!$B$12),-1)</f>
        <v/>
      </c>
      <c r="W3078" s="15">
        <f>V3078*N3078*O3078</f>
        <v/>
      </c>
      <c r="X3078" s="12">
        <f>IF(LEFT(I3078,2)="MV",2*N3078*IF(L3078="1/C",O3078,1),0)</f>
        <v/>
      </c>
      <c r="Y3078" s="12">
        <f>IF(OR(LEFT(K3078,4)="LVAX",LEFT(K3078,6)="MV15AX",LEFT(K3078,4)="CTAX",LEFT(K3078,2)="W|"),2*N3078*O3078,0)</f>
        <v/>
      </c>
      <c r="Z3078" s="12" t="inlineStr"/>
      <c r="AA3078" s="12">
        <f>N3078*O3078</f>
        <v/>
      </c>
    </row>
    <row r="3079">
      <c r="A3079" s="12" t="inlineStr">
        <is>
          <t>G-C-0141</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DMP-C</t>
        </is>
      </c>
      <c r="H3079" s="12" t="inlineStr">
        <is>
          <t>DMP-C: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Estimated</t>
        </is>
      </c>
      <c r="T3079" s="15" t="n">
        <v>382</v>
      </c>
      <c r="U3079" s="15" t="n">
        <v>40</v>
      </c>
      <c r="V3079" s="15">
        <f>ROUNDUP((T3079+U3079+2*'Read Me'!$B$13)*(1+'Read Me'!$B$12),-1)</f>
        <v/>
      </c>
      <c r="W3079" s="15">
        <f>V3079*N3079*O3079</f>
        <v/>
      </c>
      <c r="X3079" s="12">
        <f>IF(LEFT(I3079,2)="MV",2*N3079*IF(L3079="1/C",O3079,1),0)</f>
        <v/>
      </c>
      <c r="Y3079" s="12">
        <f>IF(OR(LEFT(K3079,4)="LVAX",LEFT(K3079,6)="MV15AX",LEFT(K3079,4)="CTAX",LEFT(K3079,2)="W|"),2*N3079*O3079,0)</f>
        <v/>
      </c>
      <c r="Z3079" s="12" t="inlineStr"/>
      <c r="AA3079" s="12">
        <f>N3079*O3079</f>
        <v/>
      </c>
    </row>
    <row r="3080">
      <c r="A3080" s="12" t="inlineStr">
        <is>
          <t>G-C-0142</t>
        </is>
      </c>
      <c r="B3080" s="12" t="inlineStr">
        <is>
          <t>G</t>
        </is>
      </c>
      <c r="C3080" s="12" t="inlineStr">
        <is>
          <t>Carbon capture</t>
        </is>
      </c>
      <c r="D3080" s="12" t="inlineStr">
        <is>
          <t>MOV 1: control</t>
        </is>
      </c>
      <c r="E3080" s="12" t="inlineStr"/>
      <c r="F3080" s="12" t="inlineStr">
        <is>
          <t>CCS MV switchgear building (VFDs)</t>
        </is>
      </c>
      <c r="G3080" s="12" t="inlineStr"/>
      <c r="H3080" s="12" t="inlineStr">
        <is>
          <t>RB-A: reboiler (LP steam from ST extraction)</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Conduit link</t>
        </is>
      </c>
      <c r="T3080" s="15" t="n">
        <v>50</v>
      </c>
      <c r="U3080" s="15" t="n">
        <v>37</v>
      </c>
      <c r="V3080" s="15">
        <f>ROUNDUP((T3080+U3080+2*'Read Me'!$B$13)*(1+'Read Me'!$B$12),-1)</f>
        <v/>
      </c>
      <c r="W3080" s="15">
        <f>V3080*N3080*O3080</f>
        <v/>
      </c>
      <c r="X3080" s="12">
        <f>IF(LEFT(I3080,2)="MV",2*N3080*IF(L3080="1/C",O3080,1),0)</f>
        <v/>
      </c>
      <c r="Y3080" s="12">
        <f>IF(OR(LEFT(K3080,4)="LVAX",LEFT(K3080,6)="MV15AX",LEFT(K3080,4)="CTAX",LEFT(K3080,2)="W|"),2*N3080*O3080,0)</f>
        <v/>
      </c>
      <c r="Z3080" s="12" t="inlineStr"/>
      <c r="AA3080" s="12">
        <f>N3080*O3080</f>
        <v/>
      </c>
    </row>
    <row r="3081">
      <c r="A3081" s="12" t="inlineStr">
        <is>
          <t>G-C-0143</t>
        </is>
      </c>
      <c r="B3081" s="12" t="inlineStr">
        <is>
          <t>G</t>
        </is>
      </c>
      <c r="C3081" s="12" t="inlineStr">
        <is>
          <t>Carbon capture</t>
        </is>
      </c>
      <c r="D3081" s="12" t="inlineStr">
        <is>
          <t>MOV 2: control</t>
        </is>
      </c>
      <c r="E3081" s="12" t="inlineStr"/>
      <c r="F3081" s="12" t="inlineStr">
        <is>
          <t>CCS MV switchgear building (VFDs)</t>
        </is>
      </c>
      <c r="G3081" s="12" t="inlineStr"/>
      <c r="H3081" s="12" t="inlineStr">
        <is>
          <t>RB-A: reboiler (LP steam from ST extraction)</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Conduit link</t>
        </is>
      </c>
      <c r="T3081" s="15" t="n">
        <v>50</v>
      </c>
      <c r="U3081" s="15" t="n">
        <v>37</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G-C-0144</t>
        </is>
      </c>
      <c r="B3082" s="12" t="inlineStr">
        <is>
          <t>G</t>
        </is>
      </c>
      <c r="C3082" s="12" t="inlineStr">
        <is>
          <t>Carbon capture</t>
        </is>
      </c>
      <c r="D3082" s="12" t="inlineStr">
        <is>
          <t>MOV 3: control</t>
        </is>
      </c>
      <c r="E3082" s="12" t="inlineStr"/>
      <c r="F3082" s="12" t="inlineStr">
        <is>
          <t>CCS MV switchgear building (VFDs)</t>
        </is>
      </c>
      <c r="G3082" s="12" t="inlineStr"/>
      <c r="H3082" s="12" t="inlineStr">
        <is>
          <t>RB-A: reboiler (LP steam from ST extraction)</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Conduit link</t>
        </is>
      </c>
      <c r="T3082" s="15" t="n">
        <v>50</v>
      </c>
      <c r="U3082" s="15" t="n">
        <v>37</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G-C-0145</t>
        </is>
      </c>
      <c r="B3083" s="12" t="inlineStr">
        <is>
          <t>G</t>
        </is>
      </c>
      <c r="C3083" s="12" t="inlineStr">
        <is>
          <t>Carbon capture</t>
        </is>
      </c>
      <c r="D3083" s="12" t="inlineStr">
        <is>
          <t>MOV 4: control</t>
        </is>
      </c>
      <c r="E3083" s="12" t="inlineStr"/>
      <c r="F3083" s="12" t="inlineStr">
        <is>
          <t>CCS MV switchgear building (VFDs)</t>
        </is>
      </c>
      <c r="G3083" s="12" t="inlineStr"/>
      <c r="H3083" s="12" t="inlineStr">
        <is>
          <t>RB-A: reboiler (LP steam from ST extraction)</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Conduit link</t>
        </is>
      </c>
      <c r="T3083" s="15" t="n">
        <v>50</v>
      </c>
      <c r="U3083" s="15" t="n">
        <v>37</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G-C-0146</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RB-B: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5" t="n">
        <v>83</v>
      </c>
      <c r="U3084" s="15" t="n">
        <v>42</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G-C-0147</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RB-B: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5" t="n">
        <v>83</v>
      </c>
      <c r="U3085" s="15" t="n">
        <v>42</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G-C-0148</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RB-B: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5" t="n">
        <v>83</v>
      </c>
      <c r="U3086" s="15" t="n">
        <v>42</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G-C-0149</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RB-B: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5" t="n">
        <v>83</v>
      </c>
      <c r="U3087" s="15" t="n">
        <v>42</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G-C-0150</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RB-C: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5" t="n">
        <v>45</v>
      </c>
      <c r="U3088" s="15" t="n">
        <v>47</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G-C-0151</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RB-C: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5" t="n">
        <v>45</v>
      </c>
      <c r="U3089" s="15" t="n">
        <v>47</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G-C-0152</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RB-C: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5" t="n">
        <v>45</v>
      </c>
      <c r="U3090" s="15" t="n">
        <v>47</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G-C-0153</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RB-C: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5" t="n">
        <v>45</v>
      </c>
      <c r="U3091" s="15" t="n">
        <v>47</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G-C-0154</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Reclaimer (thermal, intermittent)</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5" t="n">
        <v>45</v>
      </c>
      <c r="U3092" s="15" t="n">
        <v>57</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G-C-0155</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Reclaimer (thermal, intermittent)</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5" t="n">
        <v>45</v>
      </c>
      <c r="U3093" s="15" t="n">
        <v>57</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G-C-0156</t>
        </is>
      </c>
      <c r="B3094" s="12" t="inlineStr">
        <is>
          <t>G</t>
        </is>
      </c>
      <c r="C3094" s="12" t="inlineStr">
        <is>
          <t>Carbon capture</t>
        </is>
      </c>
      <c r="D3094" s="12" t="inlineStr">
        <is>
          <t>MOV 1: control</t>
        </is>
      </c>
      <c r="E3094" s="12" t="inlineStr"/>
      <c r="F3094" s="12" t="inlineStr">
        <is>
          <t>CCS MV switchgear building (VFDs)</t>
        </is>
      </c>
      <c r="G3094" s="12" t="inlineStr">
        <is>
          <t>STR-A</t>
        </is>
      </c>
      <c r="H3094" s="12" t="inlineStr">
        <is>
          <t>STR-A: stripper / regenerator (45 ft dia x 207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5" t="n">
        <v>146</v>
      </c>
      <c r="U3094" s="15" t="n">
        <v>36</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G-C-0157</t>
        </is>
      </c>
      <c r="B3095" s="12" t="inlineStr">
        <is>
          <t>G</t>
        </is>
      </c>
      <c r="C3095" s="12" t="inlineStr">
        <is>
          <t>Carbon capture</t>
        </is>
      </c>
      <c r="D3095" s="12" t="inlineStr">
        <is>
          <t>MOV 2: control</t>
        </is>
      </c>
      <c r="E3095" s="12" t="inlineStr"/>
      <c r="F3095" s="12" t="inlineStr">
        <is>
          <t>CCS MV switchgear building (VFDs)</t>
        </is>
      </c>
      <c r="G3095" s="12" t="inlineStr">
        <is>
          <t>STR-A</t>
        </is>
      </c>
      <c r="H3095" s="12" t="inlineStr">
        <is>
          <t>STR-A: stripper / regenerator (45 ft dia x 207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5" t="n">
        <v>146</v>
      </c>
      <c r="U3095" s="15" t="n">
        <v>36</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G-C-0158</t>
        </is>
      </c>
      <c r="B3096" s="12" t="inlineStr">
        <is>
          <t>G</t>
        </is>
      </c>
      <c r="C3096" s="12" t="inlineStr">
        <is>
          <t>Carbon capture</t>
        </is>
      </c>
      <c r="D3096" s="12" t="inlineStr">
        <is>
          <t>MOV 3: control</t>
        </is>
      </c>
      <c r="E3096" s="12" t="inlineStr"/>
      <c r="F3096" s="12" t="inlineStr">
        <is>
          <t>CCS MV switchgear building (VFDs)</t>
        </is>
      </c>
      <c r="G3096" s="12" t="inlineStr">
        <is>
          <t>STR-A</t>
        </is>
      </c>
      <c r="H3096" s="12" t="inlineStr">
        <is>
          <t>STR-A: stripper / regenerator (45 ft dia x 207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5" t="n">
        <v>146</v>
      </c>
      <c r="U3096" s="15" t="n">
        <v>36</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G-C-0159</t>
        </is>
      </c>
      <c r="B3097" s="12" t="inlineStr">
        <is>
          <t>G</t>
        </is>
      </c>
      <c r="C3097" s="12" t="inlineStr">
        <is>
          <t>Carbon capture</t>
        </is>
      </c>
      <c r="D3097" s="12" t="inlineStr">
        <is>
          <t>MOV 4: control</t>
        </is>
      </c>
      <c r="E3097" s="12" t="inlineStr"/>
      <c r="F3097" s="12" t="inlineStr">
        <is>
          <t>CCS MV switchgear building (VFDs)</t>
        </is>
      </c>
      <c r="G3097" s="12" t="inlineStr">
        <is>
          <t>STR-A</t>
        </is>
      </c>
      <c r="H3097" s="12" t="inlineStr">
        <is>
          <t>STR-A: stripper / regenerator (45 ft dia x 207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5" t="n">
        <v>146</v>
      </c>
      <c r="U3097" s="15" t="n">
        <v>36</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G-C-0160</t>
        </is>
      </c>
      <c r="B3098" s="12" t="inlineStr">
        <is>
          <t>G</t>
        </is>
      </c>
      <c r="C3098" s="12" t="inlineStr">
        <is>
          <t>Carbon capture</t>
        </is>
      </c>
      <c r="D3098" s="12" t="inlineStr">
        <is>
          <t>MOV 5: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5" t="n">
        <v>146</v>
      </c>
      <c r="U3098" s="15" t="n">
        <v>36</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G-C-0161</t>
        </is>
      </c>
      <c r="B3099" s="12" t="inlineStr">
        <is>
          <t>G</t>
        </is>
      </c>
      <c r="C3099" s="12" t="inlineStr">
        <is>
          <t>Carbon capture</t>
        </is>
      </c>
      <c r="D3099" s="12" t="inlineStr">
        <is>
          <t>MOV 6: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5" t="n">
        <v>146</v>
      </c>
      <c r="U3099" s="15" t="n">
        <v>36</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G-C-0162</t>
        </is>
      </c>
      <c r="B3100" s="12" t="inlineStr">
        <is>
          <t>G</t>
        </is>
      </c>
      <c r="C3100" s="12" t="inlineStr">
        <is>
          <t>Carbon capture</t>
        </is>
      </c>
      <c r="D3100" s="12" t="inlineStr">
        <is>
          <t>MOV 1: control</t>
        </is>
      </c>
      <c r="E3100" s="12" t="inlineStr"/>
      <c r="F3100" s="12" t="inlineStr">
        <is>
          <t>CCS MV switchgear building (VFDs)</t>
        </is>
      </c>
      <c r="G3100" s="12" t="inlineStr">
        <is>
          <t>STR-B</t>
        </is>
      </c>
      <c r="H3100" s="12" t="inlineStr">
        <is>
          <t>STR-B: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5" t="n">
        <v>146</v>
      </c>
      <c r="U3100" s="15" t="n">
        <v>36</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G-C-0163</t>
        </is>
      </c>
      <c r="B3101" s="12" t="inlineStr">
        <is>
          <t>G</t>
        </is>
      </c>
      <c r="C3101" s="12" t="inlineStr">
        <is>
          <t>Carbon capture</t>
        </is>
      </c>
      <c r="D3101" s="12" t="inlineStr">
        <is>
          <t>MOV 2: control</t>
        </is>
      </c>
      <c r="E3101" s="12" t="inlineStr"/>
      <c r="F3101" s="12" t="inlineStr">
        <is>
          <t>CCS MV switchgear building (VFDs)</t>
        </is>
      </c>
      <c r="G3101" s="12" t="inlineStr">
        <is>
          <t>STR-B</t>
        </is>
      </c>
      <c r="H3101" s="12" t="inlineStr">
        <is>
          <t>STR-B: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5" t="n">
        <v>146</v>
      </c>
      <c r="U3101" s="15" t="n">
        <v>36</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G-C-0164</t>
        </is>
      </c>
      <c r="B3102" s="12" t="inlineStr">
        <is>
          <t>G</t>
        </is>
      </c>
      <c r="C3102" s="12" t="inlineStr">
        <is>
          <t>Carbon capture</t>
        </is>
      </c>
      <c r="D3102" s="12" t="inlineStr">
        <is>
          <t>MOV 3: control</t>
        </is>
      </c>
      <c r="E3102" s="12" t="inlineStr"/>
      <c r="F3102" s="12" t="inlineStr">
        <is>
          <t>CCS MV switchgear building (VFDs)</t>
        </is>
      </c>
      <c r="G3102" s="12" t="inlineStr">
        <is>
          <t>STR-B</t>
        </is>
      </c>
      <c r="H3102" s="12" t="inlineStr">
        <is>
          <t>STR-B: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5" t="n">
        <v>146</v>
      </c>
      <c r="U3102" s="15" t="n">
        <v>36</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G-C-0165</t>
        </is>
      </c>
      <c r="B3103" s="12" t="inlineStr">
        <is>
          <t>G</t>
        </is>
      </c>
      <c r="C3103" s="12" t="inlineStr">
        <is>
          <t>Carbon capture</t>
        </is>
      </c>
      <c r="D3103" s="12" t="inlineStr">
        <is>
          <t>MOV 4: control</t>
        </is>
      </c>
      <c r="E3103" s="12" t="inlineStr"/>
      <c r="F3103" s="12" t="inlineStr">
        <is>
          <t>CCS MV switchgear building (VFDs)</t>
        </is>
      </c>
      <c r="G3103" s="12" t="inlineStr">
        <is>
          <t>STR-B</t>
        </is>
      </c>
      <c r="H3103" s="12" t="inlineStr">
        <is>
          <t>STR-B: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5" t="n">
        <v>146</v>
      </c>
      <c r="U3103" s="15" t="n">
        <v>36</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G-C-0166</t>
        </is>
      </c>
      <c r="B3104" s="12" t="inlineStr">
        <is>
          <t>G</t>
        </is>
      </c>
      <c r="C3104" s="12" t="inlineStr">
        <is>
          <t>Carbon capture</t>
        </is>
      </c>
      <c r="D3104" s="12" t="inlineStr">
        <is>
          <t>MOV 5: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5" t="n">
        <v>146</v>
      </c>
      <c r="U3104" s="15" t="n">
        <v>36</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G-C-0167</t>
        </is>
      </c>
      <c r="B3105" s="12" t="inlineStr">
        <is>
          <t>G</t>
        </is>
      </c>
      <c r="C3105" s="12" t="inlineStr">
        <is>
          <t>Carbon capture</t>
        </is>
      </c>
      <c r="D3105" s="12" t="inlineStr">
        <is>
          <t>MOV 6: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5" t="n">
        <v>146</v>
      </c>
      <c r="U3105" s="15" t="n">
        <v>36</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G-C-0168</t>
        </is>
      </c>
      <c r="B3106" s="12" t="inlineStr">
        <is>
          <t>G</t>
        </is>
      </c>
      <c r="C3106" s="12" t="inlineStr">
        <is>
          <t>Carbon capture</t>
        </is>
      </c>
      <c r="D3106" s="12" t="inlineStr">
        <is>
          <t>MOV 1: control</t>
        </is>
      </c>
      <c r="E3106" s="12" t="inlineStr"/>
      <c r="F3106" s="12" t="inlineStr">
        <is>
          <t>CCS MV switchgear building (VFDs)</t>
        </is>
      </c>
      <c r="G3106" s="12" t="inlineStr">
        <is>
          <t>STR-C</t>
        </is>
      </c>
      <c r="H3106" s="12" t="inlineStr">
        <is>
          <t>STR-C: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5" t="n">
        <v>196</v>
      </c>
      <c r="U3106" s="15" t="n">
        <v>36</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G-C-0169</t>
        </is>
      </c>
      <c r="B3107" s="12" t="inlineStr">
        <is>
          <t>G</t>
        </is>
      </c>
      <c r="C3107" s="12" t="inlineStr">
        <is>
          <t>Carbon capture</t>
        </is>
      </c>
      <c r="D3107" s="12" t="inlineStr">
        <is>
          <t>MOV 2: control</t>
        </is>
      </c>
      <c r="E3107" s="12" t="inlineStr"/>
      <c r="F3107" s="12" t="inlineStr">
        <is>
          <t>CCS MV switchgear building (VFDs)</t>
        </is>
      </c>
      <c r="G3107" s="12" t="inlineStr">
        <is>
          <t>STR-C</t>
        </is>
      </c>
      <c r="H3107" s="12" t="inlineStr">
        <is>
          <t>STR-C: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5" t="n">
        <v>196</v>
      </c>
      <c r="U3107" s="15" t="n">
        <v>36</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G-C-0170</t>
        </is>
      </c>
      <c r="B3108" s="12" t="inlineStr">
        <is>
          <t>G</t>
        </is>
      </c>
      <c r="C3108" s="12" t="inlineStr">
        <is>
          <t>Carbon capture</t>
        </is>
      </c>
      <c r="D3108" s="12" t="inlineStr">
        <is>
          <t>MOV 3: control</t>
        </is>
      </c>
      <c r="E3108" s="12" t="inlineStr"/>
      <c r="F3108" s="12" t="inlineStr">
        <is>
          <t>CCS MV switchgear building (VFDs)</t>
        </is>
      </c>
      <c r="G3108" s="12" t="inlineStr">
        <is>
          <t>STR-C</t>
        </is>
      </c>
      <c r="H3108" s="12" t="inlineStr">
        <is>
          <t>STR-C: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5" t="n">
        <v>196</v>
      </c>
      <c r="U3108" s="15" t="n">
        <v>36</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G-C-0171</t>
        </is>
      </c>
      <c r="B3109" s="12" t="inlineStr">
        <is>
          <t>G</t>
        </is>
      </c>
      <c r="C3109" s="12" t="inlineStr">
        <is>
          <t>Carbon capture</t>
        </is>
      </c>
      <c r="D3109" s="12" t="inlineStr">
        <is>
          <t>MOV 4: control</t>
        </is>
      </c>
      <c r="E3109" s="12" t="inlineStr"/>
      <c r="F3109" s="12" t="inlineStr">
        <is>
          <t>CCS MV switchgear building (VFDs)</t>
        </is>
      </c>
      <c r="G3109" s="12" t="inlineStr">
        <is>
          <t>STR-C</t>
        </is>
      </c>
      <c r="H3109" s="12" t="inlineStr">
        <is>
          <t>STR-C: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5" t="n">
        <v>196</v>
      </c>
      <c r="U3109" s="15" t="n">
        <v>36</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G-C-0172</t>
        </is>
      </c>
      <c r="B3110" s="12" t="inlineStr">
        <is>
          <t>G</t>
        </is>
      </c>
      <c r="C3110" s="12" t="inlineStr">
        <is>
          <t>Carbon capture</t>
        </is>
      </c>
      <c r="D3110" s="12" t="inlineStr">
        <is>
          <t>MOV 5: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5" t="n">
        <v>196</v>
      </c>
      <c r="U3110" s="15" t="n">
        <v>36</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G-C-0173</t>
        </is>
      </c>
      <c r="B3111" s="12" t="inlineStr">
        <is>
          <t>G</t>
        </is>
      </c>
      <c r="C3111" s="12" t="inlineStr">
        <is>
          <t>Carbon capture</t>
        </is>
      </c>
      <c r="D3111" s="12" t="inlineStr">
        <is>
          <t>MOV 6: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5" t="n">
        <v>196</v>
      </c>
      <c r="U3111" s="15" t="n">
        <v>36</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G-C-0174</t>
        </is>
      </c>
      <c r="B3112" s="12" t="inlineStr">
        <is>
          <t>G</t>
        </is>
      </c>
      <c r="C3112" s="12" t="inlineStr">
        <is>
          <t>Carbon capture</t>
        </is>
      </c>
      <c r="D3112" s="12" t="inlineStr">
        <is>
          <t>Motor 1 of 4: control / local station</t>
        </is>
      </c>
      <c r="E3112" s="12" t="inlineStr"/>
      <c r="F3112" s="12" t="inlineStr">
        <is>
          <t>CCS MV switchgear building (VFDs)</t>
        </is>
      </c>
      <c r="G3112" s="12" t="inlineStr"/>
      <c r="H3112" s="12" t="inlineStr">
        <is>
          <t>Solvent + NaOH storage</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5" t="n">
        <v>250</v>
      </c>
      <c r="U3112" s="15" t="n">
        <v>37</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G-C-0175</t>
        </is>
      </c>
      <c r="B3113" s="12" t="inlineStr">
        <is>
          <t>G</t>
        </is>
      </c>
      <c r="C3113" s="12" t="inlineStr">
        <is>
          <t>Carbon capture</t>
        </is>
      </c>
      <c r="D3113" s="12" t="inlineStr">
        <is>
          <t>Motor 2 of 4: control / local station</t>
        </is>
      </c>
      <c r="E3113" s="12" t="inlineStr"/>
      <c r="F3113" s="12" t="inlineStr">
        <is>
          <t>CCS MV switchgear building (VFDs)</t>
        </is>
      </c>
      <c r="G3113" s="12" t="inlineStr"/>
      <c r="H3113" s="12" t="inlineStr">
        <is>
          <t>Solvent + NaOH storage</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5" t="n">
        <v>250</v>
      </c>
      <c r="U3113" s="15" t="n">
        <v>37</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G-C-0176</t>
        </is>
      </c>
      <c r="B3114" s="12" t="inlineStr">
        <is>
          <t>G</t>
        </is>
      </c>
      <c r="C3114" s="12" t="inlineStr">
        <is>
          <t>Carbon capture</t>
        </is>
      </c>
      <c r="D3114" s="12" t="inlineStr">
        <is>
          <t>Motor 3 of 4: control / local station</t>
        </is>
      </c>
      <c r="E3114" s="12" t="inlineStr"/>
      <c r="F3114" s="12" t="inlineStr">
        <is>
          <t>CCS MV switchgear building (VFDs)</t>
        </is>
      </c>
      <c r="G3114" s="12" t="inlineStr"/>
      <c r="H3114" s="12" t="inlineStr">
        <is>
          <t>Solvent + NaOH storage</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5" t="n">
        <v>250</v>
      </c>
      <c r="U3114" s="15" t="n">
        <v>37</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G-C-0177</t>
        </is>
      </c>
      <c r="B3115" s="12" t="inlineStr">
        <is>
          <t>G</t>
        </is>
      </c>
      <c r="C3115" s="12" t="inlineStr">
        <is>
          <t>Carbon capture</t>
        </is>
      </c>
      <c r="D3115" s="12" t="inlineStr">
        <is>
          <t>Motor 4 of 4: control / local station</t>
        </is>
      </c>
      <c r="E3115" s="12" t="inlineStr"/>
      <c r="F3115" s="12" t="inlineStr">
        <is>
          <t>CCS MV switchgear building (VFDs)</t>
        </is>
      </c>
      <c r="G3115" s="12" t="inlineStr"/>
      <c r="H3115" s="12" t="inlineStr">
        <is>
          <t>Solvent + NaOH storage</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5" t="n">
        <v>250</v>
      </c>
      <c r="U3115" s="15" t="n">
        <v>37</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G-C-0178</t>
        </is>
      </c>
      <c r="B3116" s="12" t="inlineStr">
        <is>
          <t>G</t>
        </is>
      </c>
      <c r="C3116" s="12" t="inlineStr">
        <is>
          <t>Carbon capture</t>
        </is>
      </c>
      <c r="D3116" s="12" t="inlineStr">
        <is>
          <t>Motor 1 of 2: control / local station</t>
        </is>
      </c>
      <c r="E3116" s="12" t="inlineStr"/>
      <c r="F3116" s="12" t="inlineStr">
        <is>
          <t>CCS MV switchgear building (VFDs)</t>
        </is>
      </c>
      <c r="G3116" s="12" t="inlineStr"/>
      <c r="H3116" s="12" t="inlineStr">
        <is>
          <t>Water-wash pumps A</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519</v>
      </c>
      <c r="U3116" s="15" t="n">
        <v>66</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G-C-0179</t>
        </is>
      </c>
      <c r="B3117" s="12" t="inlineStr">
        <is>
          <t>G</t>
        </is>
      </c>
      <c r="C3117" s="12" t="inlineStr">
        <is>
          <t>Carbon capture</t>
        </is>
      </c>
      <c r="D3117" s="12" t="inlineStr">
        <is>
          <t>Motor 2 of 2: control / local station</t>
        </is>
      </c>
      <c r="E3117" s="12" t="inlineStr"/>
      <c r="F3117" s="12" t="inlineStr">
        <is>
          <t>CCS MV switchgear building (VFDs)</t>
        </is>
      </c>
      <c r="G3117" s="12" t="inlineStr"/>
      <c r="H3117" s="12" t="inlineStr">
        <is>
          <t>Water-wash pumps A</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5" t="n">
        <v>519</v>
      </c>
      <c r="U3117" s="15" t="n">
        <v>66</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G-C-0180</t>
        </is>
      </c>
      <c r="B3118" s="12" t="inlineStr">
        <is>
          <t>G</t>
        </is>
      </c>
      <c r="C3118" s="12" t="inlineStr">
        <is>
          <t>Carbon capture</t>
        </is>
      </c>
      <c r="D3118" s="12" t="inlineStr">
        <is>
          <t>Motor 1 of 2: control / local station</t>
        </is>
      </c>
      <c r="E3118" s="12" t="inlineStr"/>
      <c r="F3118" s="12" t="inlineStr">
        <is>
          <t>CCS MV switchgear building (VFDs)</t>
        </is>
      </c>
      <c r="G3118" s="12" t="inlineStr"/>
      <c r="H3118" s="12" t="inlineStr">
        <is>
          <t>Water-wash pumps B</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5" t="n">
        <v>359</v>
      </c>
      <c r="U3118" s="15" t="n">
        <v>66</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G-C-0181</t>
        </is>
      </c>
      <c r="B3119" s="12" t="inlineStr">
        <is>
          <t>G</t>
        </is>
      </c>
      <c r="C3119" s="12" t="inlineStr">
        <is>
          <t>Carbon capture</t>
        </is>
      </c>
      <c r="D3119" s="12" t="inlineStr">
        <is>
          <t>Motor 2 of 2: control / local station</t>
        </is>
      </c>
      <c r="E3119" s="12" t="inlineStr"/>
      <c r="F3119" s="12" t="inlineStr">
        <is>
          <t>CCS MV switchgear building (VFDs)</t>
        </is>
      </c>
      <c r="G3119" s="12" t="inlineStr"/>
      <c r="H3119" s="12" t="inlineStr">
        <is>
          <t>Water-wash pumps B</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5" t="n">
        <v>359</v>
      </c>
      <c r="U3119" s="15" t="n">
        <v>66</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G-C-0182</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C</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5" t="n">
        <v>199</v>
      </c>
      <c r="U3120" s="15" t="n">
        <v>66</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G-C-0183</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C</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5" t="n">
        <v>199</v>
      </c>
      <c r="U3121" s="15" t="n">
        <v>66</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G-F-0001</t>
        </is>
      </c>
      <c r="B3122" s="12" t="inlineStr">
        <is>
          <t>G</t>
        </is>
      </c>
      <c r="C3122" s="12" t="inlineStr">
        <is>
          <t>Carbon capture</t>
        </is>
      </c>
      <c r="D3122" s="12" t="inlineStr">
        <is>
          <t>Plant network / DCS fibre</t>
        </is>
      </c>
      <c r="E3122" s="12" t="inlineStr">
        <is>
          <t>CR</t>
        </is>
      </c>
      <c r="F3122" s="12" t="inlineStr">
        <is>
          <t>Control / admin building (main control room)</t>
        </is>
      </c>
      <c r="G3122" s="12" t="inlineStr"/>
      <c r="H3122" s="12" t="inlineStr">
        <is>
          <t>CCS F&amp;G / control</t>
        </is>
      </c>
      <c r="I3122" s="12" t="inlineStr">
        <is>
          <t>Fibre / data</t>
        </is>
      </c>
      <c r="J3122" s="12" t="inlineStr">
        <is>
          <t>Fibre optic, single-mode, 12-fibre, armored, orange jacket</t>
        </is>
      </c>
      <c r="K3122" s="12" t="inlineStr">
        <is>
          <t>FO|12 SM|-</t>
        </is>
      </c>
      <c r="L3122" s="12" t="inlineStr">
        <is>
          <t>12 SM</t>
        </is>
      </c>
      <c r="M3122" s="12" t="inlineStr">
        <is>
          <t>-</t>
        </is>
      </c>
      <c r="N3122" s="12" t="n">
        <v>1</v>
      </c>
      <c r="O3122" s="12" t="n">
        <v>1</v>
      </c>
      <c r="P3122" s="12" t="n"/>
      <c r="Q3122" s="12" t="n"/>
      <c r="R3122" s="12" t="n"/>
      <c r="S3122" s="12" t="inlineStr">
        <is>
          <t>Estimated</t>
        </is>
      </c>
      <c r="T3122" s="15" t="n">
        <v>1833</v>
      </c>
      <c r="U3122" s="15" t="n">
        <v>40</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G-F-0002</t>
        </is>
      </c>
      <c r="B3123" s="12" t="inlineStr">
        <is>
          <t>G</t>
        </is>
      </c>
      <c r="C3123" s="12" t="inlineStr">
        <is>
          <t>Carbon capture</t>
        </is>
      </c>
      <c r="D3123" s="12" t="inlineStr">
        <is>
          <t>Plant network / DCS fibre</t>
        </is>
      </c>
      <c r="E3123" s="12" t="inlineStr">
        <is>
          <t>CR</t>
        </is>
      </c>
      <c r="F3123" s="12" t="inlineStr">
        <is>
          <t>Control / admin building (main control room)</t>
        </is>
      </c>
      <c r="G3123" s="12" t="inlineStr"/>
      <c r="H3123" s="12" t="inlineStr">
        <is>
          <t>CCS MV switchgear building (VFDs)</t>
        </is>
      </c>
      <c r="I3123" s="12" t="inlineStr">
        <is>
          <t>Fibre / data</t>
        </is>
      </c>
      <c r="J3123" s="12" t="inlineStr">
        <is>
          <t>Fibre optic, single-mode, 12-fibre, armored, orange jacket</t>
        </is>
      </c>
      <c r="K3123" s="12" t="inlineStr">
        <is>
          <t>FO|12 SM|-</t>
        </is>
      </c>
      <c r="L3123" s="12" t="inlineStr">
        <is>
          <t>12 SM</t>
        </is>
      </c>
      <c r="M3123" s="12" t="inlineStr">
        <is>
          <t>-</t>
        </is>
      </c>
      <c r="N3123" s="12" t="n">
        <v>1</v>
      </c>
      <c r="O3123" s="12" t="n">
        <v>1</v>
      </c>
      <c r="P3123" s="12" t="n"/>
      <c r="Q3123" s="12" t="n"/>
      <c r="R3123" s="12" t="n"/>
      <c r="S3123" s="12" t="inlineStr">
        <is>
          <t>Estimated</t>
        </is>
      </c>
      <c r="T3123" s="15" t="n">
        <v>1576</v>
      </c>
      <c r="U3123" s="15" t="n">
        <v>40</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G-F-0003</t>
        </is>
      </c>
      <c r="B3124" s="12" t="inlineStr">
        <is>
          <t>G</t>
        </is>
      </c>
      <c r="C3124" s="12" t="inlineStr">
        <is>
          <t>Carbon capture</t>
        </is>
      </c>
      <c r="D3124" s="12" t="inlineStr">
        <is>
          <t>Plant network / DCS fibre</t>
        </is>
      </c>
      <c r="E3124" s="12" t="inlineStr">
        <is>
          <t>CR</t>
        </is>
      </c>
      <c r="F3124" s="12" t="inlineStr">
        <is>
          <t>Control / admin building (main control room)</t>
        </is>
      </c>
      <c r="G3124" s="12" t="inlineStr"/>
      <c r="H3124" s="12" t="inlineStr">
        <is>
          <t>CT MCC / VFD e-house</t>
        </is>
      </c>
      <c r="I3124" s="12" t="inlineStr">
        <is>
          <t>Fibre / data</t>
        </is>
      </c>
      <c r="J3124" s="12" t="inlineStr">
        <is>
          <t>Fibre optic, single-mode, 12-fibre, armored, orange jacket</t>
        </is>
      </c>
      <c r="K3124" s="12" t="inlineStr">
        <is>
          <t>FO|12 SM|-</t>
        </is>
      </c>
      <c r="L3124" s="12" t="inlineStr">
        <is>
          <t>12 SM</t>
        </is>
      </c>
      <c r="M3124" s="12" t="inlineStr">
        <is>
          <t>-</t>
        </is>
      </c>
      <c r="N3124" s="12" t="n">
        <v>1</v>
      </c>
      <c r="O3124" s="12" t="n">
        <v>1</v>
      </c>
      <c r="P3124" s="12" t="n"/>
      <c r="Q3124" s="12" t="n"/>
      <c r="R3124" s="12" t="n"/>
      <c r="S3124" s="12" t="inlineStr">
        <is>
          <t>Estimated</t>
        </is>
      </c>
      <c r="T3124" s="15" t="n">
        <v>2530</v>
      </c>
      <c r="U3124" s="15" t="n">
        <v>40</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G-FA-0001</t>
        </is>
      </c>
      <c r="B3125" s="12" t="inlineStr">
        <is>
          <t>G</t>
        </is>
      </c>
      <c r="C3125" s="12" t="inlineStr">
        <is>
          <t>Carbon capture</t>
        </is>
      </c>
      <c r="D3125" s="12" t="inlineStr">
        <is>
          <t>Fire alarm / F&amp;G loop (to the local FACP / F&amp;G node)</t>
        </is>
      </c>
      <c r="E3125" s="12" t="inlineStr"/>
      <c r="F3125" s="12" t="inlineStr">
        <is>
          <t>CCS F&amp;G / control</t>
        </is>
      </c>
      <c r="G3125" s="12" t="inlineStr"/>
      <c r="H3125" s="12" t="inlineStr">
        <is>
          <t>CCS F&amp;G / control</t>
        </is>
      </c>
      <c r="I3125" s="12" t="inlineStr">
        <is>
          <t>Fire alarm</t>
        </is>
      </c>
      <c r="J3125" s="12" t="inlineStr">
        <is>
          <t>Fire alarm FPLR 2/C #14 shielded, red jacket (NEC 760)</t>
        </is>
      </c>
      <c r="K3125" s="12" t="inlineStr">
        <is>
          <t>FA|2/C|14</t>
        </is>
      </c>
      <c r="L3125" s="12" t="inlineStr">
        <is>
          <t>2/C</t>
        </is>
      </c>
      <c r="M3125" s="12" t="inlineStr">
        <is>
          <t>14</t>
        </is>
      </c>
      <c r="N3125" s="12" t="n">
        <v>1</v>
      </c>
      <c r="O3125" s="12" t="n">
        <v>1</v>
      </c>
      <c r="P3125" s="12" t="n"/>
      <c r="Q3125" s="12" t="n"/>
      <c r="R3125" s="12" t="n"/>
      <c r="S3125" s="12" t="inlineStr">
        <is>
          <t>Tray</t>
        </is>
      </c>
      <c r="T3125" s="15" t="n">
        <v>0</v>
      </c>
      <c r="U3125" s="15" t="n">
        <v>170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G-FA-0002</t>
        </is>
      </c>
      <c r="B3126" s="12" t="inlineStr">
        <is>
          <t>G</t>
        </is>
      </c>
      <c r="C3126" s="12" t="inlineStr">
        <is>
          <t>Carbon capture</t>
        </is>
      </c>
      <c r="D3126" s="12" t="inlineStr">
        <is>
          <t>Fire alarm / F&amp;G loop (to the local FACP / F&amp;G node)</t>
        </is>
      </c>
      <c r="E3126" s="12" t="inlineStr"/>
      <c r="F3126" s="12" t="inlineStr">
        <is>
          <t>CCS F&amp;G / control</t>
        </is>
      </c>
      <c r="G3126" s="12" t="inlineStr"/>
      <c r="H3126" s="12" t="inlineStr">
        <is>
          <t>CCS MV switchgear building (VFDs)</t>
        </is>
      </c>
      <c r="I3126" s="12" t="inlineStr">
        <is>
          <t>Fire alarm</t>
        </is>
      </c>
      <c r="J3126" s="12" t="inlineStr">
        <is>
          <t>Fire alarm FPLR 2/C #14 shielded, red jacket (NEC 760)</t>
        </is>
      </c>
      <c r="K3126" s="12" t="inlineStr">
        <is>
          <t>FA|2/C|14</t>
        </is>
      </c>
      <c r="L3126" s="12" t="inlineStr">
        <is>
          <t>2/C</t>
        </is>
      </c>
      <c r="M3126" s="12" t="inlineStr">
        <is>
          <t>14</t>
        </is>
      </c>
      <c r="N3126" s="12" t="n">
        <v>1</v>
      </c>
      <c r="O3126" s="12" t="n">
        <v>1</v>
      </c>
      <c r="P3126" s="12" t="n"/>
      <c r="Q3126" s="12" t="n"/>
      <c r="R3126" s="12" t="n"/>
      <c r="S3126" s="12" t="inlineStr">
        <is>
          <t>Duct bank</t>
        </is>
      </c>
      <c r="T3126" s="15" t="n">
        <v>206</v>
      </c>
      <c r="U3126" s="15" t="n">
        <v>101</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G-FA-0003</t>
        </is>
      </c>
      <c r="B3127" s="12" t="inlineStr">
        <is>
          <t>G</t>
        </is>
      </c>
      <c r="C3127" s="12" t="inlineStr">
        <is>
          <t>Carbon capture</t>
        </is>
      </c>
      <c r="D3127" s="12" t="inlineStr">
        <is>
          <t>Fire alarm / F&amp;G loop (to the local FACP / F&amp;G node)</t>
        </is>
      </c>
      <c r="E3127" s="12" t="inlineStr"/>
      <c r="F3127" s="12" t="inlineStr">
        <is>
          <t>CCS F&amp;G / control</t>
        </is>
      </c>
      <c r="G3127" s="12" t="inlineStr"/>
      <c r="H3127" s="12" t="inlineStr">
        <is>
          <t>CT MCC / VFD e-house</t>
        </is>
      </c>
      <c r="I3127" s="12" t="inlineStr">
        <is>
          <t>Fire alarm</t>
        </is>
      </c>
      <c r="J3127" s="12" t="inlineStr">
        <is>
          <t>Fire alarm FPLR 2/C #14 shielded, red jacket (NEC 760)</t>
        </is>
      </c>
      <c r="K3127" s="12" t="inlineStr">
        <is>
          <t>FA|2/C|14</t>
        </is>
      </c>
      <c r="L3127" s="12" t="inlineStr">
        <is>
          <t>2/C</t>
        </is>
      </c>
      <c r="M3127" s="12" t="inlineStr">
        <is>
          <t>14</t>
        </is>
      </c>
      <c r="N3127" s="12" t="n">
        <v>1</v>
      </c>
      <c r="O3127" s="12" t="n">
        <v>1</v>
      </c>
      <c r="P3127" s="12" t="n"/>
      <c r="Q3127" s="12" t="n"/>
      <c r="R3127" s="12" t="n"/>
      <c r="S3127" s="12" t="inlineStr">
        <is>
          <t>Duct bank</t>
        </is>
      </c>
      <c r="T3127" s="15" t="n">
        <v>666</v>
      </c>
      <c r="U3127" s="15" t="n">
        <v>236</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G-I-0001</t>
        </is>
      </c>
      <c r="B3128" s="12" t="inlineStr">
        <is>
          <t>G</t>
        </is>
      </c>
      <c r="C3128" s="12" t="inlineStr">
        <is>
          <t>Carbon capture</t>
        </is>
      </c>
      <c r="D3128" s="12" t="inlineStr">
        <is>
          <t>Analog instrument to JB JB-ABS-A-AI01: 20 x 1 pr (field cables)</t>
        </is>
      </c>
      <c r="E3128" s="12" t="inlineStr">
        <is>
          <t>ABS-A</t>
        </is>
      </c>
      <c r="F3128" s="12" t="inlineStr">
        <is>
          <t>Absorber A (62 ft dia x 262 ft, stack to 313 ft)</t>
        </is>
      </c>
      <c r="G3128" s="12" t="inlineStr">
        <is>
          <t>JB-ABS-A-AI01</t>
        </is>
      </c>
      <c r="H3128" s="12" t="inlineStr">
        <is>
          <t>Absorber A (62 ft dia x 262 ft, stack to 313 ft)</t>
        </is>
      </c>
      <c r="I3128" s="12" t="inlineStr">
        <is>
          <t>Instrumentation</t>
        </is>
      </c>
      <c r="J3128" s="12" t="inlineStr">
        <is>
          <t>Instrumentation PLTC / TC-ER 300 V, #18 twisted shielded pairs, overall shield</t>
        </is>
      </c>
      <c r="K3128" s="12" t="inlineStr">
        <is>
          <t>PLTC|1 pr|16</t>
        </is>
      </c>
      <c r="L3128" s="12" t="inlineStr">
        <is>
          <t>1 pr</t>
        </is>
      </c>
      <c r="M3128" s="12" t="inlineStr">
        <is>
          <t>16</t>
        </is>
      </c>
      <c r="N3128" s="12" t="n">
        <v>20</v>
      </c>
      <c r="O3128" s="12" t="n">
        <v>1</v>
      </c>
      <c r="P3128" s="12" t="n"/>
      <c r="Q3128" s="12" t="n"/>
      <c r="R3128" s="12" t="n"/>
      <c r="S3128" s="12" t="inlineStr">
        <is>
          <t>Tray / conduit</t>
        </is>
      </c>
      <c r="T3128" s="15" t="n">
        <v>212</v>
      </c>
      <c r="U3128" s="15" t="n">
        <v>10</v>
      </c>
      <c r="V3128" s="15">
        <f>ROUNDUP((T3128+U3128+2*'Read Me'!$B$13)*(1+'Read Me'!$B$12),-1)</f>
        <v/>
      </c>
      <c r="W3128" s="15">
        <f>V3128*N3128*O3128</f>
        <v/>
      </c>
      <c r="X3128" s="12">
        <f>IF(LEFT(I3128,2)="MV",2*N3128*IF(L3128="1/C",O3128,1),0)</f>
        <v/>
      </c>
      <c r="Y3128" s="12">
        <f>IF(OR(LEFT(K3128,4)="LVAX",LEFT(K3128,6)="MV15AX",LEFT(K3128,4)="CTAX",LEFT(K3128,2)="W|"),2*N3128*O3128,0)</f>
        <v/>
      </c>
      <c r="Z3128" s="12" t="inlineStr">
        <is>
          <t>device-to-JB field wiring, one cable per device</t>
        </is>
      </c>
      <c r="AA3128" s="12">
        <f>N3128*O3128</f>
        <v/>
      </c>
    </row>
    <row r="3129">
      <c r="A3129" s="12" t="inlineStr">
        <is>
          <t>G-I-0002</t>
        </is>
      </c>
      <c r="B3129" s="12" t="inlineStr">
        <is>
          <t>G</t>
        </is>
      </c>
      <c r="C3129" s="12" t="inlineStr">
        <is>
          <t>Carbon capture</t>
        </is>
      </c>
      <c r="D3129" s="12" t="inlineStr">
        <is>
          <t>Home run JB-ABS-A-AI01 to the control / marshalling room</t>
        </is>
      </c>
      <c r="E3129" s="12" t="inlineStr"/>
      <c r="F3129" s="12" t="inlineStr">
        <is>
          <t>CCS F&amp;G / control</t>
        </is>
      </c>
      <c r="G3129" s="12" t="inlineStr">
        <is>
          <t>JB-ABS-A-AI01</t>
        </is>
      </c>
      <c r="H3129" s="12" t="inlineStr">
        <is>
          <t>Absorber A (62 ft dia x 262 ft, stack to 313 ft)</t>
        </is>
      </c>
      <c r="I3129" s="12" t="inlineStr">
        <is>
          <t>Instrumentation</t>
        </is>
      </c>
      <c r="J3129" s="12" t="inlineStr">
        <is>
          <t>Instrumentation PLTC / TC-ER 300 V, #18 twisted shielded pairs, overall shield</t>
        </is>
      </c>
      <c r="K3129" s="12" t="inlineStr">
        <is>
          <t>PLTC|24 pr|18</t>
        </is>
      </c>
      <c r="L3129" s="12" t="inlineStr">
        <is>
          <t>24 pr</t>
        </is>
      </c>
      <c r="M3129" s="12" t="inlineStr">
        <is>
          <t>18</t>
        </is>
      </c>
      <c r="N3129" s="12" t="n">
        <v>1</v>
      </c>
      <c r="O3129" s="12" t="n">
        <v>1</v>
      </c>
      <c r="P3129" s="12" t="n"/>
      <c r="Q3129" s="12" t="n"/>
      <c r="R3129" s="12" t="n"/>
      <c r="S3129" s="12" t="inlineStr">
        <is>
          <t>Tray</t>
        </is>
      </c>
      <c r="T3129" s="15" t="n">
        <v>973</v>
      </c>
      <c r="U3129" s="15" t="n">
        <v>119</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G-I-0003</t>
        </is>
      </c>
      <c r="B3130" s="12" t="inlineStr">
        <is>
          <t>G</t>
        </is>
      </c>
      <c r="C3130" s="12" t="inlineStr">
        <is>
          <t>Carbon capture</t>
        </is>
      </c>
      <c r="D3130" s="12" t="inlineStr">
        <is>
          <t>Analog instrument to JB JB-ABS-A-AI02: 20 x 1 pr (field cables)</t>
        </is>
      </c>
      <c r="E3130" s="12" t="inlineStr">
        <is>
          <t>ABS-A</t>
        </is>
      </c>
      <c r="F3130" s="12" t="inlineStr">
        <is>
          <t>Absorber A (62 ft dia x 262 ft, stack to 313 ft)</t>
        </is>
      </c>
      <c r="G3130" s="12" t="inlineStr">
        <is>
          <t>JB-ABS-A-AI02</t>
        </is>
      </c>
      <c r="H3130" s="12" t="inlineStr">
        <is>
          <t>Absorber A (62 ft dia x 262 ft, stack to 313 ft)</t>
        </is>
      </c>
      <c r="I3130" s="12" t="inlineStr">
        <is>
          <t>Instrumentation</t>
        </is>
      </c>
      <c r="J3130" s="12" t="inlineStr">
        <is>
          <t>Instrumentation PLTC / TC-ER 300 V, #18 twisted shielded pairs, overall shield</t>
        </is>
      </c>
      <c r="K3130" s="12" t="inlineStr">
        <is>
          <t>PLTC|1 pr|16</t>
        </is>
      </c>
      <c r="L3130" s="12" t="inlineStr">
        <is>
          <t>1 pr</t>
        </is>
      </c>
      <c r="M3130" s="12" t="inlineStr">
        <is>
          <t>16</t>
        </is>
      </c>
      <c r="N3130" s="12" t="n">
        <v>20</v>
      </c>
      <c r="O3130" s="12" t="n">
        <v>1</v>
      </c>
      <c r="P3130" s="12" t="n"/>
      <c r="Q3130" s="12" t="n"/>
      <c r="R3130" s="12" t="n"/>
      <c r="S3130" s="12" t="inlineStr">
        <is>
          <t>Tray / conduit</t>
        </is>
      </c>
      <c r="T3130" s="15" t="n">
        <v>212</v>
      </c>
      <c r="U3130" s="15" t="n">
        <v>10</v>
      </c>
      <c r="V3130" s="15">
        <f>ROUNDUP((T3130+U3130+2*'Read Me'!$B$13)*(1+'Read Me'!$B$12),-1)</f>
        <v/>
      </c>
      <c r="W3130" s="15">
        <f>V3130*N3130*O3130</f>
        <v/>
      </c>
      <c r="X3130" s="12">
        <f>IF(LEFT(I3130,2)="MV",2*N3130*IF(L3130="1/C",O3130,1),0)</f>
        <v/>
      </c>
      <c r="Y3130" s="12">
        <f>IF(OR(LEFT(K3130,4)="LVAX",LEFT(K3130,6)="MV15AX",LEFT(K3130,4)="CTAX",LEFT(K3130,2)="W|"),2*N3130*O3130,0)</f>
        <v/>
      </c>
      <c r="Z3130" s="12" t="inlineStr">
        <is>
          <t>device-to-JB field wiring, one cable per device</t>
        </is>
      </c>
      <c r="AA3130" s="12">
        <f>N3130*O3130</f>
        <v/>
      </c>
    </row>
    <row r="3131">
      <c r="A3131" s="12" t="inlineStr">
        <is>
          <t>G-I-0004</t>
        </is>
      </c>
      <c r="B3131" s="12" t="inlineStr">
        <is>
          <t>G</t>
        </is>
      </c>
      <c r="C3131" s="12" t="inlineStr">
        <is>
          <t>Carbon capture</t>
        </is>
      </c>
      <c r="D3131" s="12" t="inlineStr">
        <is>
          <t>Home run JB-ABS-A-AI02 to the control / marshalling room</t>
        </is>
      </c>
      <c r="E3131" s="12" t="inlineStr"/>
      <c r="F3131" s="12" t="inlineStr">
        <is>
          <t>CCS F&amp;G / control</t>
        </is>
      </c>
      <c r="G3131" s="12" t="inlineStr">
        <is>
          <t>JB-ABS-A-AI02</t>
        </is>
      </c>
      <c r="H3131" s="12" t="inlineStr">
        <is>
          <t>Absorber A (62 ft dia x 262 ft, stack to 313 ft)</t>
        </is>
      </c>
      <c r="I3131" s="12" t="inlineStr">
        <is>
          <t>Instrumentation</t>
        </is>
      </c>
      <c r="J3131" s="12" t="inlineStr">
        <is>
          <t>Instrumentation PLTC / TC-ER 300 V, #18 twisted shielded pairs, overall shield</t>
        </is>
      </c>
      <c r="K3131" s="12" t="inlineStr">
        <is>
          <t>PLTC|24 pr|18</t>
        </is>
      </c>
      <c r="L3131" s="12" t="inlineStr">
        <is>
          <t>24 pr</t>
        </is>
      </c>
      <c r="M3131" s="12" t="inlineStr">
        <is>
          <t>18</t>
        </is>
      </c>
      <c r="N3131" s="12" t="n">
        <v>1</v>
      </c>
      <c r="O3131" s="12" t="n">
        <v>1</v>
      </c>
      <c r="P3131" s="12" t="n"/>
      <c r="Q3131" s="12" t="n"/>
      <c r="R3131" s="12" t="n"/>
      <c r="S3131" s="12" t="inlineStr">
        <is>
          <t>Tray</t>
        </is>
      </c>
      <c r="T3131" s="15" t="n">
        <v>973</v>
      </c>
      <c r="U3131" s="15" t="n">
        <v>119</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G-I-0005</t>
        </is>
      </c>
      <c r="B3132" s="12" t="inlineStr">
        <is>
          <t>G</t>
        </is>
      </c>
      <c r="C3132" s="12" t="inlineStr">
        <is>
          <t>Carbon capture</t>
        </is>
      </c>
      <c r="D3132" s="12" t="inlineStr">
        <is>
          <t>Analog instrument to JB JB-ABS-A-AI03: 20 x 1 pr (field cables)</t>
        </is>
      </c>
      <c r="E3132" s="12" t="inlineStr">
        <is>
          <t>ABS-A</t>
        </is>
      </c>
      <c r="F3132" s="12" t="inlineStr">
        <is>
          <t>Absorber A (62 ft dia x 262 ft, stack to 313 ft)</t>
        </is>
      </c>
      <c r="G3132" s="12" t="inlineStr">
        <is>
          <t>JB-ABS-A-AI03</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5" t="n">
        <v>212</v>
      </c>
      <c r="U3132" s="15" t="n">
        <v>10</v>
      </c>
      <c r="V3132" s="15">
        <f>ROUNDUP((T3132+U3132+2*'Read Me'!$B$13)*(1+'Read Me'!$B$12),-1)</f>
        <v/>
      </c>
      <c r="W3132" s="15">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G-I-0006</t>
        </is>
      </c>
      <c r="B3133" s="12" t="inlineStr">
        <is>
          <t>G</t>
        </is>
      </c>
      <c r="C3133" s="12" t="inlineStr">
        <is>
          <t>Carbon capture</t>
        </is>
      </c>
      <c r="D3133" s="12" t="inlineStr">
        <is>
          <t>Home run JB-ABS-A-AI03 to the control / marshalling room</t>
        </is>
      </c>
      <c r="E3133" s="12" t="inlineStr"/>
      <c r="F3133" s="12" t="inlineStr">
        <is>
          <t>CCS F&amp;G / control</t>
        </is>
      </c>
      <c r="G3133" s="12" t="inlineStr">
        <is>
          <t>JB-ABS-A-AI03</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5" t="n">
        <v>973</v>
      </c>
      <c r="U3133" s="15" t="n">
        <v>119</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G-I-0007</t>
        </is>
      </c>
      <c r="B3134" s="12" t="inlineStr">
        <is>
          <t>G</t>
        </is>
      </c>
      <c r="C3134" s="12" t="inlineStr">
        <is>
          <t>Carbon capture</t>
        </is>
      </c>
      <c r="D3134" s="12" t="inlineStr">
        <is>
          <t>Discrete device to JB JB-ABS-A-DI01: 20 x 1 pr (field cables)</t>
        </is>
      </c>
      <c r="E3134" s="12" t="inlineStr">
        <is>
          <t>ABS-A</t>
        </is>
      </c>
      <c r="F3134" s="12" t="inlineStr">
        <is>
          <t>Absorber A (62 ft dia x 262 ft, stack to 313 ft)</t>
        </is>
      </c>
      <c r="G3134" s="12" t="inlineStr">
        <is>
          <t>JB-ABS-A-DI01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5" t="n">
        <v>212</v>
      </c>
      <c r="U3134" s="15" t="n">
        <v>10</v>
      </c>
      <c r="V3134" s="15">
        <f>ROUNDUP((T3134+U3134+2*'Read Me'!$B$13)*(1+'Read Me'!$B$12),-1)</f>
        <v/>
      </c>
      <c r="W3134" s="15">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G-I-0008</t>
        </is>
      </c>
      <c r="B3135" s="12" t="inlineStr">
        <is>
          <t>G</t>
        </is>
      </c>
      <c r="C3135" s="12" t="inlineStr">
        <is>
          <t>Carbon capture</t>
        </is>
      </c>
      <c r="D3135" s="12" t="inlineStr">
        <is>
          <t>Home run JB-ABS-A-DI01 to the control / marshalling room</t>
        </is>
      </c>
      <c r="E3135" s="12" t="inlineStr"/>
      <c r="F3135" s="12" t="inlineStr">
        <is>
          <t>CCS F&amp;G / control</t>
        </is>
      </c>
      <c r="G3135" s="12" t="inlineStr">
        <is>
          <t>JB-ABS-A-DI01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5" t="n">
        <v>973</v>
      </c>
      <c r="U3135" s="15" t="n">
        <v>119</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G-I-0009</t>
        </is>
      </c>
      <c r="B3136" s="12" t="inlineStr">
        <is>
          <t>G</t>
        </is>
      </c>
      <c r="C3136" s="12" t="inlineStr">
        <is>
          <t>Carbon capture</t>
        </is>
      </c>
      <c r="D3136" s="12" t="inlineStr">
        <is>
          <t>Discrete device to JB JB-ABS-A-DI02: 20 x 1 pr (field cables)</t>
        </is>
      </c>
      <c r="E3136" s="12" t="inlineStr">
        <is>
          <t>ABS-A</t>
        </is>
      </c>
      <c r="F3136" s="12" t="inlineStr">
        <is>
          <t>Absorber A (62 ft dia x 262 ft, stack to 313 ft)</t>
        </is>
      </c>
      <c r="G3136" s="12" t="inlineStr">
        <is>
          <t>JB-ABS-A-DI02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5" t="n">
        <v>212</v>
      </c>
      <c r="U3136" s="15" t="n">
        <v>10</v>
      </c>
      <c r="V3136" s="15">
        <f>ROUNDUP((T3136+U3136+2*'Read Me'!$B$13)*(1+'Read Me'!$B$12),-1)</f>
        <v/>
      </c>
      <c r="W3136" s="15">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G-I-0010</t>
        </is>
      </c>
      <c r="B3137" s="12" t="inlineStr">
        <is>
          <t>G</t>
        </is>
      </c>
      <c r="C3137" s="12" t="inlineStr">
        <is>
          <t>Carbon capture</t>
        </is>
      </c>
      <c r="D3137" s="12" t="inlineStr">
        <is>
          <t>Home run JB-ABS-A-DI02 to the control / marshalling room</t>
        </is>
      </c>
      <c r="E3137" s="12" t="inlineStr"/>
      <c r="F3137" s="12" t="inlineStr">
        <is>
          <t>CCS F&amp;G / control</t>
        </is>
      </c>
      <c r="G3137" s="12" t="inlineStr">
        <is>
          <t>JB-ABS-A-DI02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5" t="n">
        <v>973</v>
      </c>
      <c r="U3137" s="15" t="n">
        <v>119</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G-I-0011</t>
        </is>
      </c>
      <c r="B3138" s="12" t="inlineStr">
        <is>
          <t>G</t>
        </is>
      </c>
      <c r="C3138" s="12" t="inlineStr">
        <is>
          <t>Carbon capture</t>
        </is>
      </c>
      <c r="D3138" s="12" t="inlineStr">
        <is>
          <t>Analog instrument to JB JB-Absorber A interco-AI01: 15 x 1 pr (field cables)</t>
        </is>
      </c>
      <c r="E3138" s="12" t="inlineStr"/>
      <c r="F3138" s="12" t="inlineStr">
        <is>
          <t>Absorber A intercooler (pumps + plate exchanger)</t>
        </is>
      </c>
      <c r="G3138" s="12" t="inlineStr">
        <is>
          <t>JB-Absorber A interco-AI01</t>
        </is>
      </c>
      <c r="H3138" s="12" t="inlineStr">
        <is>
          <t>Absorber A intercooler (pumps + plate exchanger)</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15</v>
      </c>
      <c r="O3138" s="12" t="n">
        <v>1</v>
      </c>
      <c r="P3138" s="12" t="n"/>
      <c r="Q3138" s="12" t="n"/>
      <c r="R3138" s="12" t="n"/>
      <c r="S3138" s="12" t="inlineStr">
        <is>
          <t>Tray / conduit</t>
        </is>
      </c>
      <c r="T3138" s="15" t="n">
        <v>55</v>
      </c>
      <c r="U3138" s="15" t="n">
        <v>10</v>
      </c>
      <c r="V3138" s="15">
        <f>ROUNDUP((T3138+U3138+2*'Read Me'!$B$13)*(1+'Read Me'!$B$12),-1)</f>
        <v/>
      </c>
      <c r="W3138" s="15">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G-I-0012</t>
        </is>
      </c>
      <c r="B3139" s="12" t="inlineStr">
        <is>
          <t>G</t>
        </is>
      </c>
      <c r="C3139" s="12" t="inlineStr">
        <is>
          <t>Carbon capture</t>
        </is>
      </c>
      <c r="D3139" s="12" t="inlineStr">
        <is>
          <t>Home run JB-Absorber A interco-AI01 to the control / marshalling room</t>
        </is>
      </c>
      <c r="E3139" s="12" t="inlineStr"/>
      <c r="F3139" s="12" t="inlineStr">
        <is>
          <t>CCS F&amp;G / control</t>
        </is>
      </c>
      <c r="G3139" s="12" t="inlineStr">
        <is>
          <t>JB-Absorber A interco-AI01</t>
        </is>
      </c>
      <c r="H3139" s="12" t="inlineStr">
        <is>
          <t>Absorber A intercooler (pumps + plate exchanger)</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5" t="n">
        <v>955</v>
      </c>
      <c r="U3139" s="15" t="n">
        <v>120</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G-I-0013</t>
        </is>
      </c>
      <c r="B3140" s="12" t="inlineStr">
        <is>
          <t>G</t>
        </is>
      </c>
      <c r="C3140" s="12" t="inlineStr">
        <is>
          <t>Carbon capture</t>
        </is>
      </c>
      <c r="D3140" s="12" t="inlineStr">
        <is>
          <t>Discrete device to JB JB-Absorber A interco-DI01: 15 x 1 pr (field cables)</t>
        </is>
      </c>
      <c r="E3140" s="12" t="inlineStr"/>
      <c r="F3140" s="12" t="inlineStr">
        <is>
          <t>Absorber A intercooler (pumps + plate exchanger)</t>
        </is>
      </c>
      <c r="G3140" s="12" t="inlineStr">
        <is>
          <t>JB-Absorber A interco-DI01</t>
        </is>
      </c>
      <c r="H3140" s="12" t="inlineStr">
        <is>
          <t>Absorber A intercooler (pumps + plate exchanger)</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15</v>
      </c>
      <c r="O3140" s="12" t="n">
        <v>1</v>
      </c>
      <c r="P3140" s="12" t="n"/>
      <c r="Q3140" s="12" t="n"/>
      <c r="R3140" s="12" t="n"/>
      <c r="S3140" s="12" t="inlineStr">
        <is>
          <t>Tray / conduit</t>
        </is>
      </c>
      <c r="T3140" s="15" t="n">
        <v>55</v>
      </c>
      <c r="U3140" s="15" t="n">
        <v>10</v>
      </c>
      <c r="V3140" s="15">
        <f>ROUNDUP((T3140+U3140+2*'Read Me'!$B$13)*(1+'Read Me'!$B$12),-1)</f>
        <v/>
      </c>
      <c r="W3140" s="15">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G-I-0014</t>
        </is>
      </c>
      <c r="B3141" s="12" t="inlineStr">
        <is>
          <t>G</t>
        </is>
      </c>
      <c r="C3141" s="12" t="inlineStr">
        <is>
          <t>Carbon capture</t>
        </is>
      </c>
      <c r="D3141" s="12" t="inlineStr">
        <is>
          <t>Home run JB-Absorber A interco-DI01 to the control / marshalling room</t>
        </is>
      </c>
      <c r="E3141" s="12" t="inlineStr"/>
      <c r="F3141" s="12" t="inlineStr">
        <is>
          <t>CCS F&amp;G / control</t>
        </is>
      </c>
      <c r="G3141" s="12" t="inlineStr">
        <is>
          <t>JB-Absorber A interco-DI01</t>
        </is>
      </c>
      <c r="H3141" s="12" t="inlineStr">
        <is>
          <t>Absorber A intercooler (pumps + plate exchanger)</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5" t="n">
        <v>955</v>
      </c>
      <c r="U3141" s="15" t="n">
        <v>120</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G-I-0015</t>
        </is>
      </c>
      <c r="B3142" s="12" t="inlineStr">
        <is>
          <t>G</t>
        </is>
      </c>
      <c r="C3142" s="12" t="inlineStr">
        <is>
          <t>Carbon capture</t>
        </is>
      </c>
      <c r="D3142" s="12" t="inlineStr">
        <is>
          <t>Analog instrument to JB JB-ABS-B-AI01: 20 x 1 pr (field cables)</t>
        </is>
      </c>
      <c r="E3142" s="12" t="inlineStr">
        <is>
          <t>ABS-B</t>
        </is>
      </c>
      <c r="F3142" s="12" t="inlineStr">
        <is>
          <t>Absorber B (62 ft dia x 262 ft, stack to 313 ft)</t>
        </is>
      </c>
      <c r="G3142" s="12" t="inlineStr">
        <is>
          <t>JB-ABS-B-AI01</t>
        </is>
      </c>
      <c r="H3142" s="12" t="inlineStr">
        <is>
          <t>Absorber B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5" t="n">
        <v>212</v>
      </c>
      <c r="U3142" s="15" t="n">
        <v>10</v>
      </c>
      <c r="V3142" s="15">
        <f>ROUNDUP((T3142+U3142+2*'Read Me'!$B$13)*(1+'Read Me'!$B$12),-1)</f>
        <v/>
      </c>
      <c r="W3142" s="15">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G-I-0016</t>
        </is>
      </c>
      <c r="B3143" s="12" t="inlineStr">
        <is>
          <t>G</t>
        </is>
      </c>
      <c r="C3143" s="12" t="inlineStr">
        <is>
          <t>Carbon capture</t>
        </is>
      </c>
      <c r="D3143" s="12" t="inlineStr">
        <is>
          <t>Home run JB-ABS-B-AI01 to the control / marshalling room</t>
        </is>
      </c>
      <c r="E3143" s="12" t="inlineStr"/>
      <c r="F3143" s="12" t="inlineStr">
        <is>
          <t>CCS F&amp;G / control</t>
        </is>
      </c>
      <c r="G3143" s="12" t="inlineStr">
        <is>
          <t>JB-ABS-B-AI01</t>
        </is>
      </c>
      <c r="H3143" s="12" t="inlineStr">
        <is>
          <t>Absorber B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5" t="n">
        <v>813</v>
      </c>
      <c r="U3143" s="15" t="n">
        <v>119</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G-I-0017</t>
        </is>
      </c>
      <c r="B3144" s="12" t="inlineStr">
        <is>
          <t>G</t>
        </is>
      </c>
      <c r="C3144" s="12" t="inlineStr">
        <is>
          <t>Carbon capture</t>
        </is>
      </c>
      <c r="D3144" s="12" t="inlineStr">
        <is>
          <t>Analog instrument to JB JB-ABS-B-AI02: 20 x 1 pr (field cables)</t>
        </is>
      </c>
      <c r="E3144" s="12" t="inlineStr">
        <is>
          <t>ABS-B</t>
        </is>
      </c>
      <c r="F3144" s="12" t="inlineStr">
        <is>
          <t>Absorber B (62 ft dia x 262 ft, stack to 313 ft)</t>
        </is>
      </c>
      <c r="G3144" s="12" t="inlineStr">
        <is>
          <t>JB-ABS-B-AI02</t>
        </is>
      </c>
      <c r="H3144" s="12" t="inlineStr">
        <is>
          <t>Absorber B (62 ft dia x 262 ft, stack to 313 ft)</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20</v>
      </c>
      <c r="O3144" s="12" t="n">
        <v>1</v>
      </c>
      <c r="P3144" s="12" t="n"/>
      <c r="Q3144" s="12" t="n"/>
      <c r="R3144" s="12" t="n"/>
      <c r="S3144" s="12" t="inlineStr">
        <is>
          <t>Tray / conduit</t>
        </is>
      </c>
      <c r="T3144" s="15" t="n">
        <v>212</v>
      </c>
      <c r="U3144" s="15" t="n">
        <v>10</v>
      </c>
      <c r="V3144" s="15">
        <f>ROUNDUP((T3144+U3144+2*'Read Me'!$B$13)*(1+'Read Me'!$B$12),-1)</f>
        <v/>
      </c>
      <c r="W3144" s="15">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G-I-0018</t>
        </is>
      </c>
      <c r="B3145" s="12" t="inlineStr">
        <is>
          <t>G</t>
        </is>
      </c>
      <c r="C3145" s="12" t="inlineStr">
        <is>
          <t>Carbon capture</t>
        </is>
      </c>
      <c r="D3145" s="12" t="inlineStr">
        <is>
          <t>Home run JB-ABS-B-AI02 to the control / marshalling room</t>
        </is>
      </c>
      <c r="E3145" s="12" t="inlineStr"/>
      <c r="F3145" s="12" t="inlineStr">
        <is>
          <t>CCS F&amp;G / control</t>
        </is>
      </c>
      <c r="G3145" s="12" t="inlineStr">
        <is>
          <t>JB-ABS-B-AI02</t>
        </is>
      </c>
      <c r="H3145" s="12" t="inlineStr">
        <is>
          <t>Absorber B (62 ft dia x 262 ft, stack to 313 ft)</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5" t="n">
        <v>813</v>
      </c>
      <c r="U3145" s="15" t="n">
        <v>119</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G-I-0019</t>
        </is>
      </c>
      <c r="B3146" s="12" t="inlineStr">
        <is>
          <t>G</t>
        </is>
      </c>
      <c r="C3146" s="12" t="inlineStr">
        <is>
          <t>Carbon capture</t>
        </is>
      </c>
      <c r="D3146" s="12" t="inlineStr">
        <is>
          <t>Analog instrument to JB JB-ABS-B-AI03: 20 x 1 pr (field cables)</t>
        </is>
      </c>
      <c r="E3146" s="12" t="inlineStr">
        <is>
          <t>ABS-B</t>
        </is>
      </c>
      <c r="F3146" s="12" t="inlineStr">
        <is>
          <t>Absorber B (62 ft dia x 262 ft, stack to 313 ft)</t>
        </is>
      </c>
      <c r="G3146" s="12" t="inlineStr">
        <is>
          <t>JB-ABS-B-AI03</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5" t="n">
        <v>212</v>
      </c>
      <c r="U3146" s="15" t="n">
        <v>10</v>
      </c>
      <c r="V3146" s="15">
        <f>ROUNDUP((T3146+U3146+2*'Read Me'!$B$13)*(1+'Read Me'!$B$12),-1)</f>
        <v/>
      </c>
      <c r="W3146" s="15">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G-I-0020</t>
        </is>
      </c>
      <c r="B3147" s="12" t="inlineStr">
        <is>
          <t>G</t>
        </is>
      </c>
      <c r="C3147" s="12" t="inlineStr">
        <is>
          <t>Carbon capture</t>
        </is>
      </c>
      <c r="D3147" s="12" t="inlineStr">
        <is>
          <t>Home run JB-ABS-B-AI03 to the control / marshalling room</t>
        </is>
      </c>
      <c r="E3147" s="12" t="inlineStr"/>
      <c r="F3147" s="12" t="inlineStr">
        <is>
          <t>CCS F&amp;G / control</t>
        </is>
      </c>
      <c r="G3147" s="12" t="inlineStr">
        <is>
          <t>JB-ABS-B-AI03</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5" t="n">
        <v>813</v>
      </c>
      <c r="U3147" s="15" t="n">
        <v>119</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G-I-0021</t>
        </is>
      </c>
      <c r="B3148" s="12" t="inlineStr">
        <is>
          <t>G</t>
        </is>
      </c>
      <c r="C3148" s="12" t="inlineStr">
        <is>
          <t>Carbon capture</t>
        </is>
      </c>
      <c r="D3148" s="12" t="inlineStr">
        <is>
          <t>Discrete device to JB JB-ABS-B-DI01: 20 x 1 pr (field cables)</t>
        </is>
      </c>
      <c r="E3148" s="12" t="inlineStr">
        <is>
          <t>ABS-B</t>
        </is>
      </c>
      <c r="F3148" s="12" t="inlineStr">
        <is>
          <t>Absorber B (62 ft dia x 262 ft, stack to 313 ft)</t>
        </is>
      </c>
      <c r="G3148" s="12" t="inlineStr">
        <is>
          <t>JB-ABS-B-DI01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5" t="n">
        <v>212</v>
      </c>
      <c r="U3148" s="15" t="n">
        <v>10</v>
      </c>
      <c r="V3148" s="15">
        <f>ROUNDUP((T3148+U3148+2*'Read Me'!$B$13)*(1+'Read Me'!$B$12),-1)</f>
        <v/>
      </c>
      <c r="W3148" s="15">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G-I-0022</t>
        </is>
      </c>
      <c r="B3149" s="12" t="inlineStr">
        <is>
          <t>G</t>
        </is>
      </c>
      <c r="C3149" s="12" t="inlineStr">
        <is>
          <t>Carbon capture</t>
        </is>
      </c>
      <c r="D3149" s="12" t="inlineStr">
        <is>
          <t>Home run JB-ABS-B-DI01 to the control / marshalling room</t>
        </is>
      </c>
      <c r="E3149" s="12" t="inlineStr"/>
      <c r="F3149" s="12" t="inlineStr">
        <is>
          <t>CCS F&amp;G / control</t>
        </is>
      </c>
      <c r="G3149" s="12" t="inlineStr">
        <is>
          <t>JB-ABS-B-DI01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5" t="n">
        <v>813</v>
      </c>
      <c r="U3149" s="15" t="n">
        <v>119</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G-I-0023</t>
        </is>
      </c>
      <c r="B3150" s="12" t="inlineStr">
        <is>
          <t>G</t>
        </is>
      </c>
      <c r="C3150" s="12" t="inlineStr">
        <is>
          <t>Carbon capture</t>
        </is>
      </c>
      <c r="D3150" s="12" t="inlineStr">
        <is>
          <t>Discrete device to JB JB-ABS-B-DI02: 20 x 1 pr (field cables)</t>
        </is>
      </c>
      <c r="E3150" s="12" t="inlineStr">
        <is>
          <t>ABS-B</t>
        </is>
      </c>
      <c r="F3150" s="12" t="inlineStr">
        <is>
          <t>Absorber B (62 ft dia x 262 ft, stack to 313 ft)</t>
        </is>
      </c>
      <c r="G3150" s="12" t="inlineStr">
        <is>
          <t>JB-ABS-B-DI02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5" t="n">
        <v>212</v>
      </c>
      <c r="U3150" s="15" t="n">
        <v>10</v>
      </c>
      <c r="V3150" s="15">
        <f>ROUNDUP((T3150+U3150+2*'Read Me'!$B$13)*(1+'Read Me'!$B$12),-1)</f>
        <v/>
      </c>
      <c r="W3150" s="15">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G-I-0024</t>
        </is>
      </c>
      <c r="B3151" s="12" t="inlineStr">
        <is>
          <t>G</t>
        </is>
      </c>
      <c r="C3151" s="12" t="inlineStr">
        <is>
          <t>Carbon capture</t>
        </is>
      </c>
      <c r="D3151" s="12" t="inlineStr">
        <is>
          <t>Home run JB-ABS-B-DI02 to the control / marshalling room</t>
        </is>
      </c>
      <c r="E3151" s="12" t="inlineStr"/>
      <c r="F3151" s="12" t="inlineStr">
        <is>
          <t>CCS F&amp;G / control</t>
        </is>
      </c>
      <c r="G3151" s="12" t="inlineStr">
        <is>
          <t>JB-ABS-B-DI02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5" t="n">
        <v>813</v>
      </c>
      <c r="U3151" s="15" t="n">
        <v>119</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G-I-0025</t>
        </is>
      </c>
      <c r="B3152" s="12" t="inlineStr">
        <is>
          <t>G</t>
        </is>
      </c>
      <c r="C3152" s="12" t="inlineStr">
        <is>
          <t>Carbon capture</t>
        </is>
      </c>
      <c r="D3152" s="12" t="inlineStr">
        <is>
          <t>Analog instrument to JB JB-Absorber B interco-AI01: 15 x 1 pr (field cables)</t>
        </is>
      </c>
      <c r="E3152" s="12" t="inlineStr"/>
      <c r="F3152" s="12" t="inlineStr">
        <is>
          <t>Absorber B intercooler (pumps + plate exchanger)</t>
        </is>
      </c>
      <c r="G3152" s="12" t="inlineStr">
        <is>
          <t>JB-Absorber B interco-AI01</t>
        </is>
      </c>
      <c r="H3152" s="12" t="inlineStr">
        <is>
          <t>Absorber B intercooler (pumps + plate exchanger)</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15</v>
      </c>
      <c r="O3152" s="12" t="n">
        <v>1</v>
      </c>
      <c r="P3152" s="12" t="n"/>
      <c r="Q3152" s="12" t="n"/>
      <c r="R3152" s="12" t="n"/>
      <c r="S3152" s="12" t="inlineStr">
        <is>
          <t>Tray / conduit</t>
        </is>
      </c>
      <c r="T3152" s="15" t="n">
        <v>55</v>
      </c>
      <c r="U3152" s="15" t="n">
        <v>10</v>
      </c>
      <c r="V3152" s="15">
        <f>ROUNDUP((T3152+U3152+2*'Read Me'!$B$13)*(1+'Read Me'!$B$12),-1)</f>
        <v/>
      </c>
      <c r="W3152" s="15">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G-I-0026</t>
        </is>
      </c>
      <c r="B3153" s="12" t="inlineStr">
        <is>
          <t>G</t>
        </is>
      </c>
      <c r="C3153" s="12" t="inlineStr">
        <is>
          <t>Carbon capture</t>
        </is>
      </c>
      <c r="D3153" s="12" t="inlineStr">
        <is>
          <t>Home run JB-Absorber B interco-AI01 to the control / marshalling room</t>
        </is>
      </c>
      <c r="E3153" s="12" t="inlineStr"/>
      <c r="F3153" s="12" t="inlineStr">
        <is>
          <t>CCS F&amp;G / control</t>
        </is>
      </c>
      <c r="G3153" s="12" t="inlineStr">
        <is>
          <t>JB-Absorber B interco-AI01</t>
        </is>
      </c>
      <c r="H3153" s="12" t="inlineStr">
        <is>
          <t>Absorber B intercooler (pumps + plate exchanger)</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5" t="n">
        <v>795</v>
      </c>
      <c r="U3153" s="15" t="n">
        <v>120</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G-I-0027</t>
        </is>
      </c>
      <c r="B3154" s="12" t="inlineStr">
        <is>
          <t>G</t>
        </is>
      </c>
      <c r="C3154" s="12" t="inlineStr">
        <is>
          <t>Carbon capture</t>
        </is>
      </c>
      <c r="D3154" s="12" t="inlineStr">
        <is>
          <t>Discrete device to JB JB-Absorber B interco-DI01: 15 x 1 pr (field cables)</t>
        </is>
      </c>
      <c r="E3154" s="12" t="inlineStr"/>
      <c r="F3154" s="12" t="inlineStr">
        <is>
          <t>Absorber B intercooler (pumps + plate exchanger)</t>
        </is>
      </c>
      <c r="G3154" s="12" t="inlineStr">
        <is>
          <t>JB-Absorber B interco-DI01</t>
        </is>
      </c>
      <c r="H3154" s="12" t="inlineStr">
        <is>
          <t>Absorber B intercooler (pumps + plate exchanger)</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15</v>
      </c>
      <c r="O3154" s="12" t="n">
        <v>1</v>
      </c>
      <c r="P3154" s="12" t="n"/>
      <c r="Q3154" s="12" t="n"/>
      <c r="R3154" s="12" t="n"/>
      <c r="S3154" s="12" t="inlineStr">
        <is>
          <t>Tray / conduit</t>
        </is>
      </c>
      <c r="T3154" s="15" t="n">
        <v>55</v>
      </c>
      <c r="U3154" s="15" t="n">
        <v>10</v>
      </c>
      <c r="V3154" s="15">
        <f>ROUNDUP((T3154+U3154+2*'Read Me'!$B$13)*(1+'Read Me'!$B$12),-1)</f>
        <v/>
      </c>
      <c r="W3154" s="15">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G-I-0028</t>
        </is>
      </c>
      <c r="B3155" s="12" t="inlineStr">
        <is>
          <t>G</t>
        </is>
      </c>
      <c r="C3155" s="12" t="inlineStr">
        <is>
          <t>Carbon capture</t>
        </is>
      </c>
      <c r="D3155" s="12" t="inlineStr">
        <is>
          <t>Home run JB-Absorber B interco-DI01 to the control / marshalling room</t>
        </is>
      </c>
      <c r="E3155" s="12" t="inlineStr"/>
      <c r="F3155" s="12" t="inlineStr">
        <is>
          <t>CCS F&amp;G / control</t>
        </is>
      </c>
      <c r="G3155" s="12" t="inlineStr">
        <is>
          <t>JB-Absorber B interco-DI01</t>
        </is>
      </c>
      <c r="H3155" s="12" t="inlineStr">
        <is>
          <t>Absorber B intercooler (pumps + plate exchanger)</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5" t="n">
        <v>795</v>
      </c>
      <c r="U3155" s="15" t="n">
        <v>120</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G-I-0029</t>
        </is>
      </c>
      <c r="B3156" s="12" t="inlineStr">
        <is>
          <t>G</t>
        </is>
      </c>
      <c r="C3156" s="12" t="inlineStr">
        <is>
          <t>Carbon capture</t>
        </is>
      </c>
      <c r="D3156" s="12" t="inlineStr">
        <is>
          <t>Analog instrument to JB JB-ABS-C-AI01: 20 x 1 pr (field cables)</t>
        </is>
      </c>
      <c r="E3156" s="12" t="inlineStr">
        <is>
          <t>ABS-C</t>
        </is>
      </c>
      <c r="F3156" s="12" t="inlineStr">
        <is>
          <t>Absorber C (62 ft dia x 262 ft, stack to 313 ft)</t>
        </is>
      </c>
      <c r="G3156" s="12" t="inlineStr">
        <is>
          <t>JB-ABS-C-AI01</t>
        </is>
      </c>
      <c r="H3156" s="12" t="inlineStr">
        <is>
          <t>Absorber C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5" t="n">
        <v>212</v>
      </c>
      <c r="U3156" s="15" t="n">
        <v>10</v>
      </c>
      <c r="V3156" s="15">
        <f>ROUNDUP((T3156+U3156+2*'Read Me'!$B$13)*(1+'Read Me'!$B$12),-1)</f>
        <v/>
      </c>
      <c r="W3156" s="15">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G-I-0030</t>
        </is>
      </c>
      <c r="B3157" s="12" t="inlineStr">
        <is>
          <t>G</t>
        </is>
      </c>
      <c r="C3157" s="12" t="inlineStr">
        <is>
          <t>Carbon capture</t>
        </is>
      </c>
      <c r="D3157" s="12" t="inlineStr">
        <is>
          <t>Home run JB-ABS-C-AI01 to the control / marshalling room</t>
        </is>
      </c>
      <c r="E3157" s="12" t="inlineStr"/>
      <c r="F3157" s="12" t="inlineStr">
        <is>
          <t>CCS F&amp;G / control</t>
        </is>
      </c>
      <c r="G3157" s="12" t="inlineStr">
        <is>
          <t>JB-ABS-C-AI01</t>
        </is>
      </c>
      <c r="H3157" s="12" t="inlineStr">
        <is>
          <t>Absorber C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Duct bank</t>
        </is>
      </c>
      <c r="T3157" s="15" t="n">
        <v>653</v>
      </c>
      <c r="U3157" s="15" t="n">
        <v>119</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G-I-0031</t>
        </is>
      </c>
      <c r="B3158" s="12" t="inlineStr">
        <is>
          <t>G</t>
        </is>
      </c>
      <c r="C3158" s="12" t="inlineStr">
        <is>
          <t>Carbon capture</t>
        </is>
      </c>
      <c r="D3158" s="12" t="inlineStr">
        <is>
          <t>Analog instrument to JB JB-ABS-C-AI02: 20 x 1 pr (field cables)</t>
        </is>
      </c>
      <c r="E3158" s="12" t="inlineStr">
        <is>
          <t>ABS-C</t>
        </is>
      </c>
      <c r="F3158" s="12" t="inlineStr">
        <is>
          <t>Absorber C (62 ft dia x 262 ft, stack to 313 ft)</t>
        </is>
      </c>
      <c r="G3158" s="12" t="inlineStr">
        <is>
          <t>JB-ABS-C-AI02</t>
        </is>
      </c>
      <c r="H3158" s="12" t="inlineStr">
        <is>
          <t>Absorber C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5" t="n">
        <v>212</v>
      </c>
      <c r="U3158" s="15" t="n">
        <v>10</v>
      </c>
      <c r="V3158" s="15">
        <f>ROUNDUP((T3158+U3158+2*'Read Me'!$B$13)*(1+'Read Me'!$B$12),-1)</f>
        <v/>
      </c>
      <c r="W3158" s="15">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G-I-0032</t>
        </is>
      </c>
      <c r="B3159" s="12" t="inlineStr">
        <is>
          <t>G</t>
        </is>
      </c>
      <c r="C3159" s="12" t="inlineStr">
        <is>
          <t>Carbon capture</t>
        </is>
      </c>
      <c r="D3159" s="12" t="inlineStr">
        <is>
          <t>Home run JB-ABS-C-AI02 to the control / marshalling room</t>
        </is>
      </c>
      <c r="E3159" s="12" t="inlineStr"/>
      <c r="F3159" s="12" t="inlineStr">
        <is>
          <t>CCS F&amp;G / control</t>
        </is>
      </c>
      <c r="G3159" s="12" t="inlineStr">
        <is>
          <t>JB-ABS-C-AI02</t>
        </is>
      </c>
      <c r="H3159" s="12" t="inlineStr">
        <is>
          <t>Absorber C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Duct bank</t>
        </is>
      </c>
      <c r="T3159" s="15" t="n">
        <v>653</v>
      </c>
      <c r="U3159" s="15" t="n">
        <v>119</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G-I-0033</t>
        </is>
      </c>
      <c r="B3160" s="12" t="inlineStr">
        <is>
          <t>G</t>
        </is>
      </c>
      <c r="C3160" s="12" t="inlineStr">
        <is>
          <t>Carbon capture</t>
        </is>
      </c>
      <c r="D3160" s="12" t="inlineStr">
        <is>
          <t>Analog instrument to JB JB-ABS-C-AI03: 20 x 1 pr (field cables)</t>
        </is>
      </c>
      <c r="E3160" s="12" t="inlineStr">
        <is>
          <t>ABS-C</t>
        </is>
      </c>
      <c r="F3160" s="12" t="inlineStr">
        <is>
          <t>Absorber C (62 ft dia x 262 ft, stack to 313 ft)</t>
        </is>
      </c>
      <c r="G3160" s="12" t="inlineStr">
        <is>
          <t>JB-ABS-C-AI03</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5" t="n">
        <v>212</v>
      </c>
      <c r="U3160" s="15" t="n">
        <v>10</v>
      </c>
      <c r="V3160" s="15">
        <f>ROUNDUP((T3160+U3160+2*'Read Me'!$B$13)*(1+'Read Me'!$B$12),-1)</f>
        <v/>
      </c>
      <c r="W3160" s="15">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G-I-0034</t>
        </is>
      </c>
      <c r="B3161" s="12" t="inlineStr">
        <is>
          <t>G</t>
        </is>
      </c>
      <c r="C3161" s="12" t="inlineStr">
        <is>
          <t>Carbon capture</t>
        </is>
      </c>
      <c r="D3161" s="12" t="inlineStr">
        <is>
          <t>Home run JB-ABS-C-AI03 to the control / marshalling room</t>
        </is>
      </c>
      <c r="E3161" s="12" t="inlineStr"/>
      <c r="F3161" s="12" t="inlineStr">
        <is>
          <t>CCS F&amp;G / control</t>
        </is>
      </c>
      <c r="G3161" s="12" t="inlineStr">
        <is>
          <t>JB-ABS-C-AI03</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5" t="n">
        <v>653</v>
      </c>
      <c r="U3161" s="15" t="n">
        <v>119</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G-I-0035</t>
        </is>
      </c>
      <c r="B3162" s="12" t="inlineStr">
        <is>
          <t>G</t>
        </is>
      </c>
      <c r="C3162" s="12" t="inlineStr">
        <is>
          <t>Carbon capture</t>
        </is>
      </c>
      <c r="D3162" s="12" t="inlineStr">
        <is>
          <t>Discrete device to JB JB-ABS-C-DI01: 20 x 1 pr (field cables)</t>
        </is>
      </c>
      <c r="E3162" s="12" t="inlineStr">
        <is>
          <t>ABS-C</t>
        </is>
      </c>
      <c r="F3162" s="12" t="inlineStr">
        <is>
          <t>Absorber C (62 ft dia x 262 ft, stack to 313 ft)</t>
        </is>
      </c>
      <c r="G3162" s="12" t="inlineStr">
        <is>
          <t>JB-ABS-C-DI01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5" t="n">
        <v>212</v>
      </c>
      <c r="U3162" s="15" t="n">
        <v>10</v>
      </c>
      <c r="V3162" s="15">
        <f>ROUNDUP((T3162+U3162+2*'Read Me'!$B$13)*(1+'Read Me'!$B$12),-1)</f>
        <v/>
      </c>
      <c r="W3162" s="15">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G-I-0036</t>
        </is>
      </c>
      <c r="B3163" s="12" t="inlineStr">
        <is>
          <t>G</t>
        </is>
      </c>
      <c r="C3163" s="12" t="inlineStr">
        <is>
          <t>Carbon capture</t>
        </is>
      </c>
      <c r="D3163" s="12" t="inlineStr">
        <is>
          <t>Home run JB-ABS-C-DI01 to the control / marshalling room</t>
        </is>
      </c>
      <c r="E3163" s="12" t="inlineStr"/>
      <c r="F3163" s="12" t="inlineStr">
        <is>
          <t>CCS F&amp;G / control</t>
        </is>
      </c>
      <c r="G3163" s="12" t="inlineStr">
        <is>
          <t>JB-ABS-C-DI01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5" t="n">
        <v>653</v>
      </c>
      <c r="U3163" s="15" t="n">
        <v>119</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G-I-0037</t>
        </is>
      </c>
      <c r="B3164" s="12" t="inlineStr">
        <is>
          <t>G</t>
        </is>
      </c>
      <c r="C3164" s="12" t="inlineStr">
        <is>
          <t>Carbon capture</t>
        </is>
      </c>
      <c r="D3164" s="12" t="inlineStr">
        <is>
          <t>Discrete device to JB JB-ABS-C-DI02: 20 x 1 pr (field cables)</t>
        </is>
      </c>
      <c r="E3164" s="12" t="inlineStr">
        <is>
          <t>ABS-C</t>
        </is>
      </c>
      <c r="F3164" s="12" t="inlineStr">
        <is>
          <t>Absorber C (62 ft dia x 262 ft, stack to 313 ft)</t>
        </is>
      </c>
      <c r="G3164" s="12" t="inlineStr">
        <is>
          <t>JB-ABS-C-DI02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5" t="n">
        <v>212</v>
      </c>
      <c r="U3164" s="15" t="n">
        <v>10</v>
      </c>
      <c r="V3164" s="15">
        <f>ROUNDUP((T3164+U3164+2*'Read Me'!$B$13)*(1+'Read Me'!$B$12),-1)</f>
        <v/>
      </c>
      <c r="W3164" s="15">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G-I-0038</t>
        </is>
      </c>
      <c r="B3165" s="12" t="inlineStr">
        <is>
          <t>G</t>
        </is>
      </c>
      <c r="C3165" s="12" t="inlineStr">
        <is>
          <t>Carbon capture</t>
        </is>
      </c>
      <c r="D3165" s="12" t="inlineStr">
        <is>
          <t>Home run JB-ABS-C-DI02 to the control / marshalling room</t>
        </is>
      </c>
      <c r="E3165" s="12" t="inlineStr"/>
      <c r="F3165" s="12" t="inlineStr">
        <is>
          <t>CCS F&amp;G / control</t>
        </is>
      </c>
      <c r="G3165" s="12" t="inlineStr">
        <is>
          <t>JB-ABS-C-DI02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5" t="n">
        <v>653</v>
      </c>
      <c r="U3165" s="15" t="n">
        <v>119</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G-I-0039</t>
        </is>
      </c>
      <c r="B3166" s="12" t="inlineStr">
        <is>
          <t>G</t>
        </is>
      </c>
      <c r="C3166" s="12" t="inlineStr">
        <is>
          <t>Carbon capture</t>
        </is>
      </c>
      <c r="D3166" s="12" t="inlineStr">
        <is>
          <t>Analog instrument to JB JB-Absorber C interco-AI01: 15 x 1 pr (field cables)</t>
        </is>
      </c>
      <c r="E3166" s="12" t="inlineStr"/>
      <c r="F3166" s="12" t="inlineStr">
        <is>
          <t>Absorber C intercooler (pumps + plate exchanger)</t>
        </is>
      </c>
      <c r="G3166" s="12" t="inlineStr">
        <is>
          <t>JB-Absorber C interco-AI01</t>
        </is>
      </c>
      <c r="H3166" s="12" t="inlineStr">
        <is>
          <t>Absorber C intercooler (pumps + plate exchanger)</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15</v>
      </c>
      <c r="O3166" s="12" t="n">
        <v>1</v>
      </c>
      <c r="P3166" s="12" t="n"/>
      <c r="Q3166" s="12" t="n"/>
      <c r="R3166" s="12" t="n"/>
      <c r="S3166" s="12" t="inlineStr">
        <is>
          <t>Tray / conduit</t>
        </is>
      </c>
      <c r="T3166" s="15" t="n">
        <v>55</v>
      </c>
      <c r="U3166" s="15" t="n">
        <v>10</v>
      </c>
      <c r="V3166" s="15">
        <f>ROUNDUP((T3166+U3166+2*'Read Me'!$B$13)*(1+'Read Me'!$B$12),-1)</f>
        <v/>
      </c>
      <c r="W3166" s="15">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G-I-0040</t>
        </is>
      </c>
      <c r="B3167" s="12" t="inlineStr">
        <is>
          <t>G</t>
        </is>
      </c>
      <c r="C3167" s="12" t="inlineStr">
        <is>
          <t>Carbon capture</t>
        </is>
      </c>
      <c r="D3167" s="12" t="inlineStr">
        <is>
          <t>Home run JB-Absorber C interco-AI01 to the control / marshalling room</t>
        </is>
      </c>
      <c r="E3167" s="12" t="inlineStr"/>
      <c r="F3167" s="12" t="inlineStr">
        <is>
          <t>CCS F&amp;G / control</t>
        </is>
      </c>
      <c r="G3167" s="12" t="inlineStr">
        <is>
          <t>JB-Absorber C interco-AI01</t>
        </is>
      </c>
      <c r="H3167" s="12" t="inlineStr">
        <is>
          <t>Absorber C intercooler (pumps + plate exchanger)</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5" t="n">
        <v>635</v>
      </c>
      <c r="U3167" s="15" t="n">
        <v>120</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G-I-0041</t>
        </is>
      </c>
      <c r="B3168" s="12" t="inlineStr">
        <is>
          <t>G</t>
        </is>
      </c>
      <c r="C3168" s="12" t="inlineStr">
        <is>
          <t>Carbon capture</t>
        </is>
      </c>
      <c r="D3168" s="12" t="inlineStr">
        <is>
          <t>Discrete device to JB JB-Absorber C interco-DI01: 15 x 1 pr (field cables)</t>
        </is>
      </c>
      <c r="E3168" s="12" t="inlineStr"/>
      <c r="F3168" s="12" t="inlineStr">
        <is>
          <t>Absorber C intercooler (pumps + plate exchanger)</t>
        </is>
      </c>
      <c r="G3168" s="12" t="inlineStr">
        <is>
          <t>JB-Absorber C interco-DI01</t>
        </is>
      </c>
      <c r="H3168" s="12" t="inlineStr">
        <is>
          <t>Absorber C intercooler (pumps + plate exchanger)</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15</v>
      </c>
      <c r="O3168" s="12" t="n">
        <v>1</v>
      </c>
      <c r="P3168" s="12" t="n"/>
      <c r="Q3168" s="12" t="n"/>
      <c r="R3168" s="12" t="n"/>
      <c r="S3168" s="12" t="inlineStr">
        <is>
          <t>Tray / conduit</t>
        </is>
      </c>
      <c r="T3168" s="15" t="n">
        <v>55</v>
      </c>
      <c r="U3168" s="15" t="n">
        <v>10</v>
      </c>
      <c r="V3168" s="15">
        <f>ROUNDUP((T3168+U3168+2*'Read Me'!$B$13)*(1+'Read Me'!$B$12),-1)</f>
        <v/>
      </c>
      <c r="W3168" s="15">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G-I-0042</t>
        </is>
      </c>
      <c r="B3169" s="12" t="inlineStr">
        <is>
          <t>G</t>
        </is>
      </c>
      <c r="C3169" s="12" t="inlineStr">
        <is>
          <t>Carbon capture</t>
        </is>
      </c>
      <c r="D3169" s="12" t="inlineStr">
        <is>
          <t>Home run JB-Absorber C interco-DI01 to the control / marshalling room</t>
        </is>
      </c>
      <c r="E3169" s="12" t="inlineStr"/>
      <c r="F3169" s="12" t="inlineStr">
        <is>
          <t>CCS F&amp;G / control</t>
        </is>
      </c>
      <c r="G3169" s="12" t="inlineStr">
        <is>
          <t>JB-Absorber C interco-DI01</t>
        </is>
      </c>
      <c r="H3169" s="12" t="inlineStr">
        <is>
          <t>Absorber C intercooler (pumps + plate exchanger)</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5" t="n">
        <v>635</v>
      </c>
      <c r="U3169" s="15" t="n">
        <v>120</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G-I-0043</t>
        </is>
      </c>
      <c r="B3170" s="12" t="inlineStr">
        <is>
          <t>G</t>
        </is>
      </c>
      <c r="C3170" s="12" t="inlineStr">
        <is>
          <t>Carbon capture</t>
        </is>
      </c>
      <c r="D3170" s="12" t="inlineStr">
        <is>
          <t>Analog instrument to JB JB-Activated-carbon f-AI01: 6 x 1 pr (field cables)</t>
        </is>
      </c>
      <c r="E3170" s="12" t="inlineStr"/>
      <c r="F3170" s="12" t="inlineStr">
        <is>
          <t>Activated-carbon filter</t>
        </is>
      </c>
      <c r="G3170" s="12" t="inlineStr">
        <is>
          <t>JB-Activated-carbon f-AI01</t>
        </is>
      </c>
      <c r="H3170" s="12" t="inlineStr">
        <is>
          <t>Activated-carbon filter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6</v>
      </c>
      <c r="O3170" s="12" t="n">
        <v>1</v>
      </c>
      <c r="P3170" s="12" t="n"/>
      <c r="Q3170" s="12" t="n"/>
      <c r="R3170" s="12" t="n"/>
      <c r="S3170" s="12" t="inlineStr">
        <is>
          <t>Tray / conduit</t>
        </is>
      </c>
      <c r="T3170" s="15" t="n">
        <v>91</v>
      </c>
      <c r="U3170" s="15" t="n">
        <v>10</v>
      </c>
      <c r="V3170" s="15">
        <f>ROUNDUP((T3170+U3170+2*'Read Me'!$B$13)*(1+'Read Me'!$B$12),-1)</f>
        <v/>
      </c>
      <c r="W3170" s="15">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G-I-0044</t>
        </is>
      </c>
      <c r="B3171" s="12" t="inlineStr">
        <is>
          <t>G</t>
        </is>
      </c>
      <c r="C3171" s="12" t="inlineStr">
        <is>
          <t>Carbon capture</t>
        </is>
      </c>
      <c r="D3171" s="12" t="inlineStr">
        <is>
          <t>Home run JB-Activated-carbon f-AI01 to the control / marshalling room</t>
        </is>
      </c>
      <c r="E3171" s="12" t="inlineStr"/>
      <c r="F3171" s="12" t="inlineStr">
        <is>
          <t>CCS F&amp;G / control</t>
        </is>
      </c>
      <c r="G3171" s="12" t="inlineStr">
        <is>
          <t>JB-Activated-carbon f-AI01</t>
        </is>
      </c>
      <c r="H3171" s="12" t="inlineStr">
        <is>
          <t>Activated-carbon filter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5" t="n">
        <v>185</v>
      </c>
      <c r="U3171" s="15" t="n">
        <v>112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G-I-0045</t>
        </is>
      </c>
      <c r="B3172" s="12" t="inlineStr">
        <is>
          <t>G</t>
        </is>
      </c>
      <c r="C3172" s="12" t="inlineStr">
        <is>
          <t>Carbon capture</t>
        </is>
      </c>
      <c r="D3172" s="12" t="inlineStr">
        <is>
          <t>Discrete device to JB JB-Activated-carbon f-DI01: 6 x 1 pr (field cables)</t>
        </is>
      </c>
      <c r="E3172" s="12" t="inlineStr"/>
      <c r="F3172" s="12" t="inlineStr">
        <is>
          <t>Activated-carbon filter</t>
        </is>
      </c>
      <c r="G3172" s="12" t="inlineStr">
        <is>
          <t>JB-Activated-carbon f-DI01</t>
        </is>
      </c>
      <c r="H3172" s="12" t="inlineStr">
        <is>
          <t>Activated-carbon filter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6</v>
      </c>
      <c r="O3172" s="12" t="n">
        <v>1</v>
      </c>
      <c r="P3172" s="12" t="n"/>
      <c r="Q3172" s="12" t="n"/>
      <c r="R3172" s="12" t="n"/>
      <c r="S3172" s="12" t="inlineStr">
        <is>
          <t>Tray / conduit</t>
        </is>
      </c>
      <c r="T3172" s="15" t="n">
        <v>91</v>
      </c>
      <c r="U3172" s="15" t="n">
        <v>10</v>
      </c>
      <c r="V3172" s="15">
        <f>ROUNDUP((T3172+U3172+2*'Read Me'!$B$13)*(1+'Read Me'!$B$12),-1)</f>
        <v/>
      </c>
      <c r="W3172" s="15">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G-I-0046</t>
        </is>
      </c>
      <c r="B3173" s="12" t="inlineStr">
        <is>
          <t>G</t>
        </is>
      </c>
      <c r="C3173" s="12" t="inlineStr">
        <is>
          <t>Carbon capture</t>
        </is>
      </c>
      <c r="D3173" s="12" t="inlineStr">
        <is>
          <t>Home run JB-Activated-carbon f-DI01 to the control / marshalling room</t>
        </is>
      </c>
      <c r="E3173" s="12" t="inlineStr"/>
      <c r="F3173" s="12" t="inlineStr">
        <is>
          <t>CCS F&amp;G / control</t>
        </is>
      </c>
      <c r="G3173" s="12" t="inlineStr">
        <is>
          <t>JB-Activated-carbon f-DI01</t>
        </is>
      </c>
      <c r="H3173" s="12" t="inlineStr">
        <is>
          <t>Activated-carbon filter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5" t="n">
        <v>185</v>
      </c>
      <c r="U3173" s="15" t="n">
        <v>112</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G-I-0047</t>
        </is>
      </c>
      <c r="B3174" s="12" t="inlineStr">
        <is>
          <t>G</t>
        </is>
      </c>
      <c r="C3174" s="12" t="inlineStr">
        <is>
          <t>Carbon capture</t>
        </is>
      </c>
      <c r="D3174" s="12" t="inlineStr">
        <is>
          <t>Analog instrument to JB JB-BF-A-AI01: 20 x 1 pr (field cables)</t>
        </is>
      </c>
      <c r="E3174" s="12" t="inlineStr">
        <is>
          <t>BF-A</t>
        </is>
      </c>
      <c r="F3174" s="12" t="inlineStr">
        <is>
          <t>BF-A: booster fan (~16 MW)</t>
        </is>
      </c>
      <c r="G3174" s="12" t="inlineStr">
        <is>
          <t>JB-BF-A-AI01</t>
        </is>
      </c>
      <c r="H3174" s="12" t="inlineStr">
        <is>
          <t>BF-A: booster fan (~16 MW)</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20</v>
      </c>
      <c r="O3174" s="12" t="n">
        <v>1</v>
      </c>
      <c r="P3174" s="12" t="n"/>
      <c r="Q3174" s="12" t="n"/>
      <c r="R3174" s="12" t="n"/>
      <c r="S3174" s="12" t="inlineStr">
        <is>
          <t>Tray / conduit</t>
        </is>
      </c>
      <c r="T3174" s="15" t="n">
        <v>82</v>
      </c>
      <c r="U3174" s="15" t="n">
        <v>10</v>
      </c>
      <c r="V3174" s="15">
        <f>ROUNDUP((T3174+U3174+2*'Read Me'!$B$13)*(1+'Read Me'!$B$12),-1)</f>
        <v/>
      </c>
      <c r="W3174" s="15">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G-I-0048</t>
        </is>
      </c>
      <c r="B3175" s="12" t="inlineStr">
        <is>
          <t>G</t>
        </is>
      </c>
      <c r="C3175" s="12" t="inlineStr">
        <is>
          <t>Carbon capture</t>
        </is>
      </c>
      <c r="D3175" s="12" t="inlineStr">
        <is>
          <t>Home run JB-BF-A-AI01 to the control / marshalling room</t>
        </is>
      </c>
      <c r="E3175" s="12" t="inlineStr"/>
      <c r="F3175" s="12" t="inlineStr">
        <is>
          <t>CCS F&amp;G / control</t>
        </is>
      </c>
      <c r="G3175" s="12" t="inlineStr">
        <is>
          <t>JB-BF-A-AI01</t>
        </is>
      </c>
      <c r="H3175" s="12" t="inlineStr">
        <is>
          <t>BF-A: booster fan (~16 MW)</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5" t="n">
        <v>871</v>
      </c>
      <c r="U3175" s="15" t="n">
        <v>101</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G-I-0049</t>
        </is>
      </c>
      <c r="B3176" s="12" t="inlineStr">
        <is>
          <t>G</t>
        </is>
      </c>
      <c r="C3176" s="12" t="inlineStr">
        <is>
          <t>Carbon capture</t>
        </is>
      </c>
      <c r="D3176" s="12" t="inlineStr">
        <is>
          <t>Analog instrument to JB JB-BF-A-AI02: 10 x 1 pr (field cables)</t>
        </is>
      </c>
      <c r="E3176" s="12" t="inlineStr">
        <is>
          <t>BF-A</t>
        </is>
      </c>
      <c r="F3176" s="12" t="inlineStr">
        <is>
          <t>BF-A: booster fan (~16 MW)</t>
        </is>
      </c>
      <c r="G3176" s="12" t="inlineStr">
        <is>
          <t>JB-BF-A-AI02</t>
        </is>
      </c>
      <c r="H3176" s="12" t="inlineStr">
        <is>
          <t>BF-A: booster fan (~16 MW)</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10</v>
      </c>
      <c r="O3176" s="12" t="n">
        <v>1</v>
      </c>
      <c r="P3176" s="12" t="n"/>
      <c r="Q3176" s="12" t="n"/>
      <c r="R3176" s="12" t="n"/>
      <c r="S3176" s="12" t="inlineStr">
        <is>
          <t>Tray / conduit</t>
        </is>
      </c>
      <c r="T3176" s="15" t="n">
        <v>82</v>
      </c>
      <c r="U3176" s="15" t="n">
        <v>10</v>
      </c>
      <c r="V3176" s="15">
        <f>ROUNDUP((T3176+U3176+2*'Read Me'!$B$13)*(1+'Read Me'!$B$12),-1)</f>
        <v/>
      </c>
      <c r="W3176" s="15">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G-I-0050</t>
        </is>
      </c>
      <c r="B3177" s="12" t="inlineStr">
        <is>
          <t>G</t>
        </is>
      </c>
      <c r="C3177" s="12" t="inlineStr">
        <is>
          <t>Carbon capture</t>
        </is>
      </c>
      <c r="D3177" s="12" t="inlineStr">
        <is>
          <t>Home run JB-BF-A-AI02 to the control / marshalling room</t>
        </is>
      </c>
      <c r="E3177" s="12" t="inlineStr"/>
      <c r="F3177" s="12" t="inlineStr">
        <is>
          <t>CCS F&amp;G / control</t>
        </is>
      </c>
      <c r="G3177" s="12" t="inlineStr">
        <is>
          <t>JB-BF-A-AI02</t>
        </is>
      </c>
      <c r="H3177" s="12" t="inlineStr">
        <is>
          <t>BF-A: booster fan (~16 MW)</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5" t="n">
        <v>871</v>
      </c>
      <c r="U3177" s="15" t="n">
        <v>101</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G-I-0051</t>
        </is>
      </c>
      <c r="B3178" s="12" t="inlineStr">
        <is>
          <t>G</t>
        </is>
      </c>
      <c r="C3178" s="12" t="inlineStr">
        <is>
          <t>Carbon capture</t>
        </is>
      </c>
      <c r="D3178" s="12" t="inlineStr">
        <is>
          <t>Discrete device to JB JB-BF-A-DI01: 20 x 1 pr (field cables)</t>
        </is>
      </c>
      <c r="E3178" s="12" t="inlineStr">
        <is>
          <t>BF-A</t>
        </is>
      </c>
      <c r="F3178" s="12" t="inlineStr">
        <is>
          <t>BF-A: booster fan (~16 MW)</t>
        </is>
      </c>
      <c r="G3178" s="12" t="inlineStr">
        <is>
          <t>JB-BF-A-DI01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5" t="n">
        <v>82</v>
      </c>
      <c r="U3178" s="15" t="n">
        <v>10</v>
      </c>
      <c r="V3178" s="15">
        <f>ROUNDUP((T3178+U3178+2*'Read Me'!$B$13)*(1+'Read Me'!$B$12),-1)</f>
        <v/>
      </c>
      <c r="W3178" s="15">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G-I-0052</t>
        </is>
      </c>
      <c r="B3179" s="12" t="inlineStr">
        <is>
          <t>G</t>
        </is>
      </c>
      <c r="C3179" s="12" t="inlineStr">
        <is>
          <t>Carbon capture</t>
        </is>
      </c>
      <c r="D3179" s="12" t="inlineStr">
        <is>
          <t>Home run JB-BF-A-DI01 to the control / marshalling room</t>
        </is>
      </c>
      <c r="E3179" s="12" t="inlineStr"/>
      <c r="F3179" s="12" t="inlineStr">
        <is>
          <t>CCS F&amp;G / control</t>
        </is>
      </c>
      <c r="G3179" s="12" t="inlineStr">
        <is>
          <t>JB-BF-A-DI01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5" t="n">
        <v>871</v>
      </c>
      <c r="U3179" s="15" t="n">
        <v>101</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G-I-0053</t>
        </is>
      </c>
      <c r="B3180" s="12" t="inlineStr">
        <is>
          <t>G</t>
        </is>
      </c>
      <c r="C3180" s="12" t="inlineStr">
        <is>
          <t>Carbon capture</t>
        </is>
      </c>
      <c r="D3180" s="12" t="inlineStr">
        <is>
          <t>RTD to JB JB-BF-A-RTD01: 10 x 1 tri (field cables)</t>
        </is>
      </c>
      <c r="E3180" s="12" t="inlineStr">
        <is>
          <t>BF-A</t>
        </is>
      </c>
      <c r="F3180" s="12" t="inlineStr">
        <is>
          <t>BF-A: booster fan (~16 MW)</t>
        </is>
      </c>
      <c r="G3180" s="12" t="inlineStr">
        <is>
          <t>JB-BF-A-RTD01</t>
        </is>
      </c>
      <c r="H3180" s="12" t="inlineStr">
        <is>
          <t>BF-A: booster fan (~16 MW)</t>
        </is>
      </c>
      <c r="I3180" s="12" t="inlineStr">
        <is>
          <t>Instrumentation</t>
        </is>
      </c>
      <c r="J3180" s="12" t="inlineStr">
        <is>
          <t>RTD cable, #18 shielded triads, PLTC</t>
        </is>
      </c>
      <c r="K3180" s="12" t="inlineStr">
        <is>
          <t>RTD|1 tri|18</t>
        </is>
      </c>
      <c r="L3180" s="12" t="inlineStr">
        <is>
          <t>1 tri</t>
        </is>
      </c>
      <c r="M3180" s="12" t="inlineStr">
        <is>
          <t>18</t>
        </is>
      </c>
      <c r="N3180" s="12" t="n">
        <v>10</v>
      </c>
      <c r="O3180" s="12" t="n">
        <v>1</v>
      </c>
      <c r="P3180" s="12" t="n"/>
      <c r="Q3180" s="12" t="n"/>
      <c r="R3180" s="12" t="n"/>
      <c r="S3180" s="12" t="inlineStr">
        <is>
          <t>Tray / conduit</t>
        </is>
      </c>
      <c r="T3180" s="15" t="n">
        <v>82</v>
      </c>
      <c r="U3180" s="15" t="n">
        <v>10</v>
      </c>
      <c r="V3180" s="15">
        <f>ROUNDUP((T3180+U3180+2*'Read Me'!$B$13)*(1+'Read Me'!$B$12),-1)</f>
        <v/>
      </c>
      <c r="W3180" s="15">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G-I-0054</t>
        </is>
      </c>
      <c r="B3181" s="12" t="inlineStr">
        <is>
          <t>G</t>
        </is>
      </c>
      <c r="C3181" s="12" t="inlineStr">
        <is>
          <t>Carbon capture</t>
        </is>
      </c>
      <c r="D3181" s="12" t="inlineStr">
        <is>
          <t>Home run JB-BF-A-RTD01 to the control / marshalling room</t>
        </is>
      </c>
      <c r="E3181" s="12" t="inlineStr"/>
      <c r="F3181" s="12" t="inlineStr">
        <is>
          <t>CCS F&amp;G / control</t>
        </is>
      </c>
      <c r="G3181" s="12" t="inlineStr">
        <is>
          <t>JB-BF-A-RTD01</t>
        </is>
      </c>
      <c r="H3181" s="12" t="inlineStr">
        <is>
          <t>BF-A: booster fan (~16 MW)</t>
        </is>
      </c>
      <c r="I3181" s="12" t="inlineStr">
        <is>
          <t>Instrumentation</t>
        </is>
      </c>
      <c r="J3181" s="12" t="inlineStr">
        <is>
          <t>RTD cable, #18 shielded triads, PLTC</t>
        </is>
      </c>
      <c r="K3181" s="12" t="inlineStr">
        <is>
          <t>RTD|12 tri|18</t>
        </is>
      </c>
      <c r="L3181" s="12" t="inlineStr">
        <is>
          <t>12 tri</t>
        </is>
      </c>
      <c r="M3181" s="12" t="inlineStr">
        <is>
          <t>18</t>
        </is>
      </c>
      <c r="N3181" s="12" t="n">
        <v>1</v>
      </c>
      <c r="O3181" s="12" t="n">
        <v>1</v>
      </c>
      <c r="P3181" s="12" t="n"/>
      <c r="Q3181" s="12" t="n"/>
      <c r="R3181" s="12" t="n"/>
      <c r="S3181" s="12" t="inlineStr">
        <is>
          <t>Duct bank</t>
        </is>
      </c>
      <c r="T3181" s="15" t="n">
        <v>871</v>
      </c>
      <c r="U3181" s="15" t="n">
        <v>101</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G-I-0055</t>
        </is>
      </c>
      <c r="B3182" s="12" t="inlineStr">
        <is>
          <t>G</t>
        </is>
      </c>
      <c r="C3182" s="12" t="inlineStr">
        <is>
          <t>Carbon capture</t>
        </is>
      </c>
      <c r="D3182" s="12" t="inlineStr">
        <is>
          <t>RTD to JB JB-BF-A-RTD02: 8 x 1 tri (field cables)</t>
        </is>
      </c>
      <c r="E3182" s="12" t="inlineStr">
        <is>
          <t>BF-A</t>
        </is>
      </c>
      <c r="F3182" s="12" t="inlineStr">
        <is>
          <t>BF-A: booster fan (~16 MW)</t>
        </is>
      </c>
      <c r="G3182" s="12" t="inlineStr">
        <is>
          <t>JB-BF-A-RTD02</t>
        </is>
      </c>
      <c r="H3182" s="12" t="inlineStr">
        <is>
          <t>BF-A: booster fan (~16 MW)</t>
        </is>
      </c>
      <c r="I3182" s="12" t="inlineStr">
        <is>
          <t>Instrumentation</t>
        </is>
      </c>
      <c r="J3182" s="12" t="inlineStr">
        <is>
          <t>RTD cable, #18 shielded triads, PLTC</t>
        </is>
      </c>
      <c r="K3182" s="12" t="inlineStr">
        <is>
          <t>RTD|1 tri|18</t>
        </is>
      </c>
      <c r="L3182" s="12" t="inlineStr">
        <is>
          <t>1 tri</t>
        </is>
      </c>
      <c r="M3182" s="12" t="inlineStr">
        <is>
          <t>18</t>
        </is>
      </c>
      <c r="N3182" s="12" t="n">
        <v>8</v>
      </c>
      <c r="O3182" s="12" t="n">
        <v>1</v>
      </c>
      <c r="P3182" s="12" t="n"/>
      <c r="Q3182" s="12" t="n"/>
      <c r="R3182" s="12" t="n"/>
      <c r="S3182" s="12" t="inlineStr">
        <is>
          <t>Tray / conduit</t>
        </is>
      </c>
      <c r="T3182" s="15" t="n">
        <v>82</v>
      </c>
      <c r="U3182" s="15" t="n">
        <v>10</v>
      </c>
      <c r="V3182" s="15">
        <f>ROUNDUP((T3182+U3182+2*'Read Me'!$B$13)*(1+'Read Me'!$B$12),-1)</f>
        <v/>
      </c>
      <c r="W3182" s="15">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G-I-0056</t>
        </is>
      </c>
      <c r="B3183" s="12" t="inlineStr">
        <is>
          <t>G</t>
        </is>
      </c>
      <c r="C3183" s="12" t="inlineStr">
        <is>
          <t>Carbon capture</t>
        </is>
      </c>
      <c r="D3183" s="12" t="inlineStr">
        <is>
          <t>Home run JB-BF-A-RTD02 to the control / marshalling room</t>
        </is>
      </c>
      <c r="E3183" s="12" t="inlineStr"/>
      <c r="F3183" s="12" t="inlineStr">
        <is>
          <t>CCS F&amp;G / control</t>
        </is>
      </c>
      <c r="G3183" s="12" t="inlineStr">
        <is>
          <t>JB-BF-A-RTD02</t>
        </is>
      </c>
      <c r="H3183" s="12" t="inlineStr">
        <is>
          <t>BF-A: booster fan (~16 MW)</t>
        </is>
      </c>
      <c r="I3183" s="12" t="inlineStr">
        <is>
          <t>Instrumentation</t>
        </is>
      </c>
      <c r="J3183" s="12" t="inlineStr">
        <is>
          <t>RTD cable, #18 shielded triads, PLTC</t>
        </is>
      </c>
      <c r="K3183" s="12" t="inlineStr">
        <is>
          <t>RTD|12 tri|18</t>
        </is>
      </c>
      <c r="L3183" s="12" t="inlineStr">
        <is>
          <t>12 tri</t>
        </is>
      </c>
      <c r="M3183" s="12" t="inlineStr">
        <is>
          <t>18</t>
        </is>
      </c>
      <c r="N3183" s="12" t="n">
        <v>1</v>
      </c>
      <c r="O3183" s="12" t="n">
        <v>1</v>
      </c>
      <c r="P3183" s="12" t="n"/>
      <c r="Q3183" s="12" t="n"/>
      <c r="R3183" s="12" t="n"/>
      <c r="S3183" s="12" t="inlineStr">
        <is>
          <t>Duct bank</t>
        </is>
      </c>
      <c r="T3183" s="15" t="n">
        <v>871</v>
      </c>
      <c r="U3183" s="15" t="n">
        <v>101</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G-I-0057</t>
        </is>
      </c>
      <c r="B3184" s="12" t="inlineStr">
        <is>
          <t>G</t>
        </is>
      </c>
      <c r="C3184" s="12" t="inlineStr">
        <is>
          <t>Carbon capture</t>
        </is>
      </c>
      <c r="D3184" s="12" t="inlineStr">
        <is>
          <t>Analog instrument to JB JB-BF-B-AI01: 20 x 1 pr (field cables)</t>
        </is>
      </c>
      <c r="E3184" s="12" t="inlineStr">
        <is>
          <t>BF-B</t>
        </is>
      </c>
      <c r="F3184" s="12" t="inlineStr">
        <is>
          <t>BF-B: booster fan (~16 MW)</t>
        </is>
      </c>
      <c r="G3184" s="12" t="inlineStr">
        <is>
          <t>JB-BF-B-AI01</t>
        </is>
      </c>
      <c r="H3184" s="12" t="inlineStr">
        <is>
          <t>BF-B: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5" t="n">
        <v>82</v>
      </c>
      <c r="U3184" s="15" t="n">
        <v>10</v>
      </c>
      <c r="V3184" s="15">
        <f>ROUNDUP((T3184+U3184+2*'Read Me'!$B$13)*(1+'Read Me'!$B$12),-1)</f>
        <v/>
      </c>
      <c r="W3184" s="15">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G-I-0058</t>
        </is>
      </c>
      <c r="B3185" s="12" t="inlineStr">
        <is>
          <t>G</t>
        </is>
      </c>
      <c r="C3185" s="12" t="inlineStr">
        <is>
          <t>Carbon capture</t>
        </is>
      </c>
      <c r="D3185" s="12" t="inlineStr">
        <is>
          <t>Home run JB-BF-B-AI01 to the control / marshalling room</t>
        </is>
      </c>
      <c r="E3185" s="12" t="inlineStr"/>
      <c r="F3185" s="12" t="inlineStr">
        <is>
          <t>CCS F&amp;G / control</t>
        </is>
      </c>
      <c r="G3185" s="12" t="inlineStr">
        <is>
          <t>JB-BF-B-AI01</t>
        </is>
      </c>
      <c r="H3185" s="12" t="inlineStr">
        <is>
          <t>BF-B: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5" t="n">
        <v>711</v>
      </c>
      <c r="U3185" s="15" t="n">
        <v>101</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G-I-0059</t>
        </is>
      </c>
      <c r="B3186" s="12" t="inlineStr">
        <is>
          <t>G</t>
        </is>
      </c>
      <c r="C3186" s="12" t="inlineStr">
        <is>
          <t>Carbon capture</t>
        </is>
      </c>
      <c r="D3186" s="12" t="inlineStr">
        <is>
          <t>Analog instrument to JB JB-BF-B-AI02: 10 x 1 pr (field cables)</t>
        </is>
      </c>
      <c r="E3186" s="12" t="inlineStr">
        <is>
          <t>BF-B</t>
        </is>
      </c>
      <c r="F3186" s="12" t="inlineStr">
        <is>
          <t>BF-B: booster fan (~16 MW)</t>
        </is>
      </c>
      <c r="G3186" s="12" t="inlineStr">
        <is>
          <t>JB-BF-B-AI02</t>
        </is>
      </c>
      <c r="H3186" s="12" t="inlineStr">
        <is>
          <t>BF-B: booster fan (~16 MW)</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10</v>
      </c>
      <c r="O3186" s="12" t="n">
        <v>1</v>
      </c>
      <c r="P3186" s="12" t="n"/>
      <c r="Q3186" s="12" t="n"/>
      <c r="R3186" s="12" t="n"/>
      <c r="S3186" s="12" t="inlineStr">
        <is>
          <t>Tray / conduit</t>
        </is>
      </c>
      <c r="T3186" s="15" t="n">
        <v>82</v>
      </c>
      <c r="U3186" s="15" t="n">
        <v>10</v>
      </c>
      <c r="V3186" s="15">
        <f>ROUNDUP((T3186+U3186+2*'Read Me'!$B$13)*(1+'Read Me'!$B$12),-1)</f>
        <v/>
      </c>
      <c r="W3186" s="15">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G-I-0060</t>
        </is>
      </c>
      <c r="B3187" s="12" t="inlineStr">
        <is>
          <t>G</t>
        </is>
      </c>
      <c r="C3187" s="12" t="inlineStr">
        <is>
          <t>Carbon capture</t>
        </is>
      </c>
      <c r="D3187" s="12" t="inlineStr">
        <is>
          <t>Home run JB-BF-B-AI02 to the control / marshalling room</t>
        </is>
      </c>
      <c r="E3187" s="12" t="inlineStr"/>
      <c r="F3187" s="12" t="inlineStr">
        <is>
          <t>CCS F&amp;G / control</t>
        </is>
      </c>
      <c r="G3187" s="12" t="inlineStr">
        <is>
          <t>JB-BF-B-AI02</t>
        </is>
      </c>
      <c r="H3187" s="12" t="inlineStr">
        <is>
          <t>BF-B: booster fan (~16 MW)</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5" t="n">
        <v>711</v>
      </c>
      <c r="U3187" s="15" t="n">
        <v>101</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G-I-0061</t>
        </is>
      </c>
      <c r="B3188" s="12" t="inlineStr">
        <is>
          <t>G</t>
        </is>
      </c>
      <c r="C3188" s="12" t="inlineStr">
        <is>
          <t>Carbon capture</t>
        </is>
      </c>
      <c r="D3188" s="12" t="inlineStr">
        <is>
          <t>Discrete device to JB JB-BF-B-DI01: 20 x 1 pr (field cables)</t>
        </is>
      </c>
      <c r="E3188" s="12" t="inlineStr">
        <is>
          <t>BF-B</t>
        </is>
      </c>
      <c r="F3188" s="12" t="inlineStr">
        <is>
          <t>BF-B: booster fan (~16 MW)</t>
        </is>
      </c>
      <c r="G3188" s="12" t="inlineStr">
        <is>
          <t>JB-BF-B-DI01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5" t="n">
        <v>82</v>
      </c>
      <c r="U3188" s="15" t="n">
        <v>10</v>
      </c>
      <c r="V3188" s="15">
        <f>ROUNDUP((T3188+U3188+2*'Read Me'!$B$13)*(1+'Read Me'!$B$12),-1)</f>
        <v/>
      </c>
      <c r="W3188" s="15">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G-I-0062</t>
        </is>
      </c>
      <c r="B3189" s="12" t="inlineStr">
        <is>
          <t>G</t>
        </is>
      </c>
      <c r="C3189" s="12" t="inlineStr">
        <is>
          <t>Carbon capture</t>
        </is>
      </c>
      <c r="D3189" s="12" t="inlineStr">
        <is>
          <t>Home run JB-BF-B-DI01 to the control / marshalling room</t>
        </is>
      </c>
      <c r="E3189" s="12" t="inlineStr"/>
      <c r="F3189" s="12" t="inlineStr">
        <is>
          <t>CCS F&amp;G / control</t>
        </is>
      </c>
      <c r="G3189" s="12" t="inlineStr">
        <is>
          <t>JB-BF-B-DI01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5" t="n">
        <v>711</v>
      </c>
      <c r="U3189" s="15" t="n">
        <v>101</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G-I-0063</t>
        </is>
      </c>
      <c r="B3190" s="12" t="inlineStr">
        <is>
          <t>G</t>
        </is>
      </c>
      <c r="C3190" s="12" t="inlineStr">
        <is>
          <t>Carbon capture</t>
        </is>
      </c>
      <c r="D3190" s="12" t="inlineStr">
        <is>
          <t>RTD to JB JB-BF-B-RTD01: 10 x 1 tri (field cables)</t>
        </is>
      </c>
      <c r="E3190" s="12" t="inlineStr">
        <is>
          <t>BF-B</t>
        </is>
      </c>
      <c r="F3190" s="12" t="inlineStr">
        <is>
          <t>BF-B: booster fan (~16 MW)</t>
        </is>
      </c>
      <c r="G3190" s="12" t="inlineStr">
        <is>
          <t>JB-BF-B-RTD01</t>
        </is>
      </c>
      <c r="H3190" s="12" t="inlineStr">
        <is>
          <t>BF-B: booster fan (~16 MW)</t>
        </is>
      </c>
      <c r="I3190" s="12" t="inlineStr">
        <is>
          <t>Instrumentation</t>
        </is>
      </c>
      <c r="J3190" s="12" t="inlineStr">
        <is>
          <t>RTD cable, #18 shielded triads, PLTC</t>
        </is>
      </c>
      <c r="K3190" s="12" t="inlineStr">
        <is>
          <t>RTD|1 tri|18</t>
        </is>
      </c>
      <c r="L3190" s="12" t="inlineStr">
        <is>
          <t>1 tri</t>
        </is>
      </c>
      <c r="M3190" s="12" t="inlineStr">
        <is>
          <t>18</t>
        </is>
      </c>
      <c r="N3190" s="12" t="n">
        <v>10</v>
      </c>
      <c r="O3190" s="12" t="n">
        <v>1</v>
      </c>
      <c r="P3190" s="12" t="n"/>
      <c r="Q3190" s="12" t="n"/>
      <c r="R3190" s="12" t="n"/>
      <c r="S3190" s="12" t="inlineStr">
        <is>
          <t>Tray / conduit</t>
        </is>
      </c>
      <c r="T3190" s="15" t="n">
        <v>82</v>
      </c>
      <c r="U3190" s="15" t="n">
        <v>10</v>
      </c>
      <c r="V3190" s="15">
        <f>ROUNDUP((T3190+U3190+2*'Read Me'!$B$13)*(1+'Read Me'!$B$12),-1)</f>
        <v/>
      </c>
      <c r="W3190" s="15">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G-I-0064</t>
        </is>
      </c>
      <c r="B3191" s="12" t="inlineStr">
        <is>
          <t>G</t>
        </is>
      </c>
      <c r="C3191" s="12" t="inlineStr">
        <is>
          <t>Carbon capture</t>
        </is>
      </c>
      <c r="D3191" s="12" t="inlineStr">
        <is>
          <t>Home run JB-BF-B-RTD01 to the control / marshalling room</t>
        </is>
      </c>
      <c r="E3191" s="12" t="inlineStr"/>
      <c r="F3191" s="12" t="inlineStr">
        <is>
          <t>CCS F&amp;G / control</t>
        </is>
      </c>
      <c r="G3191" s="12" t="inlineStr">
        <is>
          <t>JB-BF-B-RTD01</t>
        </is>
      </c>
      <c r="H3191" s="12" t="inlineStr">
        <is>
          <t>BF-B: booster fan (~16 MW)</t>
        </is>
      </c>
      <c r="I3191" s="12" t="inlineStr">
        <is>
          <t>Instrumentation</t>
        </is>
      </c>
      <c r="J3191" s="12" t="inlineStr">
        <is>
          <t>RTD cable, #18 shielded triads, PLTC</t>
        </is>
      </c>
      <c r="K3191" s="12" t="inlineStr">
        <is>
          <t>RTD|12 tri|18</t>
        </is>
      </c>
      <c r="L3191" s="12" t="inlineStr">
        <is>
          <t>12 tri</t>
        </is>
      </c>
      <c r="M3191" s="12" t="inlineStr">
        <is>
          <t>18</t>
        </is>
      </c>
      <c r="N3191" s="12" t="n">
        <v>1</v>
      </c>
      <c r="O3191" s="12" t="n">
        <v>1</v>
      </c>
      <c r="P3191" s="12" t="n"/>
      <c r="Q3191" s="12" t="n"/>
      <c r="R3191" s="12" t="n"/>
      <c r="S3191" s="12" t="inlineStr">
        <is>
          <t>Duct bank</t>
        </is>
      </c>
      <c r="T3191" s="15" t="n">
        <v>711</v>
      </c>
      <c r="U3191" s="15" t="n">
        <v>101</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G-I-0065</t>
        </is>
      </c>
      <c r="B3192" s="12" t="inlineStr">
        <is>
          <t>G</t>
        </is>
      </c>
      <c r="C3192" s="12" t="inlineStr">
        <is>
          <t>Carbon capture</t>
        </is>
      </c>
      <c r="D3192" s="12" t="inlineStr">
        <is>
          <t>RTD to JB JB-BF-B-RTD02: 8 x 1 tri (field cables)</t>
        </is>
      </c>
      <c r="E3192" s="12" t="inlineStr">
        <is>
          <t>BF-B</t>
        </is>
      </c>
      <c r="F3192" s="12" t="inlineStr">
        <is>
          <t>BF-B: booster fan (~16 MW)</t>
        </is>
      </c>
      <c r="G3192" s="12" t="inlineStr">
        <is>
          <t>JB-BF-B-RTD02</t>
        </is>
      </c>
      <c r="H3192" s="12" t="inlineStr">
        <is>
          <t>BF-B: booster fan (~16 MW)</t>
        </is>
      </c>
      <c r="I3192" s="12" t="inlineStr">
        <is>
          <t>Instrumentation</t>
        </is>
      </c>
      <c r="J3192" s="12" t="inlineStr">
        <is>
          <t>RTD cable, #18 shielded triads, PLTC</t>
        </is>
      </c>
      <c r="K3192" s="12" t="inlineStr">
        <is>
          <t>RTD|1 tri|18</t>
        </is>
      </c>
      <c r="L3192" s="12" t="inlineStr">
        <is>
          <t>1 tri</t>
        </is>
      </c>
      <c r="M3192" s="12" t="inlineStr">
        <is>
          <t>18</t>
        </is>
      </c>
      <c r="N3192" s="12" t="n">
        <v>8</v>
      </c>
      <c r="O3192" s="12" t="n">
        <v>1</v>
      </c>
      <c r="P3192" s="12" t="n"/>
      <c r="Q3192" s="12" t="n"/>
      <c r="R3192" s="12" t="n"/>
      <c r="S3192" s="12" t="inlineStr">
        <is>
          <t>Tray / conduit</t>
        </is>
      </c>
      <c r="T3192" s="15" t="n">
        <v>82</v>
      </c>
      <c r="U3192" s="15" t="n">
        <v>10</v>
      </c>
      <c r="V3192" s="15">
        <f>ROUNDUP((T3192+U3192+2*'Read Me'!$B$13)*(1+'Read Me'!$B$12),-1)</f>
        <v/>
      </c>
      <c r="W3192" s="15">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G-I-0066</t>
        </is>
      </c>
      <c r="B3193" s="12" t="inlineStr">
        <is>
          <t>G</t>
        </is>
      </c>
      <c r="C3193" s="12" t="inlineStr">
        <is>
          <t>Carbon capture</t>
        </is>
      </c>
      <c r="D3193" s="12" t="inlineStr">
        <is>
          <t>Home run JB-BF-B-RTD02 to the control / marshalling room</t>
        </is>
      </c>
      <c r="E3193" s="12" t="inlineStr"/>
      <c r="F3193" s="12" t="inlineStr">
        <is>
          <t>CCS F&amp;G / control</t>
        </is>
      </c>
      <c r="G3193" s="12" t="inlineStr">
        <is>
          <t>JB-BF-B-RTD02</t>
        </is>
      </c>
      <c r="H3193" s="12" t="inlineStr">
        <is>
          <t>BF-B: booster fan (~16 MW)</t>
        </is>
      </c>
      <c r="I3193" s="12" t="inlineStr">
        <is>
          <t>Instrumentation</t>
        </is>
      </c>
      <c r="J3193" s="12" t="inlineStr">
        <is>
          <t>RTD cable, #18 shielded triads, PLTC</t>
        </is>
      </c>
      <c r="K3193" s="12" t="inlineStr">
        <is>
          <t>RTD|12 tri|18</t>
        </is>
      </c>
      <c r="L3193" s="12" t="inlineStr">
        <is>
          <t>12 tri</t>
        </is>
      </c>
      <c r="M3193" s="12" t="inlineStr">
        <is>
          <t>18</t>
        </is>
      </c>
      <c r="N3193" s="12" t="n">
        <v>1</v>
      </c>
      <c r="O3193" s="12" t="n">
        <v>1</v>
      </c>
      <c r="P3193" s="12" t="n"/>
      <c r="Q3193" s="12" t="n"/>
      <c r="R3193" s="12" t="n"/>
      <c r="S3193" s="12" t="inlineStr">
        <is>
          <t>Duct bank</t>
        </is>
      </c>
      <c r="T3193" s="15" t="n">
        <v>711</v>
      </c>
      <c r="U3193" s="15" t="n">
        <v>101</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G-I-0067</t>
        </is>
      </c>
      <c r="B3194" s="12" t="inlineStr">
        <is>
          <t>G</t>
        </is>
      </c>
      <c r="C3194" s="12" t="inlineStr">
        <is>
          <t>Carbon capture</t>
        </is>
      </c>
      <c r="D3194" s="12" t="inlineStr">
        <is>
          <t>Analog instrument to JB JB-BF-C-AI01: 20 x 1 pr (field cables)</t>
        </is>
      </c>
      <c r="E3194" s="12" t="inlineStr">
        <is>
          <t>BF-C</t>
        </is>
      </c>
      <c r="F3194" s="12" t="inlineStr">
        <is>
          <t>BF-C: booster fan (~16 MW)</t>
        </is>
      </c>
      <c r="G3194" s="12" t="inlineStr">
        <is>
          <t>JB-BF-C-AI01</t>
        </is>
      </c>
      <c r="H3194" s="12" t="inlineStr">
        <is>
          <t>BF-C: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5" t="n">
        <v>82</v>
      </c>
      <c r="U3194" s="15" t="n">
        <v>10</v>
      </c>
      <c r="V3194" s="15">
        <f>ROUNDUP((T3194+U3194+2*'Read Me'!$B$13)*(1+'Read Me'!$B$12),-1)</f>
        <v/>
      </c>
      <c r="W3194" s="15">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G-I-0068</t>
        </is>
      </c>
      <c r="B3195" s="12" t="inlineStr">
        <is>
          <t>G</t>
        </is>
      </c>
      <c r="C3195" s="12" t="inlineStr">
        <is>
          <t>Carbon capture</t>
        </is>
      </c>
      <c r="D3195" s="12" t="inlineStr">
        <is>
          <t>Home run JB-BF-C-AI01 to the control / marshalling room</t>
        </is>
      </c>
      <c r="E3195" s="12" t="inlineStr"/>
      <c r="F3195" s="12" t="inlineStr">
        <is>
          <t>CCS F&amp;G / control</t>
        </is>
      </c>
      <c r="G3195" s="12" t="inlineStr">
        <is>
          <t>JB-BF-C-AI01</t>
        </is>
      </c>
      <c r="H3195" s="12" t="inlineStr">
        <is>
          <t>BF-C: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5" t="n">
        <v>419</v>
      </c>
      <c r="U3195" s="15" t="n">
        <v>189</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G-I-0069</t>
        </is>
      </c>
      <c r="B3196" s="12" t="inlineStr">
        <is>
          <t>G</t>
        </is>
      </c>
      <c r="C3196" s="12" t="inlineStr">
        <is>
          <t>Carbon capture</t>
        </is>
      </c>
      <c r="D3196" s="12" t="inlineStr">
        <is>
          <t>Analog instrument to JB JB-BF-C-AI02: 10 x 1 pr (field cables)</t>
        </is>
      </c>
      <c r="E3196" s="12" t="inlineStr">
        <is>
          <t>BF-C</t>
        </is>
      </c>
      <c r="F3196" s="12" t="inlineStr">
        <is>
          <t>BF-C: booster fan (~16 MW)</t>
        </is>
      </c>
      <c r="G3196" s="12" t="inlineStr">
        <is>
          <t>JB-BF-C-AI02</t>
        </is>
      </c>
      <c r="H3196" s="12" t="inlineStr">
        <is>
          <t>BF-C: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10</v>
      </c>
      <c r="O3196" s="12" t="n">
        <v>1</v>
      </c>
      <c r="P3196" s="12" t="n"/>
      <c r="Q3196" s="12" t="n"/>
      <c r="R3196" s="12" t="n"/>
      <c r="S3196" s="12" t="inlineStr">
        <is>
          <t>Tray / conduit</t>
        </is>
      </c>
      <c r="T3196" s="15" t="n">
        <v>82</v>
      </c>
      <c r="U3196" s="15" t="n">
        <v>10</v>
      </c>
      <c r="V3196" s="15">
        <f>ROUNDUP((T3196+U3196+2*'Read Me'!$B$13)*(1+'Read Me'!$B$12),-1)</f>
        <v/>
      </c>
      <c r="W3196" s="15">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G-I-0070</t>
        </is>
      </c>
      <c r="B3197" s="12" t="inlineStr">
        <is>
          <t>G</t>
        </is>
      </c>
      <c r="C3197" s="12" t="inlineStr">
        <is>
          <t>Carbon capture</t>
        </is>
      </c>
      <c r="D3197" s="12" t="inlineStr">
        <is>
          <t>Home run JB-BF-C-AI02 to the control / marshalling room</t>
        </is>
      </c>
      <c r="E3197" s="12" t="inlineStr"/>
      <c r="F3197" s="12" t="inlineStr">
        <is>
          <t>CCS F&amp;G / control</t>
        </is>
      </c>
      <c r="G3197" s="12" t="inlineStr">
        <is>
          <t>JB-BF-C-AI02</t>
        </is>
      </c>
      <c r="H3197" s="12" t="inlineStr">
        <is>
          <t>BF-C: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5" t="n">
        <v>419</v>
      </c>
      <c r="U3197" s="15" t="n">
        <v>189</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G-I-0071</t>
        </is>
      </c>
      <c r="B3198" s="12" t="inlineStr">
        <is>
          <t>G</t>
        </is>
      </c>
      <c r="C3198" s="12" t="inlineStr">
        <is>
          <t>Carbon capture</t>
        </is>
      </c>
      <c r="D3198" s="12" t="inlineStr">
        <is>
          <t>Discrete device to JB JB-BF-C-DI01: 20 x 1 pr (field cables)</t>
        </is>
      </c>
      <c r="E3198" s="12" t="inlineStr">
        <is>
          <t>BF-C</t>
        </is>
      </c>
      <c r="F3198" s="12" t="inlineStr">
        <is>
          <t>BF-C: booster fan (~16 MW)</t>
        </is>
      </c>
      <c r="G3198" s="12" t="inlineStr">
        <is>
          <t>JB-BF-C-DI01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5" t="n">
        <v>82</v>
      </c>
      <c r="U3198" s="15" t="n">
        <v>10</v>
      </c>
      <c r="V3198" s="15">
        <f>ROUNDUP((T3198+U3198+2*'Read Me'!$B$13)*(1+'Read Me'!$B$12),-1)</f>
        <v/>
      </c>
      <c r="W3198" s="15">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G-I-0072</t>
        </is>
      </c>
      <c r="B3199" s="12" t="inlineStr">
        <is>
          <t>G</t>
        </is>
      </c>
      <c r="C3199" s="12" t="inlineStr">
        <is>
          <t>Carbon capture</t>
        </is>
      </c>
      <c r="D3199" s="12" t="inlineStr">
        <is>
          <t>Home run JB-BF-C-DI01 to the control / marshalling room</t>
        </is>
      </c>
      <c r="E3199" s="12" t="inlineStr"/>
      <c r="F3199" s="12" t="inlineStr">
        <is>
          <t>CCS F&amp;G / control</t>
        </is>
      </c>
      <c r="G3199" s="12" t="inlineStr">
        <is>
          <t>JB-BF-C-DI01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5" t="n">
        <v>419</v>
      </c>
      <c r="U3199" s="15" t="n">
        <v>189</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G-I-0073</t>
        </is>
      </c>
      <c r="B3200" s="12" t="inlineStr">
        <is>
          <t>G</t>
        </is>
      </c>
      <c r="C3200" s="12" t="inlineStr">
        <is>
          <t>Carbon capture</t>
        </is>
      </c>
      <c r="D3200" s="12" t="inlineStr">
        <is>
          <t>RTD to JB JB-BF-C-RTD01: 10 x 1 tri (field cables)</t>
        </is>
      </c>
      <c r="E3200" s="12" t="inlineStr">
        <is>
          <t>BF-C</t>
        </is>
      </c>
      <c r="F3200" s="12" t="inlineStr">
        <is>
          <t>BF-C: booster fan (~16 MW)</t>
        </is>
      </c>
      <c r="G3200" s="12" t="inlineStr">
        <is>
          <t>JB-BF-C-RTD01</t>
        </is>
      </c>
      <c r="H3200" s="12" t="inlineStr">
        <is>
          <t>BF-C: booster fan (~16 MW)</t>
        </is>
      </c>
      <c r="I3200" s="12" t="inlineStr">
        <is>
          <t>Instrumentation</t>
        </is>
      </c>
      <c r="J3200" s="12" t="inlineStr">
        <is>
          <t>RTD cable, #18 shielded triads, PLTC</t>
        </is>
      </c>
      <c r="K3200" s="12" t="inlineStr">
        <is>
          <t>RTD|1 tri|18</t>
        </is>
      </c>
      <c r="L3200" s="12" t="inlineStr">
        <is>
          <t>1 tri</t>
        </is>
      </c>
      <c r="M3200" s="12" t="inlineStr">
        <is>
          <t>18</t>
        </is>
      </c>
      <c r="N3200" s="12" t="n">
        <v>10</v>
      </c>
      <c r="O3200" s="12" t="n">
        <v>1</v>
      </c>
      <c r="P3200" s="12" t="n"/>
      <c r="Q3200" s="12" t="n"/>
      <c r="R3200" s="12" t="n"/>
      <c r="S3200" s="12" t="inlineStr">
        <is>
          <t>Tray / conduit</t>
        </is>
      </c>
      <c r="T3200" s="15" t="n">
        <v>82</v>
      </c>
      <c r="U3200" s="15" t="n">
        <v>10</v>
      </c>
      <c r="V3200" s="15">
        <f>ROUNDUP((T3200+U3200+2*'Read Me'!$B$13)*(1+'Read Me'!$B$12),-1)</f>
        <v/>
      </c>
      <c r="W3200" s="15">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G-I-0074</t>
        </is>
      </c>
      <c r="B3201" s="12" t="inlineStr">
        <is>
          <t>G</t>
        </is>
      </c>
      <c r="C3201" s="12" t="inlineStr">
        <is>
          <t>Carbon capture</t>
        </is>
      </c>
      <c r="D3201" s="12" t="inlineStr">
        <is>
          <t>Home run JB-BF-C-RTD01 to the control / marshalling room</t>
        </is>
      </c>
      <c r="E3201" s="12" t="inlineStr"/>
      <c r="F3201" s="12" t="inlineStr">
        <is>
          <t>CCS F&amp;G / control</t>
        </is>
      </c>
      <c r="G3201" s="12" t="inlineStr">
        <is>
          <t>JB-BF-C-RTD01</t>
        </is>
      </c>
      <c r="H3201" s="12" t="inlineStr">
        <is>
          <t>BF-C: booster fan (~16 MW)</t>
        </is>
      </c>
      <c r="I3201" s="12" t="inlineStr">
        <is>
          <t>Instrumentation</t>
        </is>
      </c>
      <c r="J3201" s="12" t="inlineStr">
        <is>
          <t>RTD cable, #18 shielded triads, PLTC</t>
        </is>
      </c>
      <c r="K3201" s="12" t="inlineStr">
        <is>
          <t>RTD|12 tri|18</t>
        </is>
      </c>
      <c r="L3201" s="12" t="inlineStr">
        <is>
          <t>12 tri</t>
        </is>
      </c>
      <c r="M3201" s="12" t="inlineStr">
        <is>
          <t>18</t>
        </is>
      </c>
      <c r="N3201" s="12" t="n">
        <v>1</v>
      </c>
      <c r="O3201" s="12" t="n">
        <v>1</v>
      </c>
      <c r="P3201" s="12" t="n"/>
      <c r="Q3201" s="12" t="n"/>
      <c r="R3201" s="12" t="n"/>
      <c r="S3201" s="12" t="inlineStr">
        <is>
          <t>Duct bank</t>
        </is>
      </c>
      <c r="T3201" s="15" t="n">
        <v>419</v>
      </c>
      <c r="U3201" s="15" t="n">
        <v>189</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G-I-0075</t>
        </is>
      </c>
      <c r="B3202" s="12" t="inlineStr">
        <is>
          <t>G</t>
        </is>
      </c>
      <c r="C3202" s="12" t="inlineStr">
        <is>
          <t>Carbon capture</t>
        </is>
      </c>
      <c r="D3202" s="12" t="inlineStr">
        <is>
          <t>RTD to JB JB-BF-C-RTD02: 8 x 1 tri (field cables)</t>
        </is>
      </c>
      <c r="E3202" s="12" t="inlineStr">
        <is>
          <t>BF-C</t>
        </is>
      </c>
      <c r="F3202" s="12" t="inlineStr">
        <is>
          <t>BF-C: booster fan (~16 MW)</t>
        </is>
      </c>
      <c r="G3202" s="12" t="inlineStr">
        <is>
          <t>JB-BF-C-RTD02</t>
        </is>
      </c>
      <c r="H3202" s="12" t="inlineStr">
        <is>
          <t>BF-C: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8</v>
      </c>
      <c r="O3202" s="12" t="n">
        <v>1</v>
      </c>
      <c r="P3202" s="12" t="n"/>
      <c r="Q3202" s="12" t="n"/>
      <c r="R3202" s="12" t="n"/>
      <c r="S3202" s="12" t="inlineStr">
        <is>
          <t>Tray / conduit</t>
        </is>
      </c>
      <c r="T3202" s="15" t="n">
        <v>82</v>
      </c>
      <c r="U3202" s="15" t="n">
        <v>10</v>
      </c>
      <c r="V3202" s="15">
        <f>ROUNDUP((T3202+U3202+2*'Read Me'!$B$13)*(1+'Read Me'!$B$12),-1)</f>
        <v/>
      </c>
      <c r="W3202" s="15">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G-I-0076</t>
        </is>
      </c>
      <c r="B3203" s="12" t="inlineStr">
        <is>
          <t>G</t>
        </is>
      </c>
      <c r="C3203" s="12" t="inlineStr">
        <is>
          <t>Carbon capture</t>
        </is>
      </c>
      <c r="D3203" s="12" t="inlineStr">
        <is>
          <t>Home run JB-BF-C-RTD02 to the control / marshalling room</t>
        </is>
      </c>
      <c r="E3203" s="12" t="inlineStr"/>
      <c r="F3203" s="12" t="inlineStr">
        <is>
          <t>CCS F&amp;G / control</t>
        </is>
      </c>
      <c r="G3203" s="12" t="inlineStr">
        <is>
          <t>JB-BF-C-RTD02</t>
        </is>
      </c>
      <c r="H3203" s="12" t="inlineStr">
        <is>
          <t>BF-C: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5" t="n">
        <v>419</v>
      </c>
      <c r="U3203" s="15" t="n">
        <v>189</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G-I-0077</t>
        </is>
      </c>
      <c r="B3204" s="12" t="inlineStr">
        <is>
          <t>G</t>
        </is>
      </c>
      <c r="C3204" s="12" t="inlineStr">
        <is>
          <t>Carbon capture</t>
        </is>
      </c>
      <c r="D3204" s="12" t="inlineStr">
        <is>
          <t>Analog instrument to JB JB-CCS T-1-AI01: 8 x 1 pr (field cables)</t>
        </is>
      </c>
      <c r="E3204" s="12" t="inlineStr">
        <is>
          <t>CCS T-1</t>
        </is>
      </c>
      <c r="F3204" s="12" t="inlineStr">
        <is>
          <t>CCS T-1: 230/13.8 kV</t>
        </is>
      </c>
      <c r="G3204" s="12" t="inlineStr">
        <is>
          <t>JB-CCS T-1-AI01</t>
        </is>
      </c>
      <c r="H3204" s="12" t="inlineStr">
        <is>
          <t>CCS T-1: 230/13.8 kV</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8</v>
      </c>
      <c r="O3204" s="12" t="n">
        <v>1</v>
      </c>
      <c r="P3204" s="12" t="n"/>
      <c r="Q3204" s="12" t="n"/>
      <c r="R3204" s="12" t="n"/>
      <c r="S3204" s="12" t="inlineStr">
        <is>
          <t>Tray / conduit</t>
        </is>
      </c>
      <c r="T3204" s="15" t="n">
        <v>82</v>
      </c>
      <c r="U3204" s="15" t="n">
        <v>10</v>
      </c>
      <c r="V3204" s="15">
        <f>ROUNDUP((T3204+U3204+2*'Read Me'!$B$13)*(1+'Read Me'!$B$12),-1)</f>
        <v/>
      </c>
      <c r="W3204" s="15">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G-I-0078</t>
        </is>
      </c>
      <c r="B3205" s="12" t="inlineStr">
        <is>
          <t>G</t>
        </is>
      </c>
      <c r="C3205" s="12" t="inlineStr">
        <is>
          <t>Carbon capture</t>
        </is>
      </c>
      <c r="D3205" s="12" t="inlineStr">
        <is>
          <t>Home run JB-CCS T-1-AI01 to the control / marshalling room</t>
        </is>
      </c>
      <c r="E3205" s="12" t="inlineStr"/>
      <c r="F3205" s="12" t="inlineStr">
        <is>
          <t>CCS F&amp;G / control</t>
        </is>
      </c>
      <c r="G3205" s="12" t="inlineStr">
        <is>
          <t>JB-CCS T-1-AI01</t>
        </is>
      </c>
      <c r="H3205" s="12" t="inlineStr">
        <is>
          <t>CCS T-1: 230/13.8 kV</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HV duct bank</t>
        </is>
      </c>
      <c r="T3205" s="15" t="n">
        <v>77</v>
      </c>
      <c r="U3205" s="15" t="n">
        <v>103</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G-I-0079</t>
        </is>
      </c>
      <c r="B3206" s="12" t="inlineStr">
        <is>
          <t>G</t>
        </is>
      </c>
      <c r="C3206" s="12" t="inlineStr">
        <is>
          <t>Carbon capture</t>
        </is>
      </c>
      <c r="D3206" s="12" t="inlineStr">
        <is>
          <t>Discrete device to JB JB-CCS T-1-DI01: 16 x 1 pr (field cables)</t>
        </is>
      </c>
      <c r="E3206" s="12" t="inlineStr">
        <is>
          <t>CCS T-1</t>
        </is>
      </c>
      <c r="F3206" s="12" t="inlineStr">
        <is>
          <t>CCS T-1: 230/13.8 kV</t>
        </is>
      </c>
      <c r="G3206" s="12" t="inlineStr">
        <is>
          <t>JB-CCS T-1-DI01</t>
        </is>
      </c>
      <c r="H3206" s="12" t="inlineStr">
        <is>
          <t>CCS T-1: 230/13.8 kV</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16</v>
      </c>
      <c r="O3206" s="12" t="n">
        <v>1</v>
      </c>
      <c r="P3206" s="12" t="n"/>
      <c r="Q3206" s="12" t="n"/>
      <c r="R3206" s="12" t="n"/>
      <c r="S3206" s="12" t="inlineStr">
        <is>
          <t>Tray / conduit</t>
        </is>
      </c>
      <c r="T3206" s="15" t="n">
        <v>82</v>
      </c>
      <c r="U3206" s="15" t="n">
        <v>10</v>
      </c>
      <c r="V3206" s="15">
        <f>ROUNDUP((T3206+U3206+2*'Read Me'!$B$13)*(1+'Read Me'!$B$12),-1)</f>
        <v/>
      </c>
      <c r="W3206" s="15">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G-I-0080</t>
        </is>
      </c>
      <c r="B3207" s="12" t="inlineStr">
        <is>
          <t>G</t>
        </is>
      </c>
      <c r="C3207" s="12" t="inlineStr">
        <is>
          <t>Carbon capture</t>
        </is>
      </c>
      <c r="D3207" s="12" t="inlineStr">
        <is>
          <t>Home run JB-CCS T-1-DI01 to the control / marshalling room</t>
        </is>
      </c>
      <c r="E3207" s="12" t="inlineStr"/>
      <c r="F3207" s="12" t="inlineStr">
        <is>
          <t>CCS F&amp;G / control</t>
        </is>
      </c>
      <c r="G3207" s="12" t="inlineStr">
        <is>
          <t>JB-CCS T-1-DI01</t>
        </is>
      </c>
      <c r="H3207" s="12" t="inlineStr">
        <is>
          <t>CCS T-1: 230/13.8 kV</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HV duct bank</t>
        </is>
      </c>
      <c r="T3207" s="15" t="n">
        <v>77</v>
      </c>
      <c r="U3207" s="15" t="n">
        <v>103</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G-I-0081</t>
        </is>
      </c>
      <c r="B3208" s="12" t="inlineStr">
        <is>
          <t>G</t>
        </is>
      </c>
      <c r="C3208" s="12" t="inlineStr">
        <is>
          <t>Carbon capture</t>
        </is>
      </c>
      <c r="D3208" s="12" t="inlineStr">
        <is>
          <t>Analog instrument to JB JB-CCS T-2-AI01: 8 x 1 pr (field cables)</t>
        </is>
      </c>
      <c r="E3208" s="12" t="inlineStr">
        <is>
          <t>CCS T-2</t>
        </is>
      </c>
      <c r="F3208" s="12" t="inlineStr">
        <is>
          <t>CCS T-2: 230/13.8 kV</t>
        </is>
      </c>
      <c r="G3208" s="12" t="inlineStr">
        <is>
          <t>JB-CCS T-2-AI01</t>
        </is>
      </c>
      <c r="H3208" s="12" t="inlineStr">
        <is>
          <t>CCS T-2: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5" t="n">
        <v>82</v>
      </c>
      <c r="U3208" s="15" t="n">
        <v>10</v>
      </c>
      <c r="V3208" s="15">
        <f>ROUNDUP((T3208+U3208+2*'Read Me'!$B$13)*(1+'Read Me'!$B$12),-1)</f>
        <v/>
      </c>
      <c r="W3208" s="15">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G-I-0082</t>
        </is>
      </c>
      <c r="B3209" s="12" t="inlineStr">
        <is>
          <t>G</t>
        </is>
      </c>
      <c r="C3209" s="12" t="inlineStr">
        <is>
          <t>Carbon capture</t>
        </is>
      </c>
      <c r="D3209" s="12" t="inlineStr">
        <is>
          <t>Home run JB-CCS T-2-AI01 to the control / marshalling room</t>
        </is>
      </c>
      <c r="E3209" s="12" t="inlineStr"/>
      <c r="F3209" s="12" t="inlineStr">
        <is>
          <t>CCS F&amp;G / control</t>
        </is>
      </c>
      <c r="G3209" s="12" t="inlineStr">
        <is>
          <t>JB-CCS T-2-AI01</t>
        </is>
      </c>
      <c r="H3209" s="12" t="inlineStr">
        <is>
          <t>CCS T-2: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Tray</t>
        </is>
      </c>
      <c r="T3209" s="15" t="n">
        <v>11</v>
      </c>
      <c r="U3209" s="15" t="n">
        <v>101</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G-I-0083</t>
        </is>
      </c>
      <c r="B3210" s="12" t="inlineStr">
        <is>
          <t>G</t>
        </is>
      </c>
      <c r="C3210" s="12" t="inlineStr">
        <is>
          <t>Carbon capture</t>
        </is>
      </c>
      <c r="D3210" s="12" t="inlineStr">
        <is>
          <t>Discrete device to JB JB-CCS T-2-DI01: 16 x 1 pr (field cables)</t>
        </is>
      </c>
      <c r="E3210" s="12" t="inlineStr">
        <is>
          <t>CCS T-2</t>
        </is>
      </c>
      <c r="F3210" s="12" t="inlineStr">
        <is>
          <t>CCS T-2: 230/13.8 kV</t>
        </is>
      </c>
      <c r="G3210" s="12" t="inlineStr">
        <is>
          <t>JB-CCS T-2-DI01</t>
        </is>
      </c>
      <c r="H3210" s="12" t="inlineStr">
        <is>
          <t>CCS T-2: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5" t="n">
        <v>82</v>
      </c>
      <c r="U3210" s="15" t="n">
        <v>10</v>
      </c>
      <c r="V3210" s="15">
        <f>ROUNDUP((T3210+U3210+2*'Read Me'!$B$13)*(1+'Read Me'!$B$12),-1)</f>
        <v/>
      </c>
      <c r="W3210" s="15">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G-I-0084</t>
        </is>
      </c>
      <c r="B3211" s="12" t="inlineStr">
        <is>
          <t>G</t>
        </is>
      </c>
      <c r="C3211" s="12" t="inlineStr">
        <is>
          <t>Carbon capture</t>
        </is>
      </c>
      <c r="D3211" s="12" t="inlineStr">
        <is>
          <t>Home run JB-CCS T-2-DI01 to the control / marshalling room</t>
        </is>
      </c>
      <c r="E3211" s="12" t="inlineStr"/>
      <c r="F3211" s="12" t="inlineStr">
        <is>
          <t>CCS F&amp;G / control</t>
        </is>
      </c>
      <c r="G3211" s="12" t="inlineStr">
        <is>
          <t>JB-CCS T-2-DI01</t>
        </is>
      </c>
      <c r="H3211" s="12" t="inlineStr">
        <is>
          <t>CCS T-2: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Tray</t>
        </is>
      </c>
      <c r="T3211" s="15" t="n">
        <v>11</v>
      </c>
      <c r="U3211" s="15" t="n">
        <v>101</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G-I-0085</t>
        </is>
      </c>
      <c r="B3212" s="12" t="inlineStr">
        <is>
          <t>G</t>
        </is>
      </c>
      <c r="C3212" s="12" t="inlineStr">
        <is>
          <t>Carbon capture</t>
        </is>
      </c>
      <c r="D3212" s="12" t="inlineStr">
        <is>
          <t>Analog instrument to JB JB-CCS circulating-wa-AI01: 20 x 1 pr (field cables)</t>
        </is>
      </c>
      <c r="E3212" s="12" t="inlineStr"/>
      <c r="F3212" s="12" t="inlineStr">
        <is>
          <t>CCS circulating-water pumps</t>
        </is>
      </c>
      <c r="G3212" s="12" t="inlineStr">
        <is>
          <t>JB-CCS circulating-wa-AI01</t>
        </is>
      </c>
      <c r="H3212" s="12" t="inlineStr">
        <is>
          <t>CCS circulating-water pumps</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20</v>
      </c>
      <c r="O3212" s="12" t="n">
        <v>1</v>
      </c>
      <c r="P3212" s="12" t="n"/>
      <c r="Q3212" s="12" t="n"/>
      <c r="R3212" s="12" t="n"/>
      <c r="S3212" s="12" t="inlineStr">
        <is>
          <t>Tray / conduit</t>
        </is>
      </c>
      <c r="T3212" s="15" t="n">
        <v>100</v>
      </c>
      <c r="U3212" s="15" t="n">
        <v>10</v>
      </c>
      <c r="V3212" s="15">
        <f>ROUNDUP((T3212+U3212+2*'Read Me'!$B$13)*(1+'Read Me'!$B$12),-1)</f>
        <v/>
      </c>
      <c r="W3212" s="15">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G-I-0086</t>
        </is>
      </c>
      <c r="B3213" s="12" t="inlineStr">
        <is>
          <t>G</t>
        </is>
      </c>
      <c r="C3213" s="12" t="inlineStr">
        <is>
          <t>Carbon capture</t>
        </is>
      </c>
      <c r="D3213" s="12" t="inlineStr">
        <is>
          <t>Home run JB-CCS circulating-wa-AI01 to the control / marshalling room</t>
        </is>
      </c>
      <c r="E3213" s="12" t="inlineStr"/>
      <c r="F3213" s="12" t="inlineStr">
        <is>
          <t>CCS F&amp;G / control</t>
        </is>
      </c>
      <c r="G3213" s="12" t="inlineStr">
        <is>
          <t>JB-CCS circulating-wa-AI01</t>
        </is>
      </c>
      <c r="H3213" s="12" t="inlineStr">
        <is>
          <t>CCS circulating-water pumps</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Duct bank</t>
        </is>
      </c>
      <c r="T3213" s="15" t="n">
        <v>666</v>
      </c>
      <c r="U3213" s="15" t="n">
        <v>176</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G-I-0087</t>
        </is>
      </c>
      <c r="B3214" s="12" t="inlineStr">
        <is>
          <t>G</t>
        </is>
      </c>
      <c r="C3214" s="12" t="inlineStr">
        <is>
          <t>Carbon capture</t>
        </is>
      </c>
      <c r="D3214" s="12" t="inlineStr">
        <is>
          <t>Discrete device to JB JB-CCS circulating-wa-DI01: 20 x 1 pr (field cables)</t>
        </is>
      </c>
      <c r="E3214" s="12" t="inlineStr"/>
      <c r="F3214" s="12" t="inlineStr">
        <is>
          <t>CCS circulating-water pumps</t>
        </is>
      </c>
      <c r="G3214" s="12" t="inlineStr">
        <is>
          <t>JB-CCS circulating-wa-DI01</t>
        </is>
      </c>
      <c r="H3214" s="12" t="inlineStr">
        <is>
          <t>CCS circulating-water pumps</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20</v>
      </c>
      <c r="O3214" s="12" t="n">
        <v>1</v>
      </c>
      <c r="P3214" s="12" t="n"/>
      <c r="Q3214" s="12" t="n"/>
      <c r="R3214" s="12" t="n"/>
      <c r="S3214" s="12" t="inlineStr">
        <is>
          <t>Tray / conduit</t>
        </is>
      </c>
      <c r="T3214" s="15" t="n">
        <v>100</v>
      </c>
      <c r="U3214" s="15" t="n">
        <v>10</v>
      </c>
      <c r="V3214" s="15">
        <f>ROUNDUP((T3214+U3214+2*'Read Me'!$B$13)*(1+'Read Me'!$B$12),-1)</f>
        <v/>
      </c>
      <c r="W3214" s="15">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G-I-0088</t>
        </is>
      </c>
      <c r="B3215" s="12" t="inlineStr">
        <is>
          <t>G</t>
        </is>
      </c>
      <c r="C3215" s="12" t="inlineStr">
        <is>
          <t>Carbon capture</t>
        </is>
      </c>
      <c r="D3215" s="12" t="inlineStr">
        <is>
          <t>Home run JB-CCS circulating-wa-DI01 to the control / marshalling room</t>
        </is>
      </c>
      <c r="E3215" s="12" t="inlineStr"/>
      <c r="F3215" s="12" t="inlineStr">
        <is>
          <t>CCS F&amp;G / control</t>
        </is>
      </c>
      <c r="G3215" s="12" t="inlineStr">
        <is>
          <t>JB-CCS circulating-wa-DI01</t>
        </is>
      </c>
      <c r="H3215" s="12" t="inlineStr">
        <is>
          <t>CCS circulating-water pumps</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Duct bank</t>
        </is>
      </c>
      <c r="T3215" s="15" t="n">
        <v>666</v>
      </c>
      <c r="U3215" s="15" t="n">
        <v>176</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G-I-0089</t>
        </is>
      </c>
      <c r="B3216" s="12" t="inlineStr">
        <is>
          <t>G</t>
        </is>
      </c>
      <c r="C3216" s="12" t="inlineStr">
        <is>
          <t>Carbon capture</t>
        </is>
      </c>
      <c r="D3216" s="12" t="inlineStr">
        <is>
          <t>Analog instrument to JB JB-CCS-CT-AI01: 20 x 1 pr (field cables)</t>
        </is>
      </c>
      <c r="E3216" s="12" t="inlineStr">
        <is>
          <t>CCS-CT</t>
        </is>
      </c>
      <c r="F3216" s="12" t="inlineStr">
        <is>
          <t>CCS cooling tower (~30 cells): CCS process cooling only</t>
        </is>
      </c>
      <c r="G3216" s="12" t="inlineStr">
        <is>
          <t>JB-CCS-CT-AI01</t>
        </is>
      </c>
      <c r="H3216" s="12" t="inlineStr">
        <is>
          <t>CCS cooling tower (~30 cells): CCS process cooling only</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5" t="n">
        <v>250</v>
      </c>
      <c r="U3216" s="15" t="n">
        <v>10</v>
      </c>
      <c r="V3216" s="15">
        <f>ROUNDUP((T3216+U3216+2*'Read Me'!$B$13)*(1+'Read Me'!$B$12),-1)</f>
        <v/>
      </c>
      <c r="W3216" s="15">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G-I-0090</t>
        </is>
      </c>
      <c r="B3217" s="12" t="inlineStr">
        <is>
          <t>G</t>
        </is>
      </c>
      <c r="C3217" s="12" t="inlineStr">
        <is>
          <t>Carbon capture</t>
        </is>
      </c>
      <c r="D3217" s="12" t="inlineStr">
        <is>
          <t>Home run JB-CCS-CT-AI01 to the control / marshalling room</t>
        </is>
      </c>
      <c r="E3217" s="12" t="inlineStr"/>
      <c r="F3217" s="12" t="inlineStr">
        <is>
          <t>CCS F&amp;G / control</t>
        </is>
      </c>
      <c r="G3217" s="12" t="inlineStr">
        <is>
          <t>JB-CCS-CT-AI01</t>
        </is>
      </c>
      <c r="H3217" s="12" t="inlineStr">
        <is>
          <t>CCS cooling tower (~30 cells): CCS process cooling only</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5" t="n">
        <v>948</v>
      </c>
      <c r="U3217" s="15" t="n">
        <v>117</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G-I-0091</t>
        </is>
      </c>
      <c r="B3218" s="12" t="inlineStr">
        <is>
          <t>G</t>
        </is>
      </c>
      <c r="C3218" s="12" t="inlineStr">
        <is>
          <t>Carbon capture</t>
        </is>
      </c>
      <c r="D3218" s="12" t="inlineStr">
        <is>
          <t>Analog instrument to JB JB-CCS-CT-AI02: 10 x 1 pr (field cables)</t>
        </is>
      </c>
      <c r="E3218" s="12" t="inlineStr">
        <is>
          <t>CCS-CT</t>
        </is>
      </c>
      <c r="F3218" s="12" t="inlineStr">
        <is>
          <t>CCS cooling tower (~30 cells): CCS process cooling only</t>
        </is>
      </c>
      <c r="G3218" s="12" t="inlineStr">
        <is>
          <t>JB-CCS-CT-AI02</t>
        </is>
      </c>
      <c r="H3218" s="12" t="inlineStr">
        <is>
          <t>CCS cooling tower (~30 cells): CCS process cooling only</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5" t="n">
        <v>250</v>
      </c>
      <c r="U3218" s="15" t="n">
        <v>10</v>
      </c>
      <c r="V3218" s="15">
        <f>ROUNDUP((T3218+U3218+2*'Read Me'!$B$13)*(1+'Read Me'!$B$12),-1)</f>
        <v/>
      </c>
      <c r="W3218" s="15">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G-I-0092</t>
        </is>
      </c>
      <c r="B3219" s="12" t="inlineStr">
        <is>
          <t>G</t>
        </is>
      </c>
      <c r="C3219" s="12" t="inlineStr">
        <is>
          <t>Carbon capture</t>
        </is>
      </c>
      <c r="D3219" s="12" t="inlineStr">
        <is>
          <t>Home run JB-CCS-CT-AI02 to the control / marshalling room</t>
        </is>
      </c>
      <c r="E3219" s="12" t="inlineStr"/>
      <c r="F3219" s="12" t="inlineStr">
        <is>
          <t>CCS F&amp;G / control</t>
        </is>
      </c>
      <c r="G3219" s="12" t="inlineStr">
        <is>
          <t>JB-CCS-CT-AI02</t>
        </is>
      </c>
      <c r="H3219" s="12" t="inlineStr">
        <is>
          <t>CCS cooling tower (~30 cells): CCS process cooling only</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5" t="n">
        <v>948</v>
      </c>
      <c r="U3219" s="15" t="n">
        <v>117</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G-I-0093</t>
        </is>
      </c>
      <c r="B3220" s="12" t="inlineStr">
        <is>
          <t>G</t>
        </is>
      </c>
      <c r="C3220" s="12" t="inlineStr">
        <is>
          <t>Carbon capture</t>
        </is>
      </c>
      <c r="D3220" s="12" t="inlineStr">
        <is>
          <t>Discrete device to JB JB-CCS-CT-DI01: 20 x 1 pr (field cables)</t>
        </is>
      </c>
      <c r="E3220" s="12" t="inlineStr">
        <is>
          <t>CCS-CT</t>
        </is>
      </c>
      <c r="F3220" s="12" t="inlineStr">
        <is>
          <t>CCS cooling tower (~30 cells): CCS process cooling only</t>
        </is>
      </c>
      <c r="G3220" s="12" t="inlineStr">
        <is>
          <t>JB-CCS-CT-DI01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5" t="n">
        <v>250</v>
      </c>
      <c r="U3220" s="15" t="n">
        <v>10</v>
      </c>
      <c r="V3220" s="15">
        <f>ROUNDUP((T3220+U3220+2*'Read Me'!$B$13)*(1+'Read Me'!$B$12),-1)</f>
        <v/>
      </c>
      <c r="W3220" s="15">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G-I-0094</t>
        </is>
      </c>
      <c r="B3221" s="12" t="inlineStr">
        <is>
          <t>G</t>
        </is>
      </c>
      <c r="C3221" s="12" t="inlineStr">
        <is>
          <t>Carbon capture</t>
        </is>
      </c>
      <c r="D3221" s="12" t="inlineStr">
        <is>
          <t>Home run JB-CCS-CT-DI01 to the control / marshalling room</t>
        </is>
      </c>
      <c r="E3221" s="12" t="inlineStr"/>
      <c r="F3221" s="12" t="inlineStr">
        <is>
          <t>CCS F&amp;G / control</t>
        </is>
      </c>
      <c r="G3221" s="12" t="inlineStr">
        <is>
          <t>JB-CCS-CT-DI01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5" t="n">
        <v>948</v>
      </c>
      <c r="U3221" s="15" t="n">
        <v>117</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G-I-0095</t>
        </is>
      </c>
      <c r="B3222" s="12" t="inlineStr">
        <is>
          <t>G</t>
        </is>
      </c>
      <c r="C3222" s="12" t="inlineStr">
        <is>
          <t>Carbon capture</t>
        </is>
      </c>
      <c r="D3222" s="12" t="inlineStr">
        <is>
          <t>Discrete device to JB JB-CCS-CT-DI02: 20 x 1 pr (field cables)</t>
        </is>
      </c>
      <c r="E3222" s="12" t="inlineStr">
        <is>
          <t>CCS-CT</t>
        </is>
      </c>
      <c r="F3222" s="12" t="inlineStr">
        <is>
          <t>CCS cooling tower (~30 cells): CCS process cooling only</t>
        </is>
      </c>
      <c r="G3222" s="12" t="inlineStr">
        <is>
          <t>JB-CCS-CT-DI02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5" t="n">
        <v>250</v>
      </c>
      <c r="U3222" s="15" t="n">
        <v>10</v>
      </c>
      <c r="V3222" s="15">
        <f>ROUNDUP((T3222+U3222+2*'Read Me'!$B$13)*(1+'Read Me'!$B$12),-1)</f>
        <v/>
      </c>
      <c r="W3222" s="15">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G-I-0096</t>
        </is>
      </c>
      <c r="B3223" s="12" t="inlineStr">
        <is>
          <t>G</t>
        </is>
      </c>
      <c r="C3223" s="12" t="inlineStr">
        <is>
          <t>Carbon capture</t>
        </is>
      </c>
      <c r="D3223" s="12" t="inlineStr">
        <is>
          <t>Home run JB-CCS-CT-DI02 to the control / marshalling room</t>
        </is>
      </c>
      <c r="E3223" s="12" t="inlineStr"/>
      <c r="F3223" s="12" t="inlineStr">
        <is>
          <t>CCS F&amp;G / control</t>
        </is>
      </c>
      <c r="G3223" s="12" t="inlineStr">
        <is>
          <t>JB-CCS-CT-DI02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5" t="n">
        <v>948</v>
      </c>
      <c r="U3223" s="15" t="n">
        <v>117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G-I-0097</t>
        </is>
      </c>
      <c r="B3224" s="12" t="inlineStr">
        <is>
          <t>G</t>
        </is>
      </c>
      <c r="C3224" s="12" t="inlineStr">
        <is>
          <t>Carbon capture</t>
        </is>
      </c>
      <c r="D3224" s="12" t="inlineStr">
        <is>
          <t>Discrete device to JB JB-CCS-CT-DI03: 20 x 1 pr (field cables)</t>
        </is>
      </c>
      <c r="E3224" s="12" t="inlineStr">
        <is>
          <t>CCS-CT</t>
        </is>
      </c>
      <c r="F3224" s="12" t="inlineStr">
        <is>
          <t>CCS cooling tower (~30 cells): CCS process cooling only</t>
        </is>
      </c>
      <c r="G3224" s="12" t="inlineStr">
        <is>
          <t>JB-CCS-CT-DI03</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5" t="n">
        <v>250</v>
      </c>
      <c r="U3224" s="15" t="n">
        <v>10</v>
      </c>
      <c r="V3224" s="15">
        <f>ROUNDUP((T3224+U3224+2*'Read Me'!$B$13)*(1+'Read Me'!$B$12),-1)</f>
        <v/>
      </c>
      <c r="W3224" s="15">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G-I-0098</t>
        </is>
      </c>
      <c r="B3225" s="12" t="inlineStr">
        <is>
          <t>G</t>
        </is>
      </c>
      <c r="C3225" s="12" t="inlineStr">
        <is>
          <t>Carbon capture</t>
        </is>
      </c>
      <c r="D3225" s="12" t="inlineStr">
        <is>
          <t>Home run JB-CCS-CT-DI03 to the control / marshalling room</t>
        </is>
      </c>
      <c r="E3225" s="12" t="inlineStr"/>
      <c r="F3225" s="12" t="inlineStr">
        <is>
          <t>CCS F&amp;G / control</t>
        </is>
      </c>
      <c r="G3225" s="12" t="inlineStr">
        <is>
          <t>JB-CCS-CT-DI03</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5" t="n">
        <v>948</v>
      </c>
      <c r="U3225" s="15" t="n">
        <v>117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G-I-0099</t>
        </is>
      </c>
      <c r="B3226" s="12" t="inlineStr">
        <is>
          <t>G</t>
        </is>
      </c>
      <c r="C3226" s="12" t="inlineStr">
        <is>
          <t>Carbon capture</t>
        </is>
      </c>
      <c r="D3226" s="12" t="inlineStr">
        <is>
          <t>Analog instrument to JB JB-CCS instrument air-AI01: 10 x 1 pr (field cables)</t>
        </is>
      </c>
      <c r="E3226" s="12" t="inlineStr"/>
      <c r="F3226" s="12" t="inlineStr">
        <is>
          <t>CCS instrument air</t>
        </is>
      </c>
      <c r="G3226" s="12" t="inlineStr">
        <is>
          <t>JB-CCS instrument air-AI01</t>
        </is>
      </c>
      <c r="H3226" s="12" t="inlineStr">
        <is>
          <t>CCS instrument air</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10</v>
      </c>
      <c r="O3226" s="12" t="n">
        <v>1</v>
      </c>
      <c r="P3226" s="12" t="n"/>
      <c r="Q3226" s="12" t="n"/>
      <c r="R3226" s="12" t="n"/>
      <c r="S3226" s="12" t="inlineStr">
        <is>
          <t>Tray / conduit</t>
        </is>
      </c>
      <c r="T3226" s="15" t="n">
        <v>72</v>
      </c>
      <c r="U3226" s="15" t="n">
        <v>10</v>
      </c>
      <c r="V3226" s="15">
        <f>ROUNDUP((T3226+U3226+2*'Read Me'!$B$13)*(1+'Read Me'!$B$12),-1)</f>
        <v/>
      </c>
      <c r="W3226" s="15">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G-I-0100</t>
        </is>
      </c>
      <c r="B3227" s="12" t="inlineStr">
        <is>
          <t>G</t>
        </is>
      </c>
      <c r="C3227" s="12" t="inlineStr">
        <is>
          <t>Carbon capture</t>
        </is>
      </c>
      <c r="D3227" s="12" t="inlineStr">
        <is>
          <t>Home run JB-CCS instrument air-AI01 to the control / marshalling room</t>
        </is>
      </c>
      <c r="E3227" s="12" t="inlineStr"/>
      <c r="F3227" s="12" t="inlineStr">
        <is>
          <t>CCS F&amp;G / control</t>
        </is>
      </c>
      <c r="G3227" s="12" t="inlineStr">
        <is>
          <t>JB-CCS instrument air-AI01</t>
        </is>
      </c>
      <c r="H3227" s="12" t="inlineStr">
        <is>
          <t>CCS instrument air</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Tray</t>
        </is>
      </c>
      <c r="T3227" s="15" t="n">
        <v>0</v>
      </c>
      <c r="U3227" s="15" t="n">
        <v>120</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G-I-0101</t>
        </is>
      </c>
      <c r="B3228" s="12" t="inlineStr">
        <is>
          <t>G</t>
        </is>
      </c>
      <c r="C3228" s="12" t="inlineStr">
        <is>
          <t>Carbon capture</t>
        </is>
      </c>
      <c r="D3228" s="12" t="inlineStr">
        <is>
          <t>Discrete device to JB JB-CCS instrument air-DI01: 10 x 1 pr (field cables)</t>
        </is>
      </c>
      <c r="E3228" s="12" t="inlineStr"/>
      <c r="F3228" s="12" t="inlineStr">
        <is>
          <t>CCS instrument air</t>
        </is>
      </c>
      <c r="G3228" s="12" t="inlineStr">
        <is>
          <t>JB-CCS instrument air-DI01</t>
        </is>
      </c>
      <c r="H3228" s="12" t="inlineStr">
        <is>
          <t>CCS instrument air</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10</v>
      </c>
      <c r="O3228" s="12" t="n">
        <v>1</v>
      </c>
      <c r="P3228" s="12" t="n"/>
      <c r="Q3228" s="12" t="n"/>
      <c r="R3228" s="12" t="n"/>
      <c r="S3228" s="12" t="inlineStr">
        <is>
          <t>Tray / conduit</t>
        </is>
      </c>
      <c r="T3228" s="15" t="n">
        <v>72</v>
      </c>
      <c r="U3228" s="15" t="n">
        <v>10</v>
      </c>
      <c r="V3228" s="15">
        <f>ROUNDUP((T3228+U3228+2*'Read Me'!$B$13)*(1+'Read Me'!$B$12),-1)</f>
        <v/>
      </c>
      <c r="W3228" s="15">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G-I-0102</t>
        </is>
      </c>
      <c r="B3229" s="12" t="inlineStr">
        <is>
          <t>G</t>
        </is>
      </c>
      <c r="C3229" s="12" t="inlineStr">
        <is>
          <t>Carbon capture</t>
        </is>
      </c>
      <c r="D3229" s="12" t="inlineStr">
        <is>
          <t>Home run JB-CCS instrument air-DI01 to the control / marshalling room</t>
        </is>
      </c>
      <c r="E3229" s="12" t="inlineStr"/>
      <c r="F3229" s="12" t="inlineStr">
        <is>
          <t>CCS F&amp;G / control</t>
        </is>
      </c>
      <c r="G3229" s="12" t="inlineStr">
        <is>
          <t>JB-CCS instrument air-DI01</t>
        </is>
      </c>
      <c r="H3229" s="12" t="inlineStr">
        <is>
          <t>CCS instrument air</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Tray</t>
        </is>
      </c>
      <c r="T3229" s="15" t="n">
        <v>0</v>
      </c>
      <c r="U3229" s="15" t="n">
        <v>120</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G-I-0103</t>
        </is>
      </c>
      <c r="B3230" s="12" t="inlineStr">
        <is>
          <t>G</t>
        </is>
      </c>
      <c r="C3230" s="12" t="inlineStr">
        <is>
          <t>Carbon capture</t>
        </is>
      </c>
      <c r="D3230" s="12" t="inlineStr">
        <is>
          <t>Analog instrument to JB JB-CCS wastewater (DC-AI01: 15 x 1 pr (field cables)</t>
        </is>
      </c>
      <c r="E3230" s="12" t="inlineStr"/>
      <c r="F3230" s="12" t="inlineStr">
        <is>
          <t>CCS wastewater (DCC + tower blowdown)</t>
        </is>
      </c>
      <c r="G3230" s="12" t="inlineStr">
        <is>
          <t>JB-CCS wastewater (DC-AI01</t>
        </is>
      </c>
      <c r="H3230" s="12" t="inlineStr">
        <is>
          <t>CCS wastewater (DCC + tower blowdown)</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15</v>
      </c>
      <c r="O3230" s="12" t="n">
        <v>1</v>
      </c>
      <c r="P3230" s="12" t="n"/>
      <c r="Q3230" s="12" t="n"/>
      <c r="R3230" s="12" t="n"/>
      <c r="S3230" s="12" t="inlineStr">
        <is>
          <t>Tray / conduit</t>
        </is>
      </c>
      <c r="T3230" s="15" t="n">
        <v>140</v>
      </c>
      <c r="U3230" s="15" t="n">
        <v>10</v>
      </c>
      <c r="V3230" s="15">
        <f>ROUNDUP((T3230+U3230+2*'Read Me'!$B$13)*(1+'Read Me'!$B$12),-1)</f>
        <v/>
      </c>
      <c r="W3230" s="15">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G-I-0104</t>
        </is>
      </c>
      <c r="B3231" s="12" t="inlineStr">
        <is>
          <t>G</t>
        </is>
      </c>
      <c r="C3231" s="12" t="inlineStr">
        <is>
          <t>Carbon capture</t>
        </is>
      </c>
      <c r="D3231" s="12" t="inlineStr">
        <is>
          <t>Home run JB-CCS wastewater (DC-AI01 to the control / marshalling room</t>
        </is>
      </c>
      <c r="E3231" s="12" t="inlineStr"/>
      <c r="F3231" s="12" t="inlineStr">
        <is>
          <t>CCS F&amp;G / control</t>
        </is>
      </c>
      <c r="G3231" s="12" t="inlineStr">
        <is>
          <t>JB-CCS wastewater (DC-AI01</t>
        </is>
      </c>
      <c r="H3231" s="12" t="inlineStr">
        <is>
          <t>CCS wastewater (DCC + tower blowdown)</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5" t="n">
        <v>656</v>
      </c>
      <c r="U3231" s="15" t="n">
        <v>121</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G-I-0105</t>
        </is>
      </c>
      <c r="B3232" s="12" t="inlineStr">
        <is>
          <t>G</t>
        </is>
      </c>
      <c r="C3232" s="12" t="inlineStr">
        <is>
          <t>Carbon capture</t>
        </is>
      </c>
      <c r="D3232" s="12" t="inlineStr">
        <is>
          <t>Discrete device to JB JB-CCS wastewater (DC-DI01: 15 x 1 pr (field cables)</t>
        </is>
      </c>
      <c r="E3232" s="12" t="inlineStr"/>
      <c r="F3232" s="12" t="inlineStr">
        <is>
          <t>CCS wastewater (DCC + tower blowdown)</t>
        </is>
      </c>
      <c r="G3232" s="12" t="inlineStr">
        <is>
          <t>JB-CCS wastewater (DC-DI01</t>
        </is>
      </c>
      <c r="H3232" s="12" t="inlineStr">
        <is>
          <t>CCS wastewater (DCC + tower blowdown)</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15</v>
      </c>
      <c r="O3232" s="12" t="n">
        <v>1</v>
      </c>
      <c r="P3232" s="12" t="n"/>
      <c r="Q3232" s="12" t="n"/>
      <c r="R3232" s="12" t="n"/>
      <c r="S3232" s="12" t="inlineStr">
        <is>
          <t>Tray / conduit</t>
        </is>
      </c>
      <c r="T3232" s="15" t="n">
        <v>140</v>
      </c>
      <c r="U3232" s="15" t="n">
        <v>10</v>
      </c>
      <c r="V3232" s="15">
        <f>ROUNDUP((T3232+U3232+2*'Read Me'!$B$13)*(1+'Read Me'!$B$12),-1)</f>
        <v/>
      </c>
      <c r="W3232" s="15">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G-I-0106</t>
        </is>
      </c>
      <c r="B3233" s="12" t="inlineStr">
        <is>
          <t>G</t>
        </is>
      </c>
      <c r="C3233" s="12" t="inlineStr">
        <is>
          <t>Carbon capture</t>
        </is>
      </c>
      <c r="D3233" s="12" t="inlineStr">
        <is>
          <t>Home run JB-CCS wastewater (DC-DI01 to the control / marshalling room</t>
        </is>
      </c>
      <c r="E3233" s="12" t="inlineStr"/>
      <c r="F3233" s="12" t="inlineStr">
        <is>
          <t>CCS F&amp;G / control</t>
        </is>
      </c>
      <c r="G3233" s="12" t="inlineStr">
        <is>
          <t>JB-CCS wastewater (DC-DI01</t>
        </is>
      </c>
      <c r="H3233" s="12" t="inlineStr">
        <is>
          <t>CCS wastewater (DCC + tower blowdown)</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Duct bank</t>
        </is>
      </c>
      <c r="T3233" s="15" t="n">
        <v>656</v>
      </c>
      <c r="U3233" s="15" t="n">
        <v>121</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G-I-0107</t>
        </is>
      </c>
      <c r="B3234" s="12" t="inlineStr">
        <is>
          <t>G</t>
        </is>
      </c>
      <c r="C3234" s="12" t="inlineStr">
        <is>
          <t>Carbon capture</t>
        </is>
      </c>
      <c r="D3234" s="12" t="inlineStr">
        <is>
          <t>Analog instrument to JB JB-CO2 compression 3 -AI01: 20 x 1 pr (field cables)</t>
        </is>
      </c>
      <c r="E3234" s="12" t="inlineStr"/>
      <c r="F3234" s="12" t="inlineStr">
        <is>
          <t>CO2 compression 3 x ~19 MW + dehydration</t>
        </is>
      </c>
      <c r="G3234" s="12" t="inlineStr">
        <is>
          <t>JB-CO2 compression 3 -AI01</t>
        </is>
      </c>
      <c r="H3234" s="12" t="inlineStr">
        <is>
          <t>CO2 compression 3 x ~19 MW + dehydration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5" t="n">
        <v>159</v>
      </c>
      <c r="U3234" s="15" t="n">
        <v>10</v>
      </c>
      <c r="V3234" s="15">
        <f>ROUNDUP((T3234+U3234+2*'Read Me'!$B$13)*(1+'Read Me'!$B$12),-1)</f>
        <v/>
      </c>
      <c r="W3234" s="15">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G-I-0108</t>
        </is>
      </c>
      <c r="B3235" s="12" t="inlineStr">
        <is>
          <t>G</t>
        </is>
      </c>
      <c r="C3235" s="12" t="inlineStr">
        <is>
          <t>Carbon capture</t>
        </is>
      </c>
      <c r="D3235" s="12" t="inlineStr">
        <is>
          <t>Home run JB-CO2 compression 3 -AI01 to the control / marshalling room</t>
        </is>
      </c>
      <c r="E3235" s="12" t="inlineStr"/>
      <c r="F3235" s="12" t="inlineStr">
        <is>
          <t>CCS F&amp;G / control</t>
        </is>
      </c>
      <c r="G3235" s="12" t="inlineStr">
        <is>
          <t>JB-CO2 compression 3 -AI01</t>
        </is>
      </c>
      <c r="H3235" s="12" t="inlineStr">
        <is>
          <t>CO2 compression 3 x ~19 MW + dehydration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5" t="n">
        <v>183</v>
      </c>
      <c r="U3235" s="15" t="n">
        <v>105</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G-I-0109</t>
        </is>
      </c>
      <c r="B3236" s="12" t="inlineStr">
        <is>
          <t>G</t>
        </is>
      </c>
      <c r="C3236" s="12" t="inlineStr">
        <is>
          <t>Carbon capture</t>
        </is>
      </c>
      <c r="D3236" s="12" t="inlineStr">
        <is>
          <t>Analog instrument to JB JB-CO2 compression 3 -AI02: 20 x 1 pr (field cables)</t>
        </is>
      </c>
      <c r="E3236" s="12" t="inlineStr"/>
      <c r="F3236" s="12" t="inlineStr">
        <is>
          <t>CO2 compression 3 x ~19 MW + dehydration</t>
        </is>
      </c>
      <c r="G3236" s="12" t="inlineStr">
        <is>
          <t>JB-CO2 compression 3 -AI02</t>
        </is>
      </c>
      <c r="H3236" s="12" t="inlineStr">
        <is>
          <t>CO2 compression 3 x ~19 MW + dehydration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5" t="n">
        <v>159</v>
      </c>
      <c r="U3236" s="15" t="n">
        <v>10</v>
      </c>
      <c r="V3236" s="15">
        <f>ROUNDUP((T3236+U3236+2*'Read Me'!$B$13)*(1+'Read Me'!$B$12),-1)</f>
        <v/>
      </c>
      <c r="W3236" s="15">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G-I-0110</t>
        </is>
      </c>
      <c r="B3237" s="12" t="inlineStr">
        <is>
          <t>G</t>
        </is>
      </c>
      <c r="C3237" s="12" t="inlineStr">
        <is>
          <t>Carbon capture</t>
        </is>
      </c>
      <c r="D3237" s="12" t="inlineStr">
        <is>
          <t>Home run JB-CO2 compression 3 -AI02 to the control / marshalling room</t>
        </is>
      </c>
      <c r="E3237" s="12" t="inlineStr"/>
      <c r="F3237" s="12" t="inlineStr">
        <is>
          <t>CCS F&amp;G / control</t>
        </is>
      </c>
      <c r="G3237" s="12" t="inlineStr">
        <is>
          <t>JB-CO2 compression 3 -AI02</t>
        </is>
      </c>
      <c r="H3237" s="12" t="inlineStr">
        <is>
          <t>CO2 compression 3 x ~19 MW + dehydration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5" t="n">
        <v>183</v>
      </c>
      <c r="U3237" s="15" t="n">
        <v>105</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G-I-0111</t>
        </is>
      </c>
      <c r="B3238" s="12" t="inlineStr">
        <is>
          <t>G</t>
        </is>
      </c>
      <c r="C3238" s="12" t="inlineStr">
        <is>
          <t>Carbon capture</t>
        </is>
      </c>
      <c r="D3238" s="12" t="inlineStr">
        <is>
          <t>Analog instrument to JB JB-CO2 compression 3 -AI03: 20 x 1 pr (field cables)</t>
        </is>
      </c>
      <c r="E3238" s="12" t="inlineStr"/>
      <c r="F3238" s="12" t="inlineStr">
        <is>
          <t>CO2 compression 3 x ~19 MW + dehydration</t>
        </is>
      </c>
      <c r="G3238" s="12" t="inlineStr">
        <is>
          <t>JB-CO2 compression 3 -AI03</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5" t="n">
        <v>159</v>
      </c>
      <c r="U3238" s="15" t="n">
        <v>10</v>
      </c>
      <c r="V3238" s="15">
        <f>ROUNDUP((T3238+U3238+2*'Read Me'!$B$13)*(1+'Read Me'!$B$12),-1)</f>
        <v/>
      </c>
      <c r="W3238" s="15">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G-I-0112</t>
        </is>
      </c>
      <c r="B3239" s="12" t="inlineStr">
        <is>
          <t>G</t>
        </is>
      </c>
      <c r="C3239" s="12" t="inlineStr">
        <is>
          <t>Carbon capture</t>
        </is>
      </c>
      <c r="D3239" s="12" t="inlineStr">
        <is>
          <t>Home run JB-CO2 compression 3 -AI03 to the control / marshalling room</t>
        </is>
      </c>
      <c r="E3239" s="12" t="inlineStr"/>
      <c r="F3239" s="12" t="inlineStr">
        <is>
          <t>CCS F&amp;G / control</t>
        </is>
      </c>
      <c r="G3239" s="12" t="inlineStr">
        <is>
          <t>JB-CO2 compression 3 -AI03</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5" t="n">
        <v>183</v>
      </c>
      <c r="U3239" s="15" t="n">
        <v>105</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G-I-0113</t>
        </is>
      </c>
      <c r="B3240" s="12" t="inlineStr">
        <is>
          <t>G</t>
        </is>
      </c>
      <c r="C3240" s="12" t="inlineStr">
        <is>
          <t>Carbon capture</t>
        </is>
      </c>
      <c r="D3240" s="12" t="inlineStr">
        <is>
          <t>Analog instrument to JB JB-CO2 compression 3 -AI04: 20 x 1 pr (field cables)</t>
        </is>
      </c>
      <c r="E3240" s="12" t="inlineStr"/>
      <c r="F3240" s="12" t="inlineStr">
        <is>
          <t>CO2 compression 3 x ~19 MW + dehydration</t>
        </is>
      </c>
      <c r="G3240" s="12" t="inlineStr">
        <is>
          <t>JB-CO2 compression 3 -AI04</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5" t="n">
        <v>159</v>
      </c>
      <c r="U3240" s="15" t="n">
        <v>10</v>
      </c>
      <c r="V3240" s="15">
        <f>ROUNDUP((T3240+U3240+2*'Read Me'!$B$13)*(1+'Read Me'!$B$12),-1)</f>
        <v/>
      </c>
      <c r="W3240" s="15">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G-I-0114</t>
        </is>
      </c>
      <c r="B3241" s="12" t="inlineStr">
        <is>
          <t>G</t>
        </is>
      </c>
      <c r="C3241" s="12" t="inlineStr">
        <is>
          <t>Carbon capture</t>
        </is>
      </c>
      <c r="D3241" s="12" t="inlineStr">
        <is>
          <t>Home run JB-CO2 compression 3 -AI04 to the control / marshalling room</t>
        </is>
      </c>
      <c r="E3241" s="12" t="inlineStr"/>
      <c r="F3241" s="12" t="inlineStr">
        <is>
          <t>CCS F&amp;G / control</t>
        </is>
      </c>
      <c r="G3241" s="12" t="inlineStr">
        <is>
          <t>JB-CO2 compression 3 -AI04</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5" t="n">
        <v>183</v>
      </c>
      <c r="U3241" s="15" t="n">
        <v>105</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G-I-0115</t>
        </is>
      </c>
      <c r="B3242" s="12" t="inlineStr">
        <is>
          <t>G</t>
        </is>
      </c>
      <c r="C3242" s="12" t="inlineStr">
        <is>
          <t>Carbon capture</t>
        </is>
      </c>
      <c r="D3242" s="12" t="inlineStr">
        <is>
          <t>Analog instrument to JB JB-CO2 compression 3 -AI05: 20 x 1 pr (field cables)</t>
        </is>
      </c>
      <c r="E3242" s="12" t="inlineStr"/>
      <c r="F3242" s="12" t="inlineStr">
        <is>
          <t>CO2 compression 3 x ~19 MW + dehydration</t>
        </is>
      </c>
      <c r="G3242" s="12" t="inlineStr">
        <is>
          <t>JB-CO2 compression 3 -AI05</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5" t="n">
        <v>159</v>
      </c>
      <c r="U3242" s="15" t="n">
        <v>10</v>
      </c>
      <c r="V3242" s="15">
        <f>ROUNDUP((T3242+U3242+2*'Read Me'!$B$13)*(1+'Read Me'!$B$12),-1)</f>
        <v/>
      </c>
      <c r="W3242" s="15">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G-I-0116</t>
        </is>
      </c>
      <c r="B3243" s="12" t="inlineStr">
        <is>
          <t>G</t>
        </is>
      </c>
      <c r="C3243" s="12" t="inlineStr">
        <is>
          <t>Carbon capture</t>
        </is>
      </c>
      <c r="D3243" s="12" t="inlineStr">
        <is>
          <t>Home run JB-CO2 compression 3 -AI05 to the control / marshalling room</t>
        </is>
      </c>
      <c r="E3243" s="12" t="inlineStr"/>
      <c r="F3243" s="12" t="inlineStr">
        <is>
          <t>CCS F&amp;G / control</t>
        </is>
      </c>
      <c r="G3243" s="12" t="inlineStr">
        <is>
          <t>JB-CO2 compression 3 -AI05</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5" t="n">
        <v>183</v>
      </c>
      <c r="U3243" s="15" t="n">
        <v>105</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G-I-0117</t>
        </is>
      </c>
      <c r="B3244" s="12" t="inlineStr">
        <is>
          <t>G</t>
        </is>
      </c>
      <c r="C3244" s="12" t="inlineStr">
        <is>
          <t>Carbon capture</t>
        </is>
      </c>
      <c r="D3244" s="12" t="inlineStr">
        <is>
          <t>Analog instrument to JB JB-CO2 compression 3 -AI06: 20 x 1 pr (field cables)</t>
        </is>
      </c>
      <c r="E3244" s="12" t="inlineStr"/>
      <c r="F3244" s="12" t="inlineStr">
        <is>
          <t>CO2 compression 3 x ~19 MW + dehydration</t>
        </is>
      </c>
      <c r="G3244" s="12" t="inlineStr">
        <is>
          <t>JB-CO2 compression 3 -AI06</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5" t="n">
        <v>159</v>
      </c>
      <c r="U3244" s="15" t="n">
        <v>10</v>
      </c>
      <c r="V3244" s="15">
        <f>ROUNDUP((T3244+U3244+2*'Read Me'!$B$13)*(1+'Read Me'!$B$12),-1)</f>
        <v/>
      </c>
      <c r="W3244" s="15">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G-I-0118</t>
        </is>
      </c>
      <c r="B3245" s="12" t="inlineStr">
        <is>
          <t>G</t>
        </is>
      </c>
      <c r="C3245" s="12" t="inlineStr">
        <is>
          <t>Carbon capture</t>
        </is>
      </c>
      <c r="D3245" s="12" t="inlineStr">
        <is>
          <t>Home run JB-CO2 compression 3 -AI06 to the control / marshalling room</t>
        </is>
      </c>
      <c r="E3245" s="12" t="inlineStr"/>
      <c r="F3245" s="12" t="inlineStr">
        <is>
          <t>CCS F&amp;G / control</t>
        </is>
      </c>
      <c r="G3245" s="12" t="inlineStr">
        <is>
          <t>JB-CO2 compression 3 -AI06</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5" t="n">
        <v>183</v>
      </c>
      <c r="U3245" s="15" t="n">
        <v>105</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G-I-0119</t>
        </is>
      </c>
      <c r="B3246" s="12" t="inlineStr">
        <is>
          <t>G</t>
        </is>
      </c>
      <c r="C3246" s="12" t="inlineStr">
        <is>
          <t>Carbon capture</t>
        </is>
      </c>
      <c r="D3246" s="12" t="inlineStr">
        <is>
          <t>Analog instrument to JB JB-CO2 compression 3 -AI07: 20 x 1 pr (field cables)</t>
        </is>
      </c>
      <c r="E3246" s="12" t="inlineStr"/>
      <c r="F3246" s="12" t="inlineStr">
        <is>
          <t>CO2 compression 3 x ~19 MW + dehydration</t>
        </is>
      </c>
      <c r="G3246" s="12" t="inlineStr">
        <is>
          <t>JB-CO2 compression 3 -AI07</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5" t="n">
        <v>159</v>
      </c>
      <c r="U3246" s="15" t="n">
        <v>10</v>
      </c>
      <c r="V3246" s="15">
        <f>ROUNDUP((T3246+U3246+2*'Read Me'!$B$13)*(1+'Read Me'!$B$12),-1)</f>
        <v/>
      </c>
      <c r="W3246" s="15">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G-I-0120</t>
        </is>
      </c>
      <c r="B3247" s="12" t="inlineStr">
        <is>
          <t>G</t>
        </is>
      </c>
      <c r="C3247" s="12" t="inlineStr">
        <is>
          <t>Carbon capture</t>
        </is>
      </c>
      <c r="D3247" s="12" t="inlineStr">
        <is>
          <t>Home run JB-CO2 compression 3 -AI07 to the control / marshalling room</t>
        </is>
      </c>
      <c r="E3247" s="12" t="inlineStr"/>
      <c r="F3247" s="12" t="inlineStr">
        <is>
          <t>CCS F&amp;G / control</t>
        </is>
      </c>
      <c r="G3247" s="12" t="inlineStr">
        <is>
          <t>JB-CO2 compression 3 -AI07</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5" t="n">
        <v>183</v>
      </c>
      <c r="U3247" s="15" t="n">
        <v>105</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G-I-0121</t>
        </is>
      </c>
      <c r="B3248" s="12" t="inlineStr">
        <is>
          <t>G</t>
        </is>
      </c>
      <c r="C3248" s="12" t="inlineStr">
        <is>
          <t>Carbon capture</t>
        </is>
      </c>
      <c r="D3248" s="12" t="inlineStr">
        <is>
          <t>Analog instrument to JB JB-CO2 compression 3 -AI08: 10 x 1 pr (field cables)</t>
        </is>
      </c>
      <c r="E3248" s="12" t="inlineStr"/>
      <c r="F3248" s="12" t="inlineStr">
        <is>
          <t>CO2 compression 3 x ~19 MW + dehydration</t>
        </is>
      </c>
      <c r="G3248" s="12" t="inlineStr">
        <is>
          <t>JB-CO2 compression 3 -AI08</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5" t="n">
        <v>159</v>
      </c>
      <c r="U3248" s="15" t="n">
        <v>10</v>
      </c>
      <c r="V3248" s="15">
        <f>ROUNDUP((T3248+U3248+2*'Read Me'!$B$13)*(1+'Read Me'!$B$12),-1)</f>
        <v/>
      </c>
      <c r="W3248" s="15">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G-I-0122</t>
        </is>
      </c>
      <c r="B3249" s="12" t="inlineStr">
        <is>
          <t>G</t>
        </is>
      </c>
      <c r="C3249" s="12" t="inlineStr">
        <is>
          <t>Carbon capture</t>
        </is>
      </c>
      <c r="D3249" s="12" t="inlineStr">
        <is>
          <t>Home run JB-CO2 compression 3 -AI08 to the control / marshalling room</t>
        </is>
      </c>
      <c r="E3249" s="12" t="inlineStr"/>
      <c r="F3249" s="12" t="inlineStr">
        <is>
          <t>CCS F&amp;G / control</t>
        </is>
      </c>
      <c r="G3249" s="12" t="inlineStr">
        <is>
          <t>JB-CO2 compression 3 -AI08</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5" t="n">
        <v>183</v>
      </c>
      <c r="U3249" s="15" t="n">
        <v>105</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G-I-0123</t>
        </is>
      </c>
      <c r="B3250" s="12" t="inlineStr">
        <is>
          <t>G</t>
        </is>
      </c>
      <c r="C3250" s="12" t="inlineStr">
        <is>
          <t>Carbon capture</t>
        </is>
      </c>
      <c r="D3250" s="12" t="inlineStr">
        <is>
          <t>Discrete device to JB JB-CO2 compression 3 -DI01: 20 x 1 pr (field cables)</t>
        </is>
      </c>
      <c r="E3250" s="12" t="inlineStr"/>
      <c r="F3250" s="12" t="inlineStr">
        <is>
          <t>CO2 compression 3 x ~19 MW + dehydration</t>
        </is>
      </c>
      <c r="G3250" s="12" t="inlineStr">
        <is>
          <t>JB-CO2 compression 3 -DI01</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5" t="n">
        <v>159</v>
      </c>
      <c r="U3250" s="15" t="n">
        <v>10</v>
      </c>
      <c r="V3250" s="15">
        <f>ROUNDUP((T3250+U3250+2*'Read Me'!$B$13)*(1+'Read Me'!$B$12),-1)</f>
        <v/>
      </c>
      <c r="W3250" s="15">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G-I-0124</t>
        </is>
      </c>
      <c r="B3251" s="12" t="inlineStr">
        <is>
          <t>G</t>
        </is>
      </c>
      <c r="C3251" s="12" t="inlineStr">
        <is>
          <t>Carbon capture</t>
        </is>
      </c>
      <c r="D3251" s="12" t="inlineStr">
        <is>
          <t>Home run JB-CO2 compression 3 -DI01 to the control / marshalling room</t>
        </is>
      </c>
      <c r="E3251" s="12" t="inlineStr"/>
      <c r="F3251" s="12" t="inlineStr">
        <is>
          <t>CCS F&amp;G / control</t>
        </is>
      </c>
      <c r="G3251" s="12" t="inlineStr">
        <is>
          <t>JB-CO2 compression 3 -DI01</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5" t="n">
        <v>183</v>
      </c>
      <c r="U3251" s="15" t="n">
        <v>105</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G-I-0125</t>
        </is>
      </c>
      <c r="B3252" s="12" t="inlineStr">
        <is>
          <t>G</t>
        </is>
      </c>
      <c r="C3252" s="12" t="inlineStr">
        <is>
          <t>Carbon capture</t>
        </is>
      </c>
      <c r="D3252" s="12" t="inlineStr">
        <is>
          <t>Discrete device to JB JB-CO2 compression 3 -DI02: 20 x 1 pr (field cables)</t>
        </is>
      </c>
      <c r="E3252" s="12" t="inlineStr"/>
      <c r="F3252" s="12" t="inlineStr">
        <is>
          <t>CO2 compression 3 x ~19 MW + dehydration</t>
        </is>
      </c>
      <c r="G3252" s="12" t="inlineStr">
        <is>
          <t>JB-CO2 compression 3 -DI02</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5" t="n">
        <v>159</v>
      </c>
      <c r="U3252" s="15" t="n">
        <v>10</v>
      </c>
      <c r="V3252" s="15">
        <f>ROUNDUP((T3252+U3252+2*'Read Me'!$B$13)*(1+'Read Me'!$B$12),-1)</f>
        <v/>
      </c>
      <c r="W3252" s="15">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G-I-0126</t>
        </is>
      </c>
      <c r="B3253" s="12" t="inlineStr">
        <is>
          <t>G</t>
        </is>
      </c>
      <c r="C3253" s="12" t="inlineStr">
        <is>
          <t>Carbon capture</t>
        </is>
      </c>
      <c r="D3253" s="12" t="inlineStr">
        <is>
          <t>Home run JB-CO2 compression 3 -DI02 to the control / marshalling room</t>
        </is>
      </c>
      <c r="E3253" s="12" t="inlineStr"/>
      <c r="F3253" s="12" t="inlineStr">
        <is>
          <t>CCS F&amp;G / control</t>
        </is>
      </c>
      <c r="G3253" s="12" t="inlineStr">
        <is>
          <t>JB-CO2 compression 3 -DI02</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5" t="n">
        <v>183</v>
      </c>
      <c r="U3253" s="15" t="n">
        <v>105</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G-I-0127</t>
        </is>
      </c>
      <c r="B3254" s="12" t="inlineStr">
        <is>
          <t>G</t>
        </is>
      </c>
      <c r="C3254" s="12" t="inlineStr">
        <is>
          <t>Carbon capture</t>
        </is>
      </c>
      <c r="D3254" s="12" t="inlineStr">
        <is>
          <t>Discrete device to JB JB-CO2 compression 3 -DI03: 20 x 1 pr (field cables)</t>
        </is>
      </c>
      <c r="E3254" s="12" t="inlineStr"/>
      <c r="F3254" s="12" t="inlineStr">
        <is>
          <t>CO2 compression 3 x ~19 MW + dehydration</t>
        </is>
      </c>
      <c r="G3254" s="12" t="inlineStr">
        <is>
          <t>JB-CO2 compression 3 -DI03</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5" t="n">
        <v>159</v>
      </c>
      <c r="U3254" s="15" t="n">
        <v>10</v>
      </c>
      <c r="V3254" s="15">
        <f>ROUNDUP((T3254+U3254+2*'Read Me'!$B$13)*(1+'Read Me'!$B$12),-1)</f>
        <v/>
      </c>
      <c r="W3254" s="15">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G-I-0128</t>
        </is>
      </c>
      <c r="B3255" s="12" t="inlineStr">
        <is>
          <t>G</t>
        </is>
      </c>
      <c r="C3255" s="12" t="inlineStr">
        <is>
          <t>Carbon capture</t>
        </is>
      </c>
      <c r="D3255" s="12" t="inlineStr">
        <is>
          <t>Home run JB-CO2 compression 3 -DI03 to the control / marshalling room</t>
        </is>
      </c>
      <c r="E3255" s="12" t="inlineStr"/>
      <c r="F3255" s="12" t="inlineStr">
        <is>
          <t>CCS F&amp;G / control</t>
        </is>
      </c>
      <c r="G3255" s="12" t="inlineStr">
        <is>
          <t>JB-CO2 compression 3 -DI03</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5" t="n">
        <v>183</v>
      </c>
      <c r="U3255" s="15" t="n">
        <v>105</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G-I-0129</t>
        </is>
      </c>
      <c r="B3256" s="12" t="inlineStr">
        <is>
          <t>G</t>
        </is>
      </c>
      <c r="C3256" s="12" t="inlineStr">
        <is>
          <t>Carbon capture</t>
        </is>
      </c>
      <c r="D3256" s="12" t="inlineStr">
        <is>
          <t>Discrete device to JB JB-CO2 compression 3 -DI04: 20 x 1 pr (field cables)</t>
        </is>
      </c>
      <c r="E3256" s="12" t="inlineStr"/>
      <c r="F3256" s="12" t="inlineStr">
        <is>
          <t>CO2 compression 3 x ~19 MW + dehydration</t>
        </is>
      </c>
      <c r="G3256" s="12" t="inlineStr">
        <is>
          <t>JB-CO2 compression 3 -DI04</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5" t="n">
        <v>159</v>
      </c>
      <c r="U3256" s="15" t="n">
        <v>10</v>
      </c>
      <c r="V3256" s="15">
        <f>ROUNDUP((T3256+U3256+2*'Read Me'!$B$13)*(1+'Read Me'!$B$12),-1)</f>
        <v/>
      </c>
      <c r="W3256" s="15">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G-I-0130</t>
        </is>
      </c>
      <c r="B3257" s="12" t="inlineStr">
        <is>
          <t>G</t>
        </is>
      </c>
      <c r="C3257" s="12" t="inlineStr">
        <is>
          <t>Carbon capture</t>
        </is>
      </c>
      <c r="D3257" s="12" t="inlineStr">
        <is>
          <t>Home run JB-CO2 compression 3 -DI04 to the control / marshalling room</t>
        </is>
      </c>
      <c r="E3257" s="12" t="inlineStr"/>
      <c r="F3257" s="12" t="inlineStr">
        <is>
          <t>CCS F&amp;G / control</t>
        </is>
      </c>
      <c r="G3257" s="12" t="inlineStr">
        <is>
          <t>JB-CO2 compression 3 -DI04</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5" t="n">
        <v>183</v>
      </c>
      <c r="U3257" s="15" t="n">
        <v>105</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G-I-0131</t>
        </is>
      </c>
      <c r="B3258" s="12" t="inlineStr">
        <is>
          <t>G</t>
        </is>
      </c>
      <c r="C3258" s="12" t="inlineStr">
        <is>
          <t>Carbon capture</t>
        </is>
      </c>
      <c r="D3258" s="12" t="inlineStr">
        <is>
          <t>Discrete device to JB JB-CO2 compression 3 -DI05: 20 x 1 pr (field cables)</t>
        </is>
      </c>
      <c r="E3258" s="12" t="inlineStr"/>
      <c r="F3258" s="12" t="inlineStr">
        <is>
          <t>CO2 compression 3 x ~19 MW + dehydration</t>
        </is>
      </c>
      <c r="G3258" s="12" t="inlineStr">
        <is>
          <t>JB-CO2 compression 3 -DI05</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5" t="n">
        <v>159</v>
      </c>
      <c r="U3258" s="15" t="n">
        <v>10</v>
      </c>
      <c r="V3258" s="15">
        <f>ROUNDUP((T3258+U3258+2*'Read Me'!$B$13)*(1+'Read Me'!$B$12),-1)</f>
        <v/>
      </c>
      <c r="W3258" s="15">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G-I-0132</t>
        </is>
      </c>
      <c r="B3259" s="12" t="inlineStr">
        <is>
          <t>G</t>
        </is>
      </c>
      <c r="C3259" s="12" t="inlineStr">
        <is>
          <t>Carbon capture</t>
        </is>
      </c>
      <c r="D3259" s="12" t="inlineStr">
        <is>
          <t>Home run JB-CO2 compression 3 -DI05 to the control / marshalling room</t>
        </is>
      </c>
      <c r="E3259" s="12" t="inlineStr"/>
      <c r="F3259" s="12" t="inlineStr">
        <is>
          <t>CCS F&amp;G / control</t>
        </is>
      </c>
      <c r="G3259" s="12" t="inlineStr">
        <is>
          <t>JB-CO2 compression 3 -DI05</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5" t="n">
        <v>183</v>
      </c>
      <c r="U3259" s="15" t="n">
        <v>105</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G-I-0133</t>
        </is>
      </c>
      <c r="B3260" s="12" t="inlineStr">
        <is>
          <t>G</t>
        </is>
      </c>
      <c r="C3260" s="12" t="inlineStr">
        <is>
          <t>Carbon capture</t>
        </is>
      </c>
      <c r="D3260" s="12" t="inlineStr">
        <is>
          <t>RTD to JB JB-CO2 compression 3 -RTD01: 10 x 1 tri (field cables)</t>
        </is>
      </c>
      <c r="E3260" s="12" t="inlineStr"/>
      <c r="F3260" s="12" t="inlineStr">
        <is>
          <t>CO2 compression 3 x ~19 MW + dehydration</t>
        </is>
      </c>
      <c r="G3260" s="12" t="inlineStr">
        <is>
          <t>JB-CO2 compression 3 -RTD01</t>
        </is>
      </c>
      <c r="H3260" s="12" t="inlineStr">
        <is>
          <t>CO2 compression 3 x ~19 MW + dehydration</t>
        </is>
      </c>
      <c r="I3260" s="12" t="inlineStr">
        <is>
          <t>Instrumentation</t>
        </is>
      </c>
      <c r="J3260" s="12" t="inlineStr">
        <is>
          <t>RTD cable, #18 shielded triads, PLTC</t>
        </is>
      </c>
      <c r="K3260" s="12" t="inlineStr">
        <is>
          <t>RTD|1 tri|18</t>
        </is>
      </c>
      <c r="L3260" s="12" t="inlineStr">
        <is>
          <t>1 tri</t>
        </is>
      </c>
      <c r="M3260" s="12" t="inlineStr">
        <is>
          <t>18</t>
        </is>
      </c>
      <c r="N3260" s="12" t="n">
        <v>10</v>
      </c>
      <c r="O3260" s="12" t="n">
        <v>1</v>
      </c>
      <c r="P3260" s="12" t="n"/>
      <c r="Q3260" s="12" t="n"/>
      <c r="R3260" s="12" t="n"/>
      <c r="S3260" s="12" t="inlineStr">
        <is>
          <t>Tray / conduit</t>
        </is>
      </c>
      <c r="T3260" s="15" t="n">
        <v>159</v>
      </c>
      <c r="U3260" s="15" t="n">
        <v>10</v>
      </c>
      <c r="V3260" s="15">
        <f>ROUNDUP((T3260+U3260+2*'Read Me'!$B$13)*(1+'Read Me'!$B$12),-1)</f>
        <v/>
      </c>
      <c r="W3260" s="15">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G-I-0134</t>
        </is>
      </c>
      <c r="B3261" s="12" t="inlineStr">
        <is>
          <t>G</t>
        </is>
      </c>
      <c r="C3261" s="12" t="inlineStr">
        <is>
          <t>Carbon capture</t>
        </is>
      </c>
      <c r="D3261" s="12" t="inlineStr">
        <is>
          <t>Home run JB-CO2 compression 3 -RTD01 to the control / marshalling room</t>
        </is>
      </c>
      <c r="E3261" s="12" t="inlineStr"/>
      <c r="F3261" s="12" t="inlineStr">
        <is>
          <t>CCS F&amp;G / control</t>
        </is>
      </c>
      <c r="G3261" s="12" t="inlineStr">
        <is>
          <t>JB-CO2 compression 3 -RTD01</t>
        </is>
      </c>
      <c r="H3261" s="12" t="inlineStr">
        <is>
          <t>CO2 compression 3 x ~19 MW + dehydration</t>
        </is>
      </c>
      <c r="I3261" s="12" t="inlineStr">
        <is>
          <t>Instrumentation</t>
        </is>
      </c>
      <c r="J3261" s="12" t="inlineStr">
        <is>
          <t>RTD cable, #18 shielded triads, PLTC</t>
        </is>
      </c>
      <c r="K3261" s="12" t="inlineStr">
        <is>
          <t>RTD|12 tri|18</t>
        </is>
      </c>
      <c r="L3261" s="12" t="inlineStr">
        <is>
          <t>12 tri</t>
        </is>
      </c>
      <c r="M3261" s="12" t="inlineStr">
        <is>
          <t>18</t>
        </is>
      </c>
      <c r="N3261" s="12" t="n">
        <v>1</v>
      </c>
      <c r="O3261" s="12" t="n">
        <v>1</v>
      </c>
      <c r="P3261" s="12" t="n"/>
      <c r="Q3261" s="12" t="n"/>
      <c r="R3261" s="12" t="n"/>
      <c r="S3261" s="12" t="inlineStr">
        <is>
          <t>Duct bank</t>
        </is>
      </c>
      <c r="T3261" s="15" t="n">
        <v>183</v>
      </c>
      <c r="U3261" s="15" t="n">
        <v>105</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G-I-0135</t>
        </is>
      </c>
      <c r="B3262" s="12" t="inlineStr">
        <is>
          <t>G</t>
        </is>
      </c>
      <c r="C3262" s="12" t="inlineStr">
        <is>
          <t>Carbon capture</t>
        </is>
      </c>
      <c r="D3262" s="12" t="inlineStr">
        <is>
          <t>RTD to JB JB-CO2 compression 3 -RTD02: 10 x 1 tri (field cables)</t>
        </is>
      </c>
      <c r="E3262" s="12" t="inlineStr"/>
      <c r="F3262" s="12" t="inlineStr">
        <is>
          <t>CO2 compression 3 x ~19 MW + dehydration</t>
        </is>
      </c>
      <c r="G3262" s="12" t="inlineStr">
        <is>
          <t>JB-CO2 compression 3 -RTD02</t>
        </is>
      </c>
      <c r="H3262" s="12" t="inlineStr">
        <is>
          <t>CO2 compression 3 x ~19 MW + dehydration</t>
        </is>
      </c>
      <c r="I3262" s="12" t="inlineStr">
        <is>
          <t>Instrumentation</t>
        </is>
      </c>
      <c r="J3262" s="12" t="inlineStr">
        <is>
          <t>RTD cable, #18 shielded triads, PLTC</t>
        </is>
      </c>
      <c r="K3262" s="12" t="inlineStr">
        <is>
          <t>RTD|1 tri|18</t>
        </is>
      </c>
      <c r="L3262" s="12" t="inlineStr">
        <is>
          <t>1 tri</t>
        </is>
      </c>
      <c r="M3262" s="12" t="inlineStr">
        <is>
          <t>18</t>
        </is>
      </c>
      <c r="N3262" s="12" t="n">
        <v>10</v>
      </c>
      <c r="O3262" s="12" t="n">
        <v>1</v>
      </c>
      <c r="P3262" s="12" t="n"/>
      <c r="Q3262" s="12" t="n"/>
      <c r="R3262" s="12" t="n"/>
      <c r="S3262" s="12" t="inlineStr">
        <is>
          <t>Tray / conduit</t>
        </is>
      </c>
      <c r="T3262" s="15" t="n">
        <v>159</v>
      </c>
      <c r="U3262" s="15" t="n">
        <v>10</v>
      </c>
      <c r="V3262" s="15">
        <f>ROUNDUP((T3262+U3262+2*'Read Me'!$B$13)*(1+'Read Me'!$B$12),-1)</f>
        <v/>
      </c>
      <c r="W3262" s="15">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G-I-0136</t>
        </is>
      </c>
      <c r="B3263" s="12" t="inlineStr">
        <is>
          <t>G</t>
        </is>
      </c>
      <c r="C3263" s="12" t="inlineStr">
        <is>
          <t>Carbon capture</t>
        </is>
      </c>
      <c r="D3263" s="12" t="inlineStr">
        <is>
          <t>Home run JB-CO2 compression 3 -RTD02 to the control / marshalling room</t>
        </is>
      </c>
      <c r="E3263" s="12" t="inlineStr"/>
      <c r="F3263" s="12" t="inlineStr">
        <is>
          <t>CCS F&amp;G / control</t>
        </is>
      </c>
      <c r="G3263" s="12" t="inlineStr">
        <is>
          <t>JB-CO2 compression 3 -RTD02</t>
        </is>
      </c>
      <c r="H3263" s="12" t="inlineStr">
        <is>
          <t>CO2 compression 3 x ~19 MW + dehydration</t>
        </is>
      </c>
      <c r="I3263" s="12" t="inlineStr">
        <is>
          <t>Instrumentation</t>
        </is>
      </c>
      <c r="J3263" s="12" t="inlineStr">
        <is>
          <t>RTD cable, #18 shielded triads, PLTC</t>
        </is>
      </c>
      <c r="K3263" s="12" t="inlineStr">
        <is>
          <t>RTD|12 tri|18</t>
        </is>
      </c>
      <c r="L3263" s="12" t="inlineStr">
        <is>
          <t>12 tri</t>
        </is>
      </c>
      <c r="M3263" s="12" t="inlineStr">
        <is>
          <t>18</t>
        </is>
      </c>
      <c r="N3263" s="12" t="n">
        <v>1</v>
      </c>
      <c r="O3263" s="12" t="n">
        <v>1</v>
      </c>
      <c r="P3263" s="12" t="n"/>
      <c r="Q3263" s="12" t="n"/>
      <c r="R3263" s="12" t="n"/>
      <c r="S3263" s="12" t="inlineStr">
        <is>
          <t>Duct bank</t>
        </is>
      </c>
      <c r="T3263" s="15" t="n">
        <v>183</v>
      </c>
      <c r="U3263" s="15" t="n">
        <v>105</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G-I-0137</t>
        </is>
      </c>
      <c r="B3264" s="12" t="inlineStr">
        <is>
          <t>G</t>
        </is>
      </c>
      <c r="C3264" s="12" t="inlineStr">
        <is>
          <t>Carbon capture</t>
        </is>
      </c>
      <c r="D3264" s="12" t="inlineStr">
        <is>
          <t>RTD to JB JB-CO2 compression 3 -RTD03: 10 x 1 tri (field cables)</t>
        </is>
      </c>
      <c r="E3264" s="12" t="inlineStr"/>
      <c r="F3264" s="12" t="inlineStr">
        <is>
          <t>CO2 compression 3 x ~19 MW + dehydration</t>
        </is>
      </c>
      <c r="G3264" s="12" t="inlineStr">
        <is>
          <t>JB-CO2 compression 3 -RTD03</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5" t="n">
        <v>159</v>
      </c>
      <c r="U3264" s="15" t="n">
        <v>10</v>
      </c>
      <c r="V3264" s="15">
        <f>ROUNDUP((T3264+U3264+2*'Read Me'!$B$13)*(1+'Read Me'!$B$12),-1)</f>
        <v/>
      </c>
      <c r="W3264" s="15">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G-I-0138</t>
        </is>
      </c>
      <c r="B3265" s="12" t="inlineStr">
        <is>
          <t>G</t>
        </is>
      </c>
      <c r="C3265" s="12" t="inlineStr">
        <is>
          <t>Carbon capture</t>
        </is>
      </c>
      <c r="D3265" s="12" t="inlineStr">
        <is>
          <t>Home run JB-CO2 compression 3 -RTD03 to the control / marshalling room</t>
        </is>
      </c>
      <c r="E3265" s="12" t="inlineStr"/>
      <c r="F3265" s="12" t="inlineStr">
        <is>
          <t>CCS F&amp;G / control</t>
        </is>
      </c>
      <c r="G3265" s="12" t="inlineStr">
        <is>
          <t>JB-CO2 compression 3 -RTD03</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5" t="n">
        <v>183</v>
      </c>
      <c r="U3265" s="15" t="n">
        <v>105</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G-I-0139</t>
        </is>
      </c>
      <c r="B3266" s="12" t="inlineStr">
        <is>
          <t>G</t>
        </is>
      </c>
      <c r="C3266" s="12" t="inlineStr">
        <is>
          <t>Carbon capture</t>
        </is>
      </c>
      <c r="D3266" s="12" t="inlineStr">
        <is>
          <t>RTD to JB JB-CO2 compression 3 -RTD04: 6 x 1 tri (field cables)</t>
        </is>
      </c>
      <c r="E3266" s="12" t="inlineStr"/>
      <c r="F3266" s="12" t="inlineStr">
        <is>
          <t>CO2 compression 3 x ~19 MW + dehydration</t>
        </is>
      </c>
      <c r="G3266" s="12" t="inlineStr">
        <is>
          <t>JB-CO2 compression 3 -RTD04</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6</v>
      </c>
      <c r="O3266" s="12" t="n">
        <v>1</v>
      </c>
      <c r="P3266" s="12" t="n"/>
      <c r="Q3266" s="12" t="n"/>
      <c r="R3266" s="12" t="n"/>
      <c r="S3266" s="12" t="inlineStr">
        <is>
          <t>Tray / conduit</t>
        </is>
      </c>
      <c r="T3266" s="15" t="n">
        <v>159</v>
      </c>
      <c r="U3266" s="15" t="n">
        <v>10</v>
      </c>
      <c r="V3266" s="15">
        <f>ROUNDUP((T3266+U3266+2*'Read Me'!$B$13)*(1+'Read Me'!$B$12),-1)</f>
        <v/>
      </c>
      <c r="W3266" s="15">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G-I-0140</t>
        </is>
      </c>
      <c r="B3267" s="12" t="inlineStr">
        <is>
          <t>G</t>
        </is>
      </c>
      <c r="C3267" s="12" t="inlineStr">
        <is>
          <t>Carbon capture</t>
        </is>
      </c>
      <c r="D3267" s="12" t="inlineStr">
        <is>
          <t>Home run JB-CO2 compression 3 -RTD04 to the control / marshalling room</t>
        </is>
      </c>
      <c r="E3267" s="12" t="inlineStr"/>
      <c r="F3267" s="12" t="inlineStr">
        <is>
          <t>CCS F&amp;G / control</t>
        </is>
      </c>
      <c r="G3267" s="12" t="inlineStr">
        <is>
          <t>JB-CO2 compression 3 -RTD04</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5" t="n">
        <v>183</v>
      </c>
      <c r="U3267" s="15" t="n">
        <v>105</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G-I-0141</t>
        </is>
      </c>
      <c r="B3268" s="12" t="inlineStr">
        <is>
          <t>G</t>
        </is>
      </c>
      <c r="C3268" s="12" t="inlineStr">
        <is>
          <t>Carbon capture</t>
        </is>
      </c>
      <c r="D3268" s="12" t="inlineStr">
        <is>
          <t>Analog instrument to JB JB-CO2 dehydration: m-AI01: 20 x 1 pr (field cables)</t>
        </is>
      </c>
      <c r="E3268" s="12" t="inlineStr"/>
      <c r="F3268" s="12" t="inlineStr">
        <is>
          <t>CO2 dehydration: molecular-sieve towers and regeneration heater</t>
        </is>
      </c>
      <c r="G3268" s="12" t="inlineStr">
        <is>
          <t>JB-CO2 dehydration: m-AI01</t>
        </is>
      </c>
      <c r="H3268" s="12" t="inlineStr">
        <is>
          <t>CO2 dehydration: molecular-sieve towers and regeneration heater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5" t="n">
        <v>81</v>
      </c>
      <c r="U3268" s="15" t="n">
        <v>10</v>
      </c>
      <c r="V3268" s="15">
        <f>ROUNDUP((T3268+U3268+2*'Read Me'!$B$13)*(1+'Read Me'!$B$12),-1)</f>
        <v/>
      </c>
      <c r="W3268" s="15">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G-I-0142</t>
        </is>
      </c>
      <c r="B3269" s="12" t="inlineStr">
        <is>
          <t>G</t>
        </is>
      </c>
      <c r="C3269" s="12" t="inlineStr">
        <is>
          <t>Carbon capture</t>
        </is>
      </c>
      <c r="D3269" s="12" t="inlineStr">
        <is>
          <t>Home run JB-CO2 dehydration: m-AI01 to the control / marshalling room</t>
        </is>
      </c>
      <c r="E3269" s="12" t="inlineStr"/>
      <c r="F3269" s="12" t="inlineStr">
        <is>
          <t>CCS F&amp;G / control</t>
        </is>
      </c>
      <c r="G3269" s="12" t="inlineStr">
        <is>
          <t>JB-CO2 dehydration: m-AI01</t>
        </is>
      </c>
      <c r="H3269" s="12" t="inlineStr">
        <is>
          <t>CO2 dehydration: molecular-sieve towers and regeneration heater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5" t="n">
        <v>197</v>
      </c>
      <c r="U3269" s="15" t="n">
        <v>229</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G-I-0143</t>
        </is>
      </c>
      <c r="B3270" s="12" t="inlineStr">
        <is>
          <t>G</t>
        </is>
      </c>
      <c r="C3270" s="12" t="inlineStr">
        <is>
          <t>Carbon capture</t>
        </is>
      </c>
      <c r="D3270" s="12" t="inlineStr">
        <is>
          <t>Analog instrument to JB JB-CO2 dehydration: m-AI02: 10 x 1 pr (field cables)</t>
        </is>
      </c>
      <c r="E3270" s="12" t="inlineStr"/>
      <c r="F3270" s="12" t="inlineStr">
        <is>
          <t>CO2 dehydration: molecular-sieve towers and regeneration heater</t>
        </is>
      </c>
      <c r="G3270" s="12" t="inlineStr">
        <is>
          <t>JB-CO2 dehydration: m-AI02</t>
        </is>
      </c>
      <c r="H3270" s="12" t="inlineStr">
        <is>
          <t>CO2 dehydration: molecular-sieve towers and regeneration heater</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5" t="n">
        <v>81</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G-I-0144</t>
        </is>
      </c>
      <c r="B3271" s="12" t="inlineStr">
        <is>
          <t>G</t>
        </is>
      </c>
      <c r="C3271" s="12" t="inlineStr">
        <is>
          <t>Carbon capture</t>
        </is>
      </c>
      <c r="D3271" s="12" t="inlineStr">
        <is>
          <t>Home run JB-CO2 dehydration: m-AI02 to the control / marshalling room</t>
        </is>
      </c>
      <c r="E3271" s="12" t="inlineStr"/>
      <c r="F3271" s="12" t="inlineStr">
        <is>
          <t>CCS F&amp;G / control</t>
        </is>
      </c>
      <c r="G3271" s="12" t="inlineStr">
        <is>
          <t>JB-CO2 dehydration: m-AI02</t>
        </is>
      </c>
      <c r="H3271" s="12" t="inlineStr">
        <is>
          <t>CO2 dehydration: molecular-sieve towers and regeneration heater</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5" t="n">
        <v>197</v>
      </c>
      <c r="U3271" s="15" t="n">
        <v>229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G-I-0145</t>
        </is>
      </c>
      <c r="B3272" s="12" t="inlineStr">
        <is>
          <t>G</t>
        </is>
      </c>
      <c r="C3272" s="12" t="inlineStr">
        <is>
          <t>Carbon capture</t>
        </is>
      </c>
      <c r="D3272" s="12" t="inlineStr">
        <is>
          <t>Discrete device to JB JB-CO2 dehydration: m-DI01: 20 x 1 pr (field cables)</t>
        </is>
      </c>
      <c r="E3272" s="12" t="inlineStr"/>
      <c r="F3272" s="12" t="inlineStr">
        <is>
          <t>CO2 dehydration: molecular-sieve towers and regeneration heater</t>
        </is>
      </c>
      <c r="G3272" s="12" t="inlineStr">
        <is>
          <t>JB-CO2 dehydration: m-DI01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81</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G-I-0146</t>
        </is>
      </c>
      <c r="B3273" s="12" t="inlineStr">
        <is>
          <t>G</t>
        </is>
      </c>
      <c r="C3273" s="12" t="inlineStr">
        <is>
          <t>Carbon capture</t>
        </is>
      </c>
      <c r="D3273" s="12" t="inlineStr">
        <is>
          <t>Home run JB-CO2 dehydration: m-DI01 to the control / marshalling room</t>
        </is>
      </c>
      <c r="E3273" s="12" t="inlineStr"/>
      <c r="F3273" s="12" t="inlineStr">
        <is>
          <t>CCS F&amp;G / control</t>
        </is>
      </c>
      <c r="G3273" s="12" t="inlineStr">
        <is>
          <t>JB-CO2 dehydration: m-DI01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5" t="n">
        <v>197</v>
      </c>
      <c r="U3273" s="15" t="n">
        <v>229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G-I-0147</t>
        </is>
      </c>
      <c r="B3274" s="12" t="inlineStr">
        <is>
          <t>G</t>
        </is>
      </c>
      <c r="C3274" s="12" t="inlineStr">
        <is>
          <t>Carbon capture</t>
        </is>
      </c>
      <c r="D3274" s="12" t="inlineStr">
        <is>
          <t>Discrete device to JB JB-CO2 dehydration: m-DI02: 10 x 1 pr (field cables)</t>
        </is>
      </c>
      <c r="E3274" s="12" t="inlineStr"/>
      <c r="F3274" s="12" t="inlineStr">
        <is>
          <t>CO2 dehydration: molecular-sieve towers and regeneration heater</t>
        </is>
      </c>
      <c r="G3274" s="12" t="inlineStr">
        <is>
          <t>JB-CO2 dehydration: m-DI02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5" t="n">
        <v>81</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G-I-0148</t>
        </is>
      </c>
      <c r="B3275" s="12" t="inlineStr">
        <is>
          <t>G</t>
        </is>
      </c>
      <c r="C3275" s="12" t="inlineStr">
        <is>
          <t>Carbon capture</t>
        </is>
      </c>
      <c r="D3275" s="12" t="inlineStr">
        <is>
          <t>Home run JB-CO2 dehydration: m-DI02 to the control / marshalling room</t>
        </is>
      </c>
      <c r="E3275" s="12" t="inlineStr"/>
      <c r="F3275" s="12" t="inlineStr">
        <is>
          <t>CCS F&amp;G / control</t>
        </is>
      </c>
      <c r="G3275" s="12" t="inlineStr">
        <is>
          <t>JB-CO2 dehydration: m-DI02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5" t="n">
        <v>197</v>
      </c>
      <c r="U3275" s="15" t="n">
        <v>229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G-I-0149</t>
        </is>
      </c>
      <c r="B3276" s="12" t="inlineStr">
        <is>
          <t>G</t>
        </is>
      </c>
      <c r="C3276" s="12" t="inlineStr">
        <is>
          <t>Carbon capture</t>
        </is>
      </c>
      <c r="D3276" s="12" t="inlineStr">
        <is>
          <t>Analog instrument to JB JB-CONDITIONAL: HP ex-AI01: 20 x 1 pr (field cables)</t>
        </is>
      </c>
      <c r="E3276" s="12" t="inlineStr"/>
      <c r="F3276" s="12" t="inlineStr">
        <is>
          <t>CONDITIONAL: HP export compressor + metering</t>
        </is>
      </c>
      <c r="G3276" s="12" t="inlineStr">
        <is>
          <t>JB-CONDITIONAL: HP ex-AI01</t>
        </is>
      </c>
      <c r="H3276" s="12" t="inlineStr">
        <is>
          <t>CONDITIONAL: HP export compressor + metering</t>
        </is>
      </c>
      <c r="I3276" s="12" t="inlineStr">
        <is>
          <t>Instrumentation</t>
        </is>
      </c>
      <c r="J3276" s="12" t="inlineStr">
        <is>
          <t>Instrumentation ITC / PLTC, IS, #18 shielded pairs, blue jacket</t>
        </is>
      </c>
      <c r="K3276" s="12" t="inlineStr">
        <is>
          <t>ITC|1 pr|16</t>
        </is>
      </c>
      <c r="L3276" s="12" t="inlineStr">
        <is>
          <t>1 pr</t>
        </is>
      </c>
      <c r="M3276" s="12" t="inlineStr">
        <is>
          <t>16</t>
        </is>
      </c>
      <c r="N3276" s="12" t="n">
        <v>20</v>
      </c>
      <c r="O3276" s="12" t="n">
        <v>1</v>
      </c>
      <c r="P3276" s="12" t="n"/>
      <c r="Q3276" s="12" t="n"/>
      <c r="R3276" s="12" t="n"/>
      <c r="S3276" s="12" t="inlineStr">
        <is>
          <t>Tray / conduit</t>
        </is>
      </c>
      <c r="T3276" s="15" t="n">
        <v>100</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G-I-0150</t>
        </is>
      </c>
      <c r="B3277" s="12" t="inlineStr">
        <is>
          <t>G</t>
        </is>
      </c>
      <c r="C3277" s="12" t="inlineStr">
        <is>
          <t>Carbon capture</t>
        </is>
      </c>
      <c r="D3277" s="12" t="inlineStr">
        <is>
          <t>Home run JB-CONDITIONAL: HP ex-AI01 to the control / marshalling room</t>
        </is>
      </c>
      <c r="E3277" s="12" t="inlineStr"/>
      <c r="F3277" s="12" t="inlineStr">
        <is>
          <t>CCS F&amp;G / control</t>
        </is>
      </c>
      <c r="G3277" s="12" t="inlineStr">
        <is>
          <t>JB-CONDITIONAL: HP ex-AI01</t>
        </is>
      </c>
      <c r="H3277" s="12" t="inlineStr">
        <is>
          <t>CONDITIONAL: HP export compressor + metering</t>
        </is>
      </c>
      <c r="I3277" s="12" t="inlineStr">
        <is>
          <t>Instrumentation</t>
        </is>
      </c>
      <c r="J3277" s="12" t="inlineStr">
        <is>
          <t>Instrumentation ITC / PLTC, IS, #18 shielded pairs, blue jacket</t>
        </is>
      </c>
      <c r="K3277" s="12" t="inlineStr">
        <is>
          <t>ITC|24 pr|18</t>
        </is>
      </c>
      <c r="L3277" s="12" t="inlineStr">
        <is>
          <t>24 pr</t>
        </is>
      </c>
      <c r="M3277" s="12" t="inlineStr">
        <is>
          <t>18</t>
        </is>
      </c>
      <c r="N3277" s="12" t="n">
        <v>1</v>
      </c>
      <c r="O3277" s="12" t="n">
        <v>1</v>
      </c>
      <c r="P3277" s="12" t="n"/>
      <c r="Q3277" s="12" t="n"/>
      <c r="R3277" s="12" t="n"/>
      <c r="S3277" s="12" t="inlineStr">
        <is>
          <t>Duct bank</t>
        </is>
      </c>
      <c r="T3277" s="15" t="n">
        <v>144</v>
      </c>
      <c r="U3277" s="15" t="n">
        <v>154</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G-I-0151</t>
        </is>
      </c>
      <c r="B3278" s="12" t="inlineStr">
        <is>
          <t>G</t>
        </is>
      </c>
      <c r="C3278" s="12" t="inlineStr">
        <is>
          <t>Carbon capture</t>
        </is>
      </c>
      <c r="D3278" s="12" t="inlineStr">
        <is>
          <t>Analog instrument to JB JB-CONDITIONAL: HP ex-AI02: 20 x 1 pr (field cables)</t>
        </is>
      </c>
      <c r="E3278" s="12" t="inlineStr"/>
      <c r="F3278" s="12" t="inlineStr">
        <is>
          <t>CONDITIONAL: HP export compressor + metering</t>
        </is>
      </c>
      <c r="G3278" s="12" t="inlineStr">
        <is>
          <t>JB-CONDITIONAL: HP ex-AI02</t>
        </is>
      </c>
      <c r="H3278" s="12" t="inlineStr">
        <is>
          <t>CONDITIONAL: HP export compressor + metering</t>
        </is>
      </c>
      <c r="I3278" s="12" t="inlineStr">
        <is>
          <t>Instrumentation</t>
        </is>
      </c>
      <c r="J3278" s="12" t="inlineStr">
        <is>
          <t>Instrumentation ITC / PLTC, IS, #18 shielded pairs, blue jacket</t>
        </is>
      </c>
      <c r="K3278" s="12" t="inlineStr">
        <is>
          <t>ITC|1 pr|16</t>
        </is>
      </c>
      <c r="L3278" s="12" t="inlineStr">
        <is>
          <t>1 pr</t>
        </is>
      </c>
      <c r="M3278" s="12" t="inlineStr">
        <is>
          <t>16</t>
        </is>
      </c>
      <c r="N3278" s="12" t="n">
        <v>20</v>
      </c>
      <c r="O3278" s="12" t="n">
        <v>1</v>
      </c>
      <c r="P3278" s="12" t="n"/>
      <c r="Q3278" s="12" t="n"/>
      <c r="R3278" s="12" t="n"/>
      <c r="S3278" s="12" t="inlineStr">
        <is>
          <t>Tray / conduit</t>
        </is>
      </c>
      <c r="T3278" s="15" t="n">
        <v>100</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G-I-0152</t>
        </is>
      </c>
      <c r="B3279" s="12" t="inlineStr">
        <is>
          <t>G</t>
        </is>
      </c>
      <c r="C3279" s="12" t="inlineStr">
        <is>
          <t>Carbon capture</t>
        </is>
      </c>
      <c r="D3279" s="12" t="inlineStr">
        <is>
          <t>Home run JB-CONDITIONAL: HP ex-AI02 to the control / marshalling room</t>
        </is>
      </c>
      <c r="E3279" s="12" t="inlineStr"/>
      <c r="F3279" s="12" t="inlineStr">
        <is>
          <t>CCS F&amp;G / control</t>
        </is>
      </c>
      <c r="G3279" s="12" t="inlineStr">
        <is>
          <t>JB-CONDITIONAL: HP ex-AI02</t>
        </is>
      </c>
      <c r="H3279" s="12" t="inlineStr">
        <is>
          <t>CONDITIONAL: HP export compressor + metering</t>
        </is>
      </c>
      <c r="I3279" s="12" t="inlineStr">
        <is>
          <t>Instrumentation</t>
        </is>
      </c>
      <c r="J3279" s="12" t="inlineStr">
        <is>
          <t>Instrumentation ITC / PLTC, IS, #18 shielded pairs, blue jacket</t>
        </is>
      </c>
      <c r="K3279" s="12" t="inlineStr">
        <is>
          <t>ITC|24 pr|18</t>
        </is>
      </c>
      <c r="L3279" s="12" t="inlineStr">
        <is>
          <t>24 pr</t>
        </is>
      </c>
      <c r="M3279" s="12" t="inlineStr">
        <is>
          <t>18</t>
        </is>
      </c>
      <c r="N3279" s="12" t="n">
        <v>1</v>
      </c>
      <c r="O3279" s="12" t="n">
        <v>1</v>
      </c>
      <c r="P3279" s="12" t="n"/>
      <c r="Q3279" s="12" t="n"/>
      <c r="R3279" s="12" t="n"/>
      <c r="S3279" s="12" t="inlineStr">
        <is>
          <t>Duct bank</t>
        </is>
      </c>
      <c r="T3279" s="15" t="n">
        <v>144</v>
      </c>
      <c r="U3279" s="15" t="n">
        <v>154</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G-I-0153</t>
        </is>
      </c>
      <c r="B3280" s="12" t="inlineStr">
        <is>
          <t>G</t>
        </is>
      </c>
      <c r="C3280" s="12" t="inlineStr">
        <is>
          <t>Carbon capture</t>
        </is>
      </c>
      <c r="D3280" s="12" t="inlineStr">
        <is>
          <t>Analog instrument to JB JB-CONDITIONAL: HP ex-AI03: 20 x 1 pr (field cables)</t>
        </is>
      </c>
      <c r="E3280" s="12" t="inlineStr"/>
      <c r="F3280" s="12" t="inlineStr">
        <is>
          <t>CONDITIONAL: HP export compressor + metering</t>
        </is>
      </c>
      <c r="G3280" s="12" t="inlineStr">
        <is>
          <t>JB-CONDITIONAL: HP ex-AI03</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5" t="n">
        <v>100</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G-I-0154</t>
        </is>
      </c>
      <c r="B3281" s="12" t="inlineStr">
        <is>
          <t>G</t>
        </is>
      </c>
      <c r="C3281" s="12" t="inlineStr">
        <is>
          <t>Carbon capture</t>
        </is>
      </c>
      <c r="D3281" s="12" t="inlineStr">
        <is>
          <t>Home run JB-CONDITIONAL: HP ex-AI03 to the control / marshalling room</t>
        </is>
      </c>
      <c r="E3281" s="12" t="inlineStr"/>
      <c r="F3281" s="12" t="inlineStr">
        <is>
          <t>CCS F&amp;G / control</t>
        </is>
      </c>
      <c r="G3281" s="12" t="inlineStr">
        <is>
          <t>JB-CONDITIONAL: HP ex-AI03</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5" t="n">
        <v>144</v>
      </c>
      <c r="U3281" s="15" t="n">
        <v>154</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G-I-0155</t>
        </is>
      </c>
      <c r="B3282" s="12" t="inlineStr">
        <is>
          <t>G</t>
        </is>
      </c>
      <c r="C3282" s="12" t="inlineStr">
        <is>
          <t>Carbon capture</t>
        </is>
      </c>
      <c r="D3282" s="12" t="inlineStr">
        <is>
          <t>Discrete device to JB JB-CONDITIONAL: HP ex-DI01: 20 x 1 pr (field cables)</t>
        </is>
      </c>
      <c r="E3282" s="12" t="inlineStr"/>
      <c r="F3282" s="12" t="inlineStr">
        <is>
          <t>CONDITIONAL: HP export compressor + metering</t>
        </is>
      </c>
      <c r="G3282" s="12" t="inlineStr">
        <is>
          <t>JB-CONDITIONAL: HP ex-DI01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5" t="n">
        <v>100</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G-I-0156</t>
        </is>
      </c>
      <c r="B3283" s="12" t="inlineStr">
        <is>
          <t>G</t>
        </is>
      </c>
      <c r="C3283" s="12" t="inlineStr">
        <is>
          <t>Carbon capture</t>
        </is>
      </c>
      <c r="D3283" s="12" t="inlineStr">
        <is>
          <t>Home run JB-CONDITIONAL: HP ex-DI01 to the control / marshalling room</t>
        </is>
      </c>
      <c r="E3283" s="12" t="inlineStr"/>
      <c r="F3283" s="12" t="inlineStr">
        <is>
          <t>CCS F&amp;G / control</t>
        </is>
      </c>
      <c r="G3283" s="12" t="inlineStr">
        <is>
          <t>JB-CONDITIONAL: HP ex-DI01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5" t="n">
        <v>144</v>
      </c>
      <c r="U3283" s="15" t="n">
        <v>154</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G-I-0157</t>
        </is>
      </c>
      <c r="B3284" s="12" t="inlineStr">
        <is>
          <t>G</t>
        </is>
      </c>
      <c r="C3284" s="12" t="inlineStr">
        <is>
          <t>Carbon capture</t>
        </is>
      </c>
      <c r="D3284" s="12" t="inlineStr">
        <is>
          <t>Discrete device to JB JB-CONDITIONAL: HP ex-DI02: 20 x 1 pr (field cables)</t>
        </is>
      </c>
      <c r="E3284" s="12" t="inlineStr"/>
      <c r="F3284" s="12" t="inlineStr">
        <is>
          <t>CONDITIONAL: HP export compressor + metering</t>
        </is>
      </c>
      <c r="G3284" s="12" t="inlineStr">
        <is>
          <t>JB-CONDITIONAL: HP ex-DI02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5" t="n">
        <v>100</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G-I-0158</t>
        </is>
      </c>
      <c r="B3285" s="12" t="inlineStr">
        <is>
          <t>G</t>
        </is>
      </c>
      <c r="C3285" s="12" t="inlineStr">
        <is>
          <t>Carbon capture</t>
        </is>
      </c>
      <c r="D3285" s="12" t="inlineStr">
        <is>
          <t>Home run JB-CONDITIONAL: HP ex-DI02 to the control / marshalling room</t>
        </is>
      </c>
      <c r="E3285" s="12" t="inlineStr"/>
      <c r="F3285" s="12" t="inlineStr">
        <is>
          <t>CCS F&amp;G / control</t>
        </is>
      </c>
      <c r="G3285" s="12" t="inlineStr">
        <is>
          <t>JB-CONDITIONAL: HP ex-DI02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5" t="n">
        <v>144</v>
      </c>
      <c r="U3285" s="15" t="n">
        <v>154</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G-I-0159</t>
        </is>
      </c>
      <c r="B3286" s="12" t="inlineStr">
        <is>
          <t>G</t>
        </is>
      </c>
      <c r="C3286" s="12" t="inlineStr">
        <is>
          <t>Carbon capture</t>
        </is>
      </c>
      <c r="D3286" s="12" t="inlineStr">
        <is>
          <t>RTD to JB JB-CONDITIONAL: HP ex-RTD01: 10 x 1 tri (field cables)</t>
        </is>
      </c>
      <c r="E3286" s="12" t="inlineStr"/>
      <c r="F3286" s="12" t="inlineStr">
        <is>
          <t>CONDITIONAL: HP export compressor + metering</t>
        </is>
      </c>
      <c r="G3286" s="12" t="inlineStr">
        <is>
          <t>JB-CONDITIONAL: HP ex-RTD01</t>
        </is>
      </c>
      <c r="H3286" s="12" t="inlineStr">
        <is>
          <t>CONDITIONAL: HP export compressor + metering</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5" t="n">
        <v>100</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G-I-0160</t>
        </is>
      </c>
      <c r="B3287" s="12" t="inlineStr">
        <is>
          <t>G</t>
        </is>
      </c>
      <c r="C3287" s="12" t="inlineStr">
        <is>
          <t>Carbon capture</t>
        </is>
      </c>
      <c r="D3287" s="12" t="inlineStr">
        <is>
          <t>Home run JB-CONDITIONAL: HP ex-RTD01 to the control / marshalling room</t>
        </is>
      </c>
      <c r="E3287" s="12" t="inlineStr"/>
      <c r="F3287" s="12" t="inlineStr">
        <is>
          <t>CCS F&amp;G / control</t>
        </is>
      </c>
      <c r="G3287" s="12" t="inlineStr">
        <is>
          <t>JB-CONDITIONAL: HP ex-RTD01</t>
        </is>
      </c>
      <c r="H3287" s="12" t="inlineStr">
        <is>
          <t>CONDITIONAL: HP export compressor + metering</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5" t="n">
        <v>144</v>
      </c>
      <c r="U3287" s="15" t="n">
        <v>154</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G-I-0161</t>
        </is>
      </c>
      <c r="B3288" s="12" t="inlineStr">
        <is>
          <t>G</t>
        </is>
      </c>
      <c r="C3288" s="12" t="inlineStr">
        <is>
          <t>Carbon capture</t>
        </is>
      </c>
      <c r="D3288" s="12" t="inlineStr">
        <is>
          <t>RTD to JB JB-CONDITIONAL: HP ex-RTD02: 2 x 1 tri (field cables)</t>
        </is>
      </c>
      <c r="E3288" s="12" t="inlineStr"/>
      <c r="F3288" s="12" t="inlineStr">
        <is>
          <t>CONDITIONAL: HP export compressor + metering</t>
        </is>
      </c>
      <c r="G3288" s="12" t="inlineStr">
        <is>
          <t>JB-CONDITIONAL: HP ex-RTD02</t>
        </is>
      </c>
      <c r="H3288" s="12" t="inlineStr">
        <is>
          <t>CONDITIONAL: HP export compressor + metering</t>
        </is>
      </c>
      <c r="I3288" s="12" t="inlineStr">
        <is>
          <t>Instrumentation</t>
        </is>
      </c>
      <c r="J3288" s="12" t="inlineStr">
        <is>
          <t>RTD cable, #18 shielded triads, PLTC</t>
        </is>
      </c>
      <c r="K3288" s="12" t="inlineStr">
        <is>
          <t>RTD|1 tri|18</t>
        </is>
      </c>
      <c r="L3288" s="12" t="inlineStr">
        <is>
          <t>1 tri</t>
        </is>
      </c>
      <c r="M3288" s="12" t="inlineStr">
        <is>
          <t>18</t>
        </is>
      </c>
      <c r="N3288" s="12" t="n">
        <v>2</v>
      </c>
      <c r="O3288" s="12" t="n">
        <v>1</v>
      </c>
      <c r="P3288" s="12" t="n"/>
      <c r="Q3288" s="12" t="n"/>
      <c r="R3288" s="12" t="n"/>
      <c r="S3288" s="12" t="inlineStr">
        <is>
          <t>Tray / conduit</t>
        </is>
      </c>
      <c r="T3288" s="15" t="n">
        <v>100</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G-I-0162</t>
        </is>
      </c>
      <c r="B3289" s="12" t="inlineStr">
        <is>
          <t>G</t>
        </is>
      </c>
      <c r="C3289" s="12" t="inlineStr">
        <is>
          <t>Carbon capture</t>
        </is>
      </c>
      <c r="D3289" s="12" t="inlineStr">
        <is>
          <t>Home run JB-CONDITIONAL: HP ex-RTD02 to the control / marshalling room</t>
        </is>
      </c>
      <c r="E3289" s="12" t="inlineStr"/>
      <c r="F3289" s="12" t="inlineStr">
        <is>
          <t>CCS F&amp;G / control</t>
        </is>
      </c>
      <c r="G3289" s="12" t="inlineStr">
        <is>
          <t>JB-CONDITIONAL: HP ex-RTD02</t>
        </is>
      </c>
      <c r="H3289" s="12" t="inlineStr">
        <is>
          <t>CONDITIONAL: HP export compressor + metering</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5" t="n">
        <v>144</v>
      </c>
      <c r="U3289" s="15" t="n">
        <v>154</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G-I-0163</t>
        </is>
      </c>
      <c r="B3290" s="12" t="inlineStr">
        <is>
          <t>G</t>
        </is>
      </c>
      <c r="C3290" s="12" t="inlineStr">
        <is>
          <t>Carbon capture</t>
        </is>
      </c>
      <c r="D3290" s="12" t="inlineStr">
        <is>
          <t>Analog instrument to JB JB-DCC-A pumps + wate-AI01: 10 x 1 pr (field cables)</t>
        </is>
      </c>
      <c r="E3290" s="12" t="inlineStr"/>
      <c r="F3290" s="12" t="inlineStr">
        <is>
          <t>DCC-A pumps + water filter</t>
        </is>
      </c>
      <c r="G3290" s="12" t="inlineStr">
        <is>
          <t>JB-DCC-A pumps + wate-AI01</t>
        </is>
      </c>
      <c r="H3290" s="12" t="inlineStr">
        <is>
          <t>DCC-A pumps + water filter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5" t="n">
        <v>60</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G-I-0164</t>
        </is>
      </c>
      <c r="B3291" s="12" t="inlineStr">
        <is>
          <t>G</t>
        </is>
      </c>
      <c r="C3291" s="12" t="inlineStr">
        <is>
          <t>Carbon capture</t>
        </is>
      </c>
      <c r="D3291" s="12" t="inlineStr">
        <is>
          <t>Home run JB-DCC-A pumps + wate-AI01 to the control / marshalling room</t>
        </is>
      </c>
      <c r="E3291" s="12" t="inlineStr"/>
      <c r="F3291" s="12" t="inlineStr">
        <is>
          <t>CCS F&amp;G / control</t>
        </is>
      </c>
      <c r="G3291" s="12" t="inlineStr">
        <is>
          <t>JB-DCC-A pumps + wate-AI01</t>
        </is>
      </c>
      <c r="H3291" s="12" t="inlineStr">
        <is>
          <t>DCC-A pumps + water filter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918</v>
      </c>
      <c r="U3291" s="15" t="n">
        <v>203</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G-I-0165</t>
        </is>
      </c>
      <c r="B3292" s="12" t="inlineStr">
        <is>
          <t>G</t>
        </is>
      </c>
      <c r="C3292" s="12" t="inlineStr">
        <is>
          <t>Carbon capture</t>
        </is>
      </c>
      <c r="D3292" s="12" t="inlineStr">
        <is>
          <t>Discrete device to JB JB-DCC-A pumps + wate-DI01: 10 x 1 pr (field cables)</t>
        </is>
      </c>
      <c r="E3292" s="12" t="inlineStr"/>
      <c r="F3292" s="12" t="inlineStr">
        <is>
          <t>DCC-A pumps + water filter</t>
        </is>
      </c>
      <c r="G3292" s="12" t="inlineStr">
        <is>
          <t>JB-DCC-A pumps + wate-DI01</t>
        </is>
      </c>
      <c r="H3292" s="12" t="inlineStr">
        <is>
          <t>DCC-A pumps + water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5" t="n">
        <v>60</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G-I-0166</t>
        </is>
      </c>
      <c r="B3293" s="12" t="inlineStr">
        <is>
          <t>G</t>
        </is>
      </c>
      <c r="C3293" s="12" t="inlineStr">
        <is>
          <t>Carbon capture</t>
        </is>
      </c>
      <c r="D3293" s="12" t="inlineStr">
        <is>
          <t>Home run JB-DCC-A pumps + wate-DI01 to the control / marshalling room</t>
        </is>
      </c>
      <c r="E3293" s="12" t="inlineStr"/>
      <c r="F3293" s="12" t="inlineStr">
        <is>
          <t>CCS F&amp;G / control</t>
        </is>
      </c>
      <c r="G3293" s="12" t="inlineStr">
        <is>
          <t>JB-DCC-A pumps + wate-DI01</t>
        </is>
      </c>
      <c r="H3293" s="12" t="inlineStr">
        <is>
          <t>DCC-A pumps + water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918</v>
      </c>
      <c r="U3293" s="15" t="n">
        <v>203</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G-I-0167</t>
        </is>
      </c>
      <c r="B3294" s="12" t="inlineStr">
        <is>
          <t>G</t>
        </is>
      </c>
      <c r="C3294" s="12" t="inlineStr">
        <is>
          <t>Carbon capture</t>
        </is>
      </c>
      <c r="D3294" s="12" t="inlineStr">
        <is>
          <t>Analog instrument to JB JB-DCC-A-AI01: 20 x 1 pr (field cables)</t>
        </is>
      </c>
      <c r="E3294" s="12" t="inlineStr">
        <is>
          <t>DCC-A</t>
        </is>
      </c>
      <c r="F3294" s="12" t="inlineStr">
        <is>
          <t>DCC-A: direct-contact cooler (quench)</t>
        </is>
      </c>
      <c r="G3294" s="12" t="inlineStr">
        <is>
          <t>JB-DCC-A-AI01</t>
        </is>
      </c>
      <c r="H3294" s="12" t="inlineStr">
        <is>
          <t>DCC-A: direct-contact cooler (quench)</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5" t="n">
        <v>118</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G-I-0168</t>
        </is>
      </c>
      <c r="B3295" s="12" t="inlineStr">
        <is>
          <t>G</t>
        </is>
      </c>
      <c r="C3295" s="12" t="inlineStr">
        <is>
          <t>Carbon capture</t>
        </is>
      </c>
      <c r="D3295" s="12" t="inlineStr">
        <is>
          <t>Home run JB-DCC-A-AI01 to the control / marshalling room</t>
        </is>
      </c>
      <c r="E3295" s="12" t="inlineStr"/>
      <c r="F3295" s="12" t="inlineStr">
        <is>
          <t>CCS F&amp;G / control</t>
        </is>
      </c>
      <c r="G3295" s="12" t="inlineStr">
        <is>
          <t>JB-DCC-A-AI01</t>
        </is>
      </c>
      <c r="H3295" s="12" t="inlineStr">
        <is>
          <t>DCC-A: direct-contact cooler (quench)</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5" t="n">
        <v>871</v>
      </c>
      <c r="U3295" s="15" t="n">
        <v>128</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G-I-0169</t>
        </is>
      </c>
      <c r="B3296" s="12" t="inlineStr">
        <is>
          <t>G</t>
        </is>
      </c>
      <c r="C3296" s="12" t="inlineStr">
        <is>
          <t>Carbon capture</t>
        </is>
      </c>
      <c r="D3296" s="12" t="inlineStr">
        <is>
          <t>Discrete device to JB JB-DCC-A-DI01: 10 x 1 pr (field cables)</t>
        </is>
      </c>
      <c r="E3296" s="12" t="inlineStr">
        <is>
          <t>DCC-A</t>
        </is>
      </c>
      <c r="F3296" s="12" t="inlineStr">
        <is>
          <t>DCC-A: direct-contact cooler (quench)</t>
        </is>
      </c>
      <c r="G3296" s="12" t="inlineStr">
        <is>
          <t>JB-DCC-A-DI01</t>
        </is>
      </c>
      <c r="H3296" s="12" t="inlineStr">
        <is>
          <t>DCC-A: direct-contact cooler (quench)</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5" t="n">
        <v>118</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G-I-0170</t>
        </is>
      </c>
      <c r="B3297" s="12" t="inlineStr">
        <is>
          <t>G</t>
        </is>
      </c>
      <c r="C3297" s="12" t="inlineStr">
        <is>
          <t>Carbon capture</t>
        </is>
      </c>
      <c r="D3297" s="12" t="inlineStr">
        <is>
          <t>Home run JB-DCC-A-DI01 to the control / marshalling room</t>
        </is>
      </c>
      <c r="E3297" s="12" t="inlineStr"/>
      <c r="F3297" s="12" t="inlineStr">
        <is>
          <t>CCS F&amp;G / control</t>
        </is>
      </c>
      <c r="G3297" s="12" t="inlineStr">
        <is>
          <t>JB-DCC-A-DI01</t>
        </is>
      </c>
      <c r="H3297" s="12" t="inlineStr">
        <is>
          <t>DCC-A: direct-contact cooler (quench)</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5" t="n">
        <v>871</v>
      </c>
      <c r="U3297" s="15" t="n">
        <v>128</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G-I-0171</t>
        </is>
      </c>
      <c r="B3298" s="12" t="inlineStr">
        <is>
          <t>G</t>
        </is>
      </c>
      <c r="C3298" s="12" t="inlineStr">
        <is>
          <t>Carbon capture</t>
        </is>
      </c>
      <c r="D3298" s="12" t="inlineStr">
        <is>
          <t>Analog instrument to JB JB-DCC-B pumps + wate-AI01: 10 x 1 pr (field cables)</t>
        </is>
      </c>
      <c r="E3298" s="12" t="inlineStr"/>
      <c r="F3298" s="12" t="inlineStr">
        <is>
          <t>DCC-B pumps + water filter</t>
        </is>
      </c>
      <c r="G3298" s="12" t="inlineStr">
        <is>
          <t>JB-DCC-B pumps + wate-AI01</t>
        </is>
      </c>
      <c r="H3298" s="12" t="inlineStr">
        <is>
          <t>DCC-B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5" t="n">
        <v>60</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G-I-0172</t>
        </is>
      </c>
      <c r="B3299" s="12" t="inlineStr">
        <is>
          <t>G</t>
        </is>
      </c>
      <c r="C3299" s="12" t="inlineStr">
        <is>
          <t>Carbon capture</t>
        </is>
      </c>
      <c r="D3299" s="12" t="inlineStr">
        <is>
          <t>Home run JB-DCC-B pumps + wate-AI01 to the control / marshalling room</t>
        </is>
      </c>
      <c r="E3299" s="12" t="inlineStr"/>
      <c r="F3299" s="12" t="inlineStr">
        <is>
          <t>CCS F&amp;G / control</t>
        </is>
      </c>
      <c r="G3299" s="12" t="inlineStr">
        <is>
          <t>JB-DCC-B pumps + wate-AI01</t>
        </is>
      </c>
      <c r="H3299" s="12" t="inlineStr">
        <is>
          <t>DCC-B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5" t="n">
        <v>818</v>
      </c>
      <c r="U3299" s="15" t="n">
        <v>161</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G-I-0173</t>
        </is>
      </c>
      <c r="B3300" s="12" t="inlineStr">
        <is>
          <t>G</t>
        </is>
      </c>
      <c r="C3300" s="12" t="inlineStr">
        <is>
          <t>Carbon capture</t>
        </is>
      </c>
      <c r="D3300" s="12" t="inlineStr">
        <is>
          <t>Discrete device to JB JB-DCC-B pumps + wate-DI01: 10 x 1 pr (field cables)</t>
        </is>
      </c>
      <c r="E3300" s="12" t="inlineStr"/>
      <c r="F3300" s="12" t="inlineStr">
        <is>
          <t>DCC-B pumps + water filter</t>
        </is>
      </c>
      <c r="G3300" s="12" t="inlineStr">
        <is>
          <t>JB-DCC-B pumps + wate-DI01</t>
        </is>
      </c>
      <c r="H3300" s="12" t="inlineStr">
        <is>
          <t>DCC-B pumps + water filter</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5" t="n">
        <v>60</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G-I-0174</t>
        </is>
      </c>
      <c r="B3301" s="12" t="inlineStr">
        <is>
          <t>G</t>
        </is>
      </c>
      <c r="C3301" s="12" t="inlineStr">
        <is>
          <t>Carbon capture</t>
        </is>
      </c>
      <c r="D3301" s="12" t="inlineStr">
        <is>
          <t>Home run JB-DCC-B pumps + wate-DI01 to the control / marshalling room</t>
        </is>
      </c>
      <c r="E3301" s="12" t="inlineStr"/>
      <c r="F3301" s="12" t="inlineStr">
        <is>
          <t>CCS F&amp;G / control</t>
        </is>
      </c>
      <c r="G3301" s="12" t="inlineStr">
        <is>
          <t>JB-DCC-B pumps + wate-DI01</t>
        </is>
      </c>
      <c r="H3301" s="12" t="inlineStr">
        <is>
          <t>DCC-B pumps + water filter</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Tray</t>
        </is>
      </c>
      <c r="T3301" s="15" t="n">
        <v>818</v>
      </c>
      <c r="U3301" s="15" t="n">
        <v>161</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G-I-0175</t>
        </is>
      </c>
      <c r="B3302" s="12" t="inlineStr">
        <is>
          <t>G</t>
        </is>
      </c>
      <c r="C3302" s="12" t="inlineStr">
        <is>
          <t>Carbon capture</t>
        </is>
      </c>
      <c r="D3302" s="12" t="inlineStr">
        <is>
          <t>Analog instrument to JB JB-DCC-B-AI01: 20 x 1 pr (field cables)</t>
        </is>
      </c>
      <c r="E3302" s="12" t="inlineStr">
        <is>
          <t>DCC-B</t>
        </is>
      </c>
      <c r="F3302" s="12" t="inlineStr">
        <is>
          <t>DCC-B: direct-contact cooler (quench)</t>
        </is>
      </c>
      <c r="G3302" s="12" t="inlineStr">
        <is>
          <t>JB-DCC-B-AI01</t>
        </is>
      </c>
      <c r="H3302" s="12" t="inlineStr">
        <is>
          <t>DCC-B: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118</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G-I-0176</t>
        </is>
      </c>
      <c r="B3303" s="12" t="inlineStr">
        <is>
          <t>G</t>
        </is>
      </c>
      <c r="C3303" s="12" t="inlineStr">
        <is>
          <t>Carbon capture</t>
        </is>
      </c>
      <c r="D3303" s="12" t="inlineStr">
        <is>
          <t>Home run JB-DCC-B-AI01 to the control / marshalling room</t>
        </is>
      </c>
      <c r="E3303" s="12" t="inlineStr"/>
      <c r="F3303" s="12" t="inlineStr">
        <is>
          <t>CCS F&amp;G / control</t>
        </is>
      </c>
      <c r="G3303" s="12" t="inlineStr">
        <is>
          <t>JB-DCC-B-AI01</t>
        </is>
      </c>
      <c r="H3303" s="12" t="inlineStr">
        <is>
          <t>DCC-B: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711</v>
      </c>
      <c r="U3303" s="15" t="n">
        <v>128</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G-I-0177</t>
        </is>
      </c>
      <c r="B3304" s="12" t="inlineStr">
        <is>
          <t>G</t>
        </is>
      </c>
      <c r="C3304" s="12" t="inlineStr">
        <is>
          <t>Carbon capture</t>
        </is>
      </c>
      <c r="D3304" s="12" t="inlineStr">
        <is>
          <t>Discrete device to JB JB-DCC-B-DI01: 10 x 1 pr (field cables)</t>
        </is>
      </c>
      <c r="E3304" s="12" t="inlineStr">
        <is>
          <t>DCC-B</t>
        </is>
      </c>
      <c r="F3304" s="12" t="inlineStr">
        <is>
          <t>DCC-B: direct-contact cooler (quench)</t>
        </is>
      </c>
      <c r="G3304" s="12" t="inlineStr">
        <is>
          <t>JB-DCC-B-DI01</t>
        </is>
      </c>
      <c r="H3304" s="12" t="inlineStr">
        <is>
          <t>DCC-B: direct-contact cooler (quench)</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5" t="n">
        <v>118</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G-I-0178</t>
        </is>
      </c>
      <c r="B3305" s="12" t="inlineStr">
        <is>
          <t>G</t>
        </is>
      </c>
      <c r="C3305" s="12" t="inlineStr">
        <is>
          <t>Carbon capture</t>
        </is>
      </c>
      <c r="D3305" s="12" t="inlineStr">
        <is>
          <t>Home run JB-DCC-B-DI01 to the control / marshalling room</t>
        </is>
      </c>
      <c r="E3305" s="12" t="inlineStr"/>
      <c r="F3305" s="12" t="inlineStr">
        <is>
          <t>CCS F&amp;G / control</t>
        </is>
      </c>
      <c r="G3305" s="12" t="inlineStr">
        <is>
          <t>JB-DCC-B-DI01</t>
        </is>
      </c>
      <c r="H3305" s="12" t="inlineStr">
        <is>
          <t>DCC-B: direct-contact cooler (quench)</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711</v>
      </c>
      <c r="U3305" s="15" t="n">
        <v>128</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G-I-0179</t>
        </is>
      </c>
      <c r="B3306" s="12" t="inlineStr">
        <is>
          <t>G</t>
        </is>
      </c>
      <c r="C3306" s="12" t="inlineStr">
        <is>
          <t>Carbon capture</t>
        </is>
      </c>
      <c r="D3306" s="12" t="inlineStr">
        <is>
          <t>Analog instrument to JB JB-DCC-C pumps + wate-AI01: 10 x 1 pr (field cables)</t>
        </is>
      </c>
      <c r="E3306" s="12" t="inlineStr"/>
      <c r="F3306" s="12" t="inlineStr">
        <is>
          <t>DCC-C pumps + water filter</t>
        </is>
      </c>
      <c r="G3306" s="12" t="inlineStr">
        <is>
          <t>JB-DCC-C pumps + wate-AI01</t>
        </is>
      </c>
      <c r="H3306" s="12" t="inlineStr">
        <is>
          <t>DCC-C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5" t="n">
        <v>60</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G-I-0180</t>
        </is>
      </c>
      <c r="B3307" s="12" t="inlineStr">
        <is>
          <t>G</t>
        </is>
      </c>
      <c r="C3307" s="12" t="inlineStr">
        <is>
          <t>Carbon capture</t>
        </is>
      </c>
      <c r="D3307" s="12" t="inlineStr">
        <is>
          <t>Home run JB-DCC-C pumps + wate-AI01 to the control / marshalling room</t>
        </is>
      </c>
      <c r="E3307" s="12" t="inlineStr"/>
      <c r="F3307" s="12" t="inlineStr">
        <is>
          <t>CCS F&amp;G / control</t>
        </is>
      </c>
      <c r="G3307" s="12" t="inlineStr">
        <is>
          <t>JB-DCC-C pumps + wate-AI01</t>
        </is>
      </c>
      <c r="H3307" s="12" t="inlineStr">
        <is>
          <t>DCC-C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598</v>
      </c>
      <c r="U3307" s="15" t="n">
        <v>203</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G-I-0181</t>
        </is>
      </c>
      <c r="B3308" s="12" t="inlineStr">
        <is>
          <t>G</t>
        </is>
      </c>
      <c r="C3308" s="12" t="inlineStr">
        <is>
          <t>Carbon capture</t>
        </is>
      </c>
      <c r="D3308" s="12" t="inlineStr">
        <is>
          <t>Discrete device to JB JB-DCC-C pumps + wate-DI01: 10 x 1 pr (field cables)</t>
        </is>
      </c>
      <c r="E3308" s="12" t="inlineStr"/>
      <c r="F3308" s="12" t="inlineStr">
        <is>
          <t>DCC-C pumps + water filter</t>
        </is>
      </c>
      <c r="G3308" s="12" t="inlineStr">
        <is>
          <t>JB-DCC-C pumps + wate-DI01</t>
        </is>
      </c>
      <c r="H3308" s="12" t="inlineStr">
        <is>
          <t>DCC-C pumps + water filter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5" t="n">
        <v>60</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G-I-0182</t>
        </is>
      </c>
      <c r="B3309" s="12" t="inlineStr">
        <is>
          <t>G</t>
        </is>
      </c>
      <c r="C3309" s="12" t="inlineStr">
        <is>
          <t>Carbon capture</t>
        </is>
      </c>
      <c r="D3309" s="12" t="inlineStr">
        <is>
          <t>Home run JB-DCC-C pumps + wate-DI01 to the control / marshalling room</t>
        </is>
      </c>
      <c r="E3309" s="12" t="inlineStr"/>
      <c r="F3309" s="12" t="inlineStr">
        <is>
          <t>CCS F&amp;G / control</t>
        </is>
      </c>
      <c r="G3309" s="12" t="inlineStr">
        <is>
          <t>JB-DCC-C pumps + wate-DI01</t>
        </is>
      </c>
      <c r="H3309" s="12" t="inlineStr">
        <is>
          <t>DCC-C pumps + water filter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598</v>
      </c>
      <c r="U3309" s="15" t="n">
        <v>203</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G-I-0183</t>
        </is>
      </c>
      <c r="B3310" s="12" t="inlineStr">
        <is>
          <t>G</t>
        </is>
      </c>
      <c r="C3310" s="12" t="inlineStr">
        <is>
          <t>Carbon capture</t>
        </is>
      </c>
      <c r="D3310" s="12" t="inlineStr">
        <is>
          <t>Analog instrument to JB JB-DCC-C-AI01: 20 x 1 pr (field cables)</t>
        </is>
      </c>
      <c r="E3310" s="12" t="inlineStr">
        <is>
          <t>DCC-C</t>
        </is>
      </c>
      <c r="F3310" s="12" t="inlineStr">
        <is>
          <t>DCC-C: direct-contact cooler (quench)</t>
        </is>
      </c>
      <c r="G3310" s="12" t="inlineStr">
        <is>
          <t>JB-DCC-C-AI01</t>
        </is>
      </c>
      <c r="H3310" s="12" t="inlineStr">
        <is>
          <t>DCC-C: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5" t="n">
        <v>118</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G-I-0184</t>
        </is>
      </c>
      <c r="B3311" s="12" t="inlineStr">
        <is>
          <t>G</t>
        </is>
      </c>
      <c r="C3311" s="12" t="inlineStr">
        <is>
          <t>Carbon capture</t>
        </is>
      </c>
      <c r="D3311" s="12" t="inlineStr">
        <is>
          <t>Home run JB-DCC-C-AI01 to the control / marshalling room</t>
        </is>
      </c>
      <c r="E3311" s="12" t="inlineStr"/>
      <c r="F3311" s="12" t="inlineStr">
        <is>
          <t>CCS F&amp;G / control</t>
        </is>
      </c>
      <c r="G3311" s="12" t="inlineStr">
        <is>
          <t>JB-DCC-C-AI01</t>
        </is>
      </c>
      <c r="H3311" s="12" t="inlineStr">
        <is>
          <t>DCC-C: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551</v>
      </c>
      <c r="U3311" s="15" t="n">
        <v>128</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G-I-0185</t>
        </is>
      </c>
      <c r="B3312" s="12" t="inlineStr">
        <is>
          <t>G</t>
        </is>
      </c>
      <c r="C3312" s="12" t="inlineStr">
        <is>
          <t>Carbon capture</t>
        </is>
      </c>
      <c r="D3312" s="12" t="inlineStr">
        <is>
          <t>Discrete device to JB JB-DCC-C-DI01: 10 x 1 pr (field cables)</t>
        </is>
      </c>
      <c r="E3312" s="12" t="inlineStr">
        <is>
          <t>DCC-C</t>
        </is>
      </c>
      <c r="F3312" s="12" t="inlineStr">
        <is>
          <t>DCC-C: direct-contact cooler (quench)</t>
        </is>
      </c>
      <c r="G3312" s="12" t="inlineStr">
        <is>
          <t>JB-DCC-C-DI01</t>
        </is>
      </c>
      <c r="H3312" s="12" t="inlineStr">
        <is>
          <t>DCC-C: direct-contact cooler (quench)</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5" t="n">
        <v>118</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G-I-0186</t>
        </is>
      </c>
      <c r="B3313" s="12" t="inlineStr">
        <is>
          <t>G</t>
        </is>
      </c>
      <c r="C3313" s="12" t="inlineStr">
        <is>
          <t>Carbon capture</t>
        </is>
      </c>
      <c r="D3313" s="12" t="inlineStr">
        <is>
          <t>Home run JB-DCC-C-DI01 to the control / marshalling room</t>
        </is>
      </c>
      <c r="E3313" s="12" t="inlineStr"/>
      <c r="F3313" s="12" t="inlineStr">
        <is>
          <t>CCS F&amp;G / control</t>
        </is>
      </c>
      <c r="G3313" s="12" t="inlineStr">
        <is>
          <t>JB-DCC-C-DI01</t>
        </is>
      </c>
      <c r="H3313" s="12" t="inlineStr">
        <is>
          <t>DCC-C: direct-contact cooler (quench)</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551</v>
      </c>
      <c r="U3313" s="15" t="n">
        <v>128</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G-I-0187</t>
        </is>
      </c>
      <c r="B3314" s="12" t="inlineStr">
        <is>
          <t>G</t>
        </is>
      </c>
      <c r="C3314" s="12" t="inlineStr">
        <is>
          <t>Carbon capture</t>
        </is>
      </c>
      <c r="D3314" s="12" t="inlineStr">
        <is>
          <t>Analog instrument to JB JB-DMP-A-AI01: 8 x 1 pr (field cables)</t>
        </is>
      </c>
      <c r="E3314" s="12" t="inlineStr">
        <is>
          <t>DMP-A</t>
        </is>
      </c>
      <c r="F3314" s="12" t="inlineStr">
        <is>
          <t>DMP-A: diverter / bypass damper</t>
        </is>
      </c>
      <c r="G3314" s="12" t="inlineStr">
        <is>
          <t>JB-DMP-A-AI01</t>
        </is>
      </c>
      <c r="H3314" s="12" t="inlineStr">
        <is>
          <t>DMP-A: diverter / bypass damper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8</v>
      </c>
      <c r="O3314" s="12" t="n">
        <v>1</v>
      </c>
      <c r="P3314" s="12" t="n"/>
      <c r="Q3314" s="12" t="n"/>
      <c r="R3314" s="12" t="n"/>
      <c r="S3314" s="12" t="inlineStr">
        <is>
          <t>Tray / conduit</t>
        </is>
      </c>
      <c r="T3314" s="15" t="n">
        <v>74</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G-I-0188</t>
        </is>
      </c>
      <c r="B3315" s="12" t="inlineStr">
        <is>
          <t>G</t>
        </is>
      </c>
      <c r="C3315" s="12" t="inlineStr">
        <is>
          <t>Carbon capture</t>
        </is>
      </c>
      <c r="D3315" s="12" t="inlineStr">
        <is>
          <t>Home run JB-DMP-A-AI01 to the control / marshalling room</t>
        </is>
      </c>
      <c r="E3315" s="12" t="inlineStr"/>
      <c r="F3315" s="12" t="inlineStr">
        <is>
          <t>CCS F&amp;G / control</t>
        </is>
      </c>
      <c r="G3315" s="12" t="inlineStr">
        <is>
          <t>JB-DMP-A-AI01</t>
        </is>
      </c>
      <c r="H3315" s="12" t="inlineStr">
        <is>
          <t>DMP-A: diverter / bypass damper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Estimated</t>
        </is>
      </c>
      <c r="T3315" s="15" t="n">
        <v>960</v>
      </c>
      <c r="U3315" s="15" t="n">
        <v>40</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G-I-0189</t>
        </is>
      </c>
      <c r="B3316" s="12" t="inlineStr">
        <is>
          <t>G</t>
        </is>
      </c>
      <c r="C3316" s="12" t="inlineStr">
        <is>
          <t>Carbon capture</t>
        </is>
      </c>
      <c r="D3316" s="12" t="inlineStr">
        <is>
          <t>Discrete device to JB JB-DMP-A-DI01: 16 x 1 pr (field cables)</t>
        </is>
      </c>
      <c r="E3316" s="12" t="inlineStr">
        <is>
          <t>DMP-A</t>
        </is>
      </c>
      <c r="F3316" s="12" t="inlineStr">
        <is>
          <t>DMP-A: diverter / bypass damper</t>
        </is>
      </c>
      <c r="G3316" s="12" t="inlineStr">
        <is>
          <t>JB-DMP-A-DI01</t>
        </is>
      </c>
      <c r="H3316" s="12" t="inlineStr">
        <is>
          <t>DMP-A: diverter / bypass damper</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16</v>
      </c>
      <c r="O3316" s="12" t="n">
        <v>1</v>
      </c>
      <c r="P3316" s="12" t="n"/>
      <c r="Q3316" s="12" t="n"/>
      <c r="R3316" s="12" t="n"/>
      <c r="S3316" s="12" t="inlineStr">
        <is>
          <t>Tray / conduit</t>
        </is>
      </c>
      <c r="T3316" s="15" t="n">
        <v>74</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G-I-0190</t>
        </is>
      </c>
      <c r="B3317" s="12" t="inlineStr">
        <is>
          <t>G</t>
        </is>
      </c>
      <c r="C3317" s="12" t="inlineStr">
        <is>
          <t>Carbon capture</t>
        </is>
      </c>
      <c r="D3317" s="12" t="inlineStr">
        <is>
          <t>Home run JB-DMP-A-DI01 to the control / marshalling room</t>
        </is>
      </c>
      <c r="E3317" s="12" t="inlineStr"/>
      <c r="F3317" s="12" t="inlineStr">
        <is>
          <t>CCS F&amp;G / control</t>
        </is>
      </c>
      <c r="G3317" s="12" t="inlineStr">
        <is>
          <t>JB-DMP-A-DI01</t>
        </is>
      </c>
      <c r="H3317" s="12" t="inlineStr">
        <is>
          <t>DMP-A: diverter / bypass damper</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Estimated</t>
        </is>
      </c>
      <c r="T3317" s="15" t="n">
        <v>960</v>
      </c>
      <c r="U3317" s="15" t="n">
        <v>40</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G-I-0191</t>
        </is>
      </c>
      <c r="B3318" s="12" t="inlineStr">
        <is>
          <t>G</t>
        </is>
      </c>
      <c r="C3318" s="12" t="inlineStr">
        <is>
          <t>Carbon capture</t>
        </is>
      </c>
      <c r="D3318" s="12" t="inlineStr">
        <is>
          <t>Analog instrument to JB JB-DMP-B-AI01: 8 x 1 pr (field cables)</t>
        </is>
      </c>
      <c r="E3318" s="12" t="inlineStr">
        <is>
          <t>DMP-B</t>
        </is>
      </c>
      <c r="F3318" s="12" t="inlineStr">
        <is>
          <t>DMP-B: diverter / bypass damper</t>
        </is>
      </c>
      <c r="G3318" s="12" t="inlineStr">
        <is>
          <t>JB-DMP-B-AI01</t>
        </is>
      </c>
      <c r="H3318" s="12" t="inlineStr">
        <is>
          <t>DMP-B: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5" t="n">
        <v>74</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G-I-0192</t>
        </is>
      </c>
      <c r="B3319" s="12" t="inlineStr">
        <is>
          <t>G</t>
        </is>
      </c>
      <c r="C3319" s="12" t="inlineStr">
        <is>
          <t>Carbon capture</t>
        </is>
      </c>
      <c r="D3319" s="12" t="inlineStr">
        <is>
          <t>Home run JB-DMP-B-AI01 to the control / marshalling room</t>
        </is>
      </c>
      <c r="E3319" s="12" t="inlineStr"/>
      <c r="F3319" s="12" t="inlineStr">
        <is>
          <t>CCS F&amp;G / control</t>
        </is>
      </c>
      <c r="G3319" s="12" t="inlineStr">
        <is>
          <t>JB-DMP-B-AI01</t>
        </is>
      </c>
      <c r="H3319" s="12" t="inlineStr">
        <is>
          <t>DMP-B: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Estimated</t>
        </is>
      </c>
      <c r="T3319" s="15" t="n">
        <v>800</v>
      </c>
      <c r="U3319" s="15" t="n">
        <v>40</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G-I-0193</t>
        </is>
      </c>
      <c r="B3320" s="12" t="inlineStr">
        <is>
          <t>G</t>
        </is>
      </c>
      <c r="C3320" s="12" t="inlineStr">
        <is>
          <t>Carbon capture</t>
        </is>
      </c>
      <c r="D3320" s="12" t="inlineStr">
        <is>
          <t>Discrete device to JB JB-DMP-B-DI01: 16 x 1 pr (field cables)</t>
        </is>
      </c>
      <c r="E3320" s="12" t="inlineStr">
        <is>
          <t>DMP-B</t>
        </is>
      </c>
      <c r="F3320" s="12" t="inlineStr">
        <is>
          <t>DMP-B: diverter / bypass damper</t>
        </is>
      </c>
      <c r="G3320" s="12" t="inlineStr">
        <is>
          <t>JB-DMP-B-DI01</t>
        </is>
      </c>
      <c r="H3320" s="12" t="inlineStr">
        <is>
          <t>DMP-B: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5" t="n">
        <v>74</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G-I-0194</t>
        </is>
      </c>
      <c r="B3321" s="12" t="inlineStr">
        <is>
          <t>G</t>
        </is>
      </c>
      <c r="C3321" s="12" t="inlineStr">
        <is>
          <t>Carbon capture</t>
        </is>
      </c>
      <c r="D3321" s="12" t="inlineStr">
        <is>
          <t>Home run JB-DMP-B-DI01 to the control / marshalling room</t>
        </is>
      </c>
      <c r="E3321" s="12" t="inlineStr"/>
      <c r="F3321" s="12" t="inlineStr">
        <is>
          <t>CCS F&amp;G / control</t>
        </is>
      </c>
      <c r="G3321" s="12" t="inlineStr">
        <is>
          <t>JB-DMP-B-DI01</t>
        </is>
      </c>
      <c r="H3321" s="12" t="inlineStr">
        <is>
          <t>DMP-B: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Estimated</t>
        </is>
      </c>
      <c r="T3321" s="15" t="n">
        <v>800</v>
      </c>
      <c r="U3321" s="15" t="n">
        <v>40</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G-I-0195</t>
        </is>
      </c>
      <c r="B3322" s="12" t="inlineStr">
        <is>
          <t>G</t>
        </is>
      </c>
      <c r="C3322" s="12" t="inlineStr">
        <is>
          <t>Carbon capture</t>
        </is>
      </c>
      <c r="D3322" s="12" t="inlineStr">
        <is>
          <t>Analog instrument to JB JB-DMP-C-AI01: 8 x 1 pr (field cables)</t>
        </is>
      </c>
      <c r="E3322" s="12" t="inlineStr">
        <is>
          <t>DMP-C</t>
        </is>
      </c>
      <c r="F3322" s="12" t="inlineStr">
        <is>
          <t>DMP-C: diverter / bypass damper</t>
        </is>
      </c>
      <c r="G3322" s="12" t="inlineStr">
        <is>
          <t>JB-DMP-C-AI01</t>
        </is>
      </c>
      <c r="H3322" s="12" t="inlineStr">
        <is>
          <t>DMP-C: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5" t="n">
        <v>74</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G-I-0196</t>
        </is>
      </c>
      <c r="B3323" s="12" t="inlineStr">
        <is>
          <t>G</t>
        </is>
      </c>
      <c r="C3323" s="12" t="inlineStr">
        <is>
          <t>Carbon capture</t>
        </is>
      </c>
      <c r="D3323" s="12" t="inlineStr">
        <is>
          <t>Home run JB-DMP-C-AI01 to the control / marshalling room</t>
        </is>
      </c>
      <c r="E3323" s="12" t="inlineStr"/>
      <c r="F3323" s="12" t="inlineStr">
        <is>
          <t>CCS F&amp;G / control</t>
        </is>
      </c>
      <c r="G3323" s="12" t="inlineStr">
        <is>
          <t>JB-DMP-C-AI01</t>
        </is>
      </c>
      <c r="H3323" s="12" t="inlineStr">
        <is>
          <t>DMP-C: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Estimated</t>
        </is>
      </c>
      <c r="T3323" s="15" t="n">
        <v>640</v>
      </c>
      <c r="U3323" s="15" t="n">
        <v>40</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G-I-0197</t>
        </is>
      </c>
      <c r="B3324" s="12" t="inlineStr">
        <is>
          <t>G</t>
        </is>
      </c>
      <c r="C3324" s="12" t="inlineStr">
        <is>
          <t>Carbon capture</t>
        </is>
      </c>
      <c r="D3324" s="12" t="inlineStr">
        <is>
          <t>Discrete device to JB JB-DMP-C-DI01: 16 x 1 pr (field cables)</t>
        </is>
      </c>
      <c r="E3324" s="12" t="inlineStr">
        <is>
          <t>DMP-C</t>
        </is>
      </c>
      <c r="F3324" s="12" t="inlineStr">
        <is>
          <t>DMP-C: diverter / bypass damper</t>
        </is>
      </c>
      <c r="G3324" s="12" t="inlineStr">
        <is>
          <t>JB-DMP-C-DI01</t>
        </is>
      </c>
      <c r="H3324" s="12" t="inlineStr">
        <is>
          <t>DMP-C: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5" t="n">
        <v>74</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G-I-0198</t>
        </is>
      </c>
      <c r="B3325" s="12" t="inlineStr">
        <is>
          <t>G</t>
        </is>
      </c>
      <c r="C3325" s="12" t="inlineStr">
        <is>
          <t>Carbon capture</t>
        </is>
      </c>
      <c r="D3325" s="12" t="inlineStr">
        <is>
          <t>Home run JB-DMP-C-DI01 to the control / marshalling room</t>
        </is>
      </c>
      <c r="E3325" s="12" t="inlineStr"/>
      <c r="F3325" s="12" t="inlineStr">
        <is>
          <t>CCS F&amp;G / control</t>
        </is>
      </c>
      <c r="G3325" s="12" t="inlineStr">
        <is>
          <t>JB-DMP-C-DI01</t>
        </is>
      </c>
      <c r="H3325" s="12" t="inlineStr">
        <is>
          <t>DMP-C: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Estimated</t>
        </is>
      </c>
      <c r="T3325" s="15" t="n">
        <v>640</v>
      </c>
      <c r="U3325" s="15" t="n">
        <v>40</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G-I-0199</t>
        </is>
      </c>
      <c r="B3326" s="12" t="inlineStr">
        <is>
          <t>G</t>
        </is>
      </c>
      <c r="C3326" s="12" t="inlineStr">
        <is>
          <t>Carbon capture</t>
        </is>
      </c>
      <c r="D3326" s="12" t="inlineStr">
        <is>
          <t>Analog instrument to JB JB-RB-A: reboiler (LP-AI01: 15 x 1 pr (field cables)</t>
        </is>
      </c>
      <c r="E3326" s="12" t="inlineStr"/>
      <c r="F3326" s="12" t="inlineStr">
        <is>
          <t>RB-A: reboiler (LP steam from ST extraction)</t>
        </is>
      </c>
      <c r="G3326" s="12" t="inlineStr">
        <is>
          <t>JB-RB-A: reboiler (LP-AI01</t>
        </is>
      </c>
      <c r="H3326" s="12" t="inlineStr">
        <is>
          <t>RB-A: reboiler (LP steam from ST extraction)</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15</v>
      </c>
      <c r="O3326" s="12" t="n">
        <v>1</v>
      </c>
      <c r="P3326" s="12" t="n"/>
      <c r="Q3326" s="12" t="n"/>
      <c r="R3326" s="12" t="n"/>
      <c r="S3326" s="12" t="inlineStr">
        <is>
          <t>Tray / conduit</t>
        </is>
      </c>
      <c r="T3326" s="15" t="n">
        <v>80</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G-I-0200</t>
        </is>
      </c>
      <c r="B3327" s="12" t="inlineStr">
        <is>
          <t>G</t>
        </is>
      </c>
      <c r="C3327" s="12" t="inlineStr">
        <is>
          <t>Carbon capture</t>
        </is>
      </c>
      <c r="D3327" s="12" t="inlineStr">
        <is>
          <t>Home run JB-RB-A: reboiler (LP-AI01 to the control / marshalling room</t>
        </is>
      </c>
      <c r="E3327" s="12" t="inlineStr"/>
      <c r="F3327" s="12" t="inlineStr">
        <is>
          <t>CCS F&amp;G / control</t>
        </is>
      </c>
      <c r="G3327" s="12" t="inlineStr">
        <is>
          <t>JB-RB-A: reboiler (LP-AI01</t>
        </is>
      </c>
      <c r="H3327" s="12" t="inlineStr">
        <is>
          <t>RB-A: reboiler (LP steam from ST extraction)</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266</v>
      </c>
      <c r="U3327" s="15" t="n">
        <v>111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G-I-0201</t>
        </is>
      </c>
      <c r="B3328" s="12" t="inlineStr">
        <is>
          <t>G</t>
        </is>
      </c>
      <c r="C3328" s="12" t="inlineStr">
        <is>
          <t>Carbon capture</t>
        </is>
      </c>
      <c r="D3328" s="12" t="inlineStr">
        <is>
          <t>Discrete device to JB JB-RB-A: reboiler (LP-DI01: 10 x 1 pr (field cables)</t>
        </is>
      </c>
      <c r="E3328" s="12" t="inlineStr"/>
      <c r="F3328" s="12" t="inlineStr">
        <is>
          <t>RB-A: reboiler (LP steam from ST extraction)</t>
        </is>
      </c>
      <c r="G3328" s="12" t="inlineStr">
        <is>
          <t>JB-RB-A: reboiler (LP-DI01</t>
        </is>
      </c>
      <c r="H3328" s="12" t="inlineStr">
        <is>
          <t>RB-A: reboiler (LP steam from ST extraction)</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80</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G-I-0202</t>
        </is>
      </c>
      <c r="B3329" s="12" t="inlineStr">
        <is>
          <t>G</t>
        </is>
      </c>
      <c r="C3329" s="12" t="inlineStr">
        <is>
          <t>Carbon capture</t>
        </is>
      </c>
      <c r="D3329" s="12" t="inlineStr">
        <is>
          <t>Home run JB-RB-A: reboiler (LP-DI01 to the control / marshalling room</t>
        </is>
      </c>
      <c r="E3329" s="12" t="inlineStr"/>
      <c r="F3329" s="12" t="inlineStr">
        <is>
          <t>CCS F&amp;G / control</t>
        </is>
      </c>
      <c r="G3329" s="12" t="inlineStr">
        <is>
          <t>JB-RB-A: reboiler (LP-DI01</t>
        </is>
      </c>
      <c r="H3329" s="12" t="inlineStr">
        <is>
          <t>RB-A: reboiler (LP steam from ST extraction)</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266</v>
      </c>
      <c r="U3329" s="15" t="n">
        <v>111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G-I-0203</t>
        </is>
      </c>
      <c r="B3330" s="12" t="inlineStr">
        <is>
          <t>G</t>
        </is>
      </c>
      <c r="C3330" s="12" t="inlineStr">
        <is>
          <t>Carbon capture</t>
        </is>
      </c>
      <c r="D3330" s="12" t="inlineStr">
        <is>
          <t>Analog instrument to JB JB-RB-B: reboiler (LP-AI01: 15 x 1 pr (field cables)</t>
        </is>
      </c>
      <c r="E3330" s="12" t="inlineStr"/>
      <c r="F3330" s="12" t="inlineStr">
        <is>
          <t>RB-B: reboiler (LP steam from ST extraction)</t>
        </is>
      </c>
      <c r="G3330" s="12" t="inlineStr">
        <is>
          <t>JB-RB-B: reboiler (LP-AI01</t>
        </is>
      </c>
      <c r="H3330" s="12" t="inlineStr">
        <is>
          <t>RB-B: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5" t="n">
        <v>80</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G-I-0204</t>
        </is>
      </c>
      <c r="B3331" s="12" t="inlineStr">
        <is>
          <t>G</t>
        </is>
      </c>
      <c r="C3331" s="12" t="inlineStr">
        <is>
          <t>Carbon capture</t>
        </is>
      </c>
      <c r="D3331" s="12" t="inlineStr">
        <is>
          <t>Home run JB-RB-B: reboiler (LP-AI01 to the control / marshalling room</t>
        </is>
      </c>
      <c r="E3331" s="12" t="inlineStr"/>
      <c r="F3331" s="12" t="inlineStr">
        <is>
          <t>CCS F&amp;G / control</t>
        </is>
      </c>
      <c r="G3331" s="12" t="inlineStr">
        <is>
          <t>JB-RB-B: reboiler (LP-AI01</t>
        </is>
      </c>
      <c r="H3331" s="12" t="inlineStr">
        <is>
          <t>RB-B: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216</v>
      </c>
      <c r="U3331" s="15" t="n">
        <v>111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G-I-0205</t>
        </is>
      </c>
      <c r="B3332" s="12" t="inlineStr">
        <is>
          <t>G</t>
        </is>
      </c>
      <c r="C3332" s="12" t="inlineStr">
        <is>
          <t>Carbon capture</t>
        </is>
      </c>
      <c r="D3332" s="12" t="inlineStr">
        <is>
          <t>Discrete device to JB JB-RB-B: reboiler (LP-DI01: 10 x 1 pr (field cables)</t>
        </is>
      </c>
      <c r="E3332" s="12" t="inlineStr"/>
      <c r="F3332" s="12" t="inlineStr">
        <is>
          <t>RB-B: reboiler (LP steam from ST extraction)</t>
        </is>
      </c>
      <c r="G3332" s="12" t="inlineStr">
        <is>
          <t>JB-RB-B: reboiler (LP-DI01</t>
        </is>
      </c>
      <c r="H3332" s="12" t="inlineStr">
        <is>
          <t>RB-B: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5" t="n">
        <v>80</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G-I-0206</t>
        </is>
      </c>
      <c r="B3333" s="12" t="inlineStr">
        <is>
          <t>G</t>
        </is>
      </c>
      <c r="C3333" s="12" t="inlineStr">
        <is>
          <t>Carbon capture</t>
        </is>
      </c>
      <c r="D3333" s="12" t="inlineStr">
        <is>
          <t>Home run JB-RB-B: reboiler (LP-DI01 to the control / marshalling room</t>
        </is>
      </c>
      <c r="E3333" s="12" t="inlineStr"/>
      <c r="F3333" s="12" t="inlineStr">
        <is>
          <t>CCS F&amp;G / control</t>
        </is>
      </c>
      <c r="G3333" s="12" t="inlineStr">
        <is>
          <t>JB-RB-B: reboiler (LP-DI01</t>
        </is>
      </c>
      <c r="H3333" s="12" t="inlineStr">
        <is>
          <t>RB-B: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5" t="n">
        <v>216</v>
      </c>
      <c r="U3333" s="15" t="n">
        <v>111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G-I-0207</t>
        </is>
      </c>
      <c r="B3334" s="12" t="inlineStr">
        <is>
          <t>G</t>
        </is>
      </c>
      <c r="C3334" s="12" t="inlineStr">
        <is>
          <t>Carbon capture</t>
        </is>
      </c>
      <c r="D3334" s="12" t="inlineStr">
        <is>
          <t>Analog instrument to JB JB-RB-C: reboiler (LP-AI01: 15 x 1 pr (field cables)</t>
        </is>
      </c>
      <c r="E3334" s="12" t="inlineStr"/>
      <c r="F3334" s="12" t="inlineStr">
        <is>
          <t>RB-C: reboiler (LP steam from ST extraction)</t>
        </is>
      </c>
      <c r="G3334" s="12" t="inlineStr">
        <is>
          <t>JB-RB-C: reboiler (LP-AI01</t>
        </is>
      </c>
      <c r="H3334" s="12" t="inlineStr">
        <is>
          <t>RB-C: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5" t="n">
        <v>80</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G-I-0208</t>
        </is>
      </c>
      <c r="B3335" s="12" t="inlineStr">
        <is>
          <t>G</t>
        </is>
      </c>
      <c r="C3335" s="12" t="inlineStr">
        <is>
          <t>Carbon capture</t>
        </is>
      </c>
      <c r="D3335" s="12" t="inlineStr">
        <is>
          <t>Home run JB-RB-C: reboiler (LP-AI01 to the control / marshalling room</t>
        </is>
      </c>
      <c r="E3335" s="12" t="inlineStr"/>
      <c r="F3335" s="12" t="inlineStr">
        <is>
          <t>CCS F&amp;G / control</t>
        </is>
      </c>
      <c r="G3335" s="12" t="inlineStr">
        <is>
          <t>JB-RB-C: reboiler (LP-AI01</t>
        </is>
      </c>
      <c r="H3335" s="12" t="inlineStr">
        <is>
          <t>RB-C: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5" t="n">
        <v>161</v>
      </c>
      <c r="U3335" s="15" t="n">
        <v>116</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G-I-0209</t>
        </is>
      </c>
      <c r="B3336" s="12" t="inlineStr">
        <is>
          <t>G</t>
        </is>
      </c>
      <c r="C3336" s="12" t="inlineStr">
        <is>
          <t>Carbon capture</t>
        </is>
      </c>
      <c r="D3336" s="12" t="inlineStr">
        <is>
          <t>Discrete device to JB JB-RB-C: reboiler (LP-DI01: 10 x 1 pr (field cables)</t>
        </is>
      </c>
      <c r="E3336" s="12" t="inlineStr"/>
      <c r="F3336" s="12" t="inlineStr">
        <is>
          <t>RB-C: reboiler (LP steam from ST extraction)</t>
        </is>
      </c>
      <c r="G3336" s="12" t="inlineStr">
        <is>
          <t>JB-RB-C: reboiler (LP-DI01</t>
        </is>
      </c>
      <c r="H3336" s="12" t="inlineStr">
        <is>
          <t>RB-C: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5" t="n">
        <v>80</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G-I-0210</t>
        </is>
      </c>
      <c r="B3337" s="12" t="inlineStr">
        <is>
          <t>G</t>
        </is>
      </c>
      <c r="C3337" s="12" t="inlineStr">
        <is>
          <t>Carbon capture</t>
        </is>
      </c>
      <c r="D3337" s="12" t="inlineStr">
        <is>
          <t>Home run JB-RB-C: reboiler (LP-DI01 to the control / marshalling room</t>
        </is>
      </c>
      <c r="E3337" s="12" t="inlineStr"/>
      <c r="F3337" s="12" t="inlineStr">
        <is>
          <t>CCS F&amp;G / control</t>
        </is>
      </c>
      <c r="G3337" s="12" t="inlineStr">
        <is>
          <t>JB-RB-C: reboiler (LP-DI01</t>
        </is>
      </c>
      <c r="H3337" s="12" t="inlineStr">
        <is>
          <t>RB-C: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161</v>
      </c>
      <c r="U3337" s="15" t="n">
        <v>116</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G-I-0211</t>
        </is>
      </c>
      <c r="B3338" s="12" t="inlineStr">
        <is>
          <t>G</t>
        </is>
      </c>
      <c r="C3338" s="12" t="inlineStr">
        <is>
          <t>Carbon capture</t>
        </is>
      </c>
      <c r="D3338" s="12" t="inlineStr">
        <is>
          <t>Analog instrument to JB JB-Reclaimer (thermal-AI01: 15 x 1 pr (field cables)</t>
        </is>
      </c>
      <c r="E3338" s="12" t="inlineStr"/>
      <c r="F3338" s="12" t="inlineStr">
        <is>
          <t>Reclaimer (thermal, intermittent)</t>
        </is>
      </c>
      <c r="G3338" s="12" t="inlineStr">
        <is>
          <t>JB-Reclaimer (thermal-AI01</t>
        </is>
      </c>
      <c r="H3338" s="12" t="inlineStr">
        <is>
          <t>Reclaimer (thermal, intermittent)</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G-I-0212</t>
        </is>
      </c>
      <c r="B3339" s="12" t="inlineStr">
        <is>
          <t>G</t>
        </is>
      </c>
      <c r="C3339" s="12" t="inlineStr">
        <is>
          <t>Carbon capture</t>
        </is>
      </c>
      <c r="D3339" s="12" t="inlineStr">
        <is>
          <t>Home run JB-Reclaimer (thermal-AI01 to the control / marshalling room</t>
        </is>
      </c>
      <c r="E3339" s="12" t="inlineStr"/>
      <c r="F3339" s="12" t="inlineStr">
        <is>
          <t>CCS F&amp;G / control</t>
        </is>
      </c>
      <c r="G3339" s="12" t="inlineStr">
        <is>
          <t>JB-Reclaimer (thermal-AI01</t>
        </is>
      </c>
      <c r="H3339" s="12" t="inlineStr">
        <is>
          <t>Reclaimer (thermal, intermittent)</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130</v>
      </c>
      <c r="U3339" s="15" t="n">
        <v>102</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G-I-0213</t>
        </is>
      </c>
      <c r="B3340" s="12" t="inlineStr">
        <is>
          <t>G</t>
        </is>
      </c>
      <c r="C3340" s="12" t="inlineStr">
        <is>
          <t>Carbon capture</t>
        </is>
      </c>
      <c r="D3340" s="12" t="inlineStr">
        <is>
          <t>Discrete device to JB JB-Reclaimer (thermal-DI01: 10 x 1 pr (field cables)</t>
        </is>
      </c>
      <c r="E3340" s="12" t="inlineStr"/>
      <c r="F3340" s="12" t="inlineStr">
        <is>
          <t>Reclaimer (thermal, intermittent)</t>
        </is>
      </c>
      <c r="G3340" s="12" t="inlineStr">
        <is>
          <t>JB-Reclaimer (thermal-DI01</t>
        </is>
      </c>
      <c r="H3340" s="12" t="inlineStr">
        <is>
          <t>Reclaimer (thermal, intermittent)</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G-I-0214</t>
        </is>
      </c>
      <c r="B3341" s="12" t="inlineStr">
        <is>
          <t>G</t>
        </is>
      </c>
      <c r="C3341" s="12" t="inlineStr">
        <is>
          <t>Carbon capture</t>
        </is>
      </c>
      <c r="D3341" s="12" t="inlineStr">
        <is>
          <t>Home run JB-Reclaimer (thermal-DI01 to the control / marshalling room</t>
        </is>
      </c>
      <c r="E3341" s="12" t="inlineStr"/>
      <c r="F3341" s="12" t="inlineStr">
        <is>
          <t>CCS F&amp;G / control</t>
        </is>
      </c>
      <c r="G3341" s="12" t="inlineStr">
        <is>
          <t>JB-Reclaimer (thermal-DI01</t>
        </is>
      </c>
      <c r="H3341" s="12" t="inlineStr">
        <is>
          <t>Reclaimer (thermal, intermittent)</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130</v>
      </c>
      <c r="U3341" s="15" t="n">
        <v>102</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G-I-0215</t>
        </is>
      </c>
      <c r="B3342" s="12" t="inlineStr">
        <is>
          <t>G</t>
        </is>
      </c>
      <c r="C3342" s="12" t="inlineStr">
        <is>
          <t>Carbon capture</t>
        </is>
      </c>
      <c r="D3342" s="12" t="inlineStr">
        <is>
          <t>Analog instrument to JB JB-Rich/lean pumps, c-AI01: 20 x 1 pr (field cables)</t>
        </is>
      </c>
      <c r="E3342" s="12" t="inlineStr"/>
      <c r="F3342" s="12" t="inlineStr">
        <is>
          <t>Rich/lean pumps, cross exchanger, lean cooler A</t>
        </is>
      </c>
      <c r="G3342" s="12" t="inlineStr">
        <is>
          <t>JB-Rich/lean pumps, c-AI01</t>
        </is>
      </c>
      <c r="H3342" s="12" t="inlineStr">
        <is>
          <t>Rich/lean pumps, cross exchanger, lean cooler A</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5" t="n">
        <v>84</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G-I-0216</t>
        </is>
      </c>
      <c r="B3343" s="12" t="inlineStr">
        <is>
          <t>G</t>
        </is>
      </c>
      <c r="C3343" s="12" t="inlineStr">
        <is>
          <t>Carbon capture</t>
        </is>
      </c>
      <c r="D3343" s="12" t="inlineStr">
        <is>
          <t>Home run JB-Rich/lean pumps, c-AI01 to the control / marshalling room</t>
        </is>
      </c>
      <c r="E3343" s="12" t="inlineStr"/>
      <c r="F3343" s="12" t="inlineStr">
        <is>
          <t>CCS F&amp;G / control</t>
        </is>
      </c>
      <c r="G3343" s="12" t="inlineStr">
        <is>
          <t>JB-Rich/lean pumps, c-AI01</t>
        </is>
      </c>
      <c r="H3343" s="12" t="inlineStr">
        <is>
          <t>Rich/lean pumps, cross exchanger, lean cooler A</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5" t="n">
        <v>868</v>
      </c>
      <c r="U3343" s="15" t="n">
        <v>151</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G-I-0217</t>
        </is>
      </c>
      <c r="B3344" s="12" t="inlineStr">
        <is>
          <t>G</t>
        </is>
      </c>
      <c r="C3344" s="12" t="inlineStr">
        <is>
          <t>Carbon capture</t>
        </is>
      </c>
      <c r="D3344" s="12" t="inlineStr">
        <is>
          <t>Discrete device to JB JB-Rich/lean pumps, c-DI01: 20 x 1 pr (field cables)</t>
        </is>
      </c>
      <c r="E3344" s="12" t="inlineStr"/>
      <c r="F3344" s="12" t="inlineStr">
        <is>
          <t>Rich/lean pumps, cross exchanger, lean cooler A</t>
        </is>
      </c>
      <c r="G3344" s="12" t="inlineStr">
        <is>
          <t>JB-Rich/lean pumps, c-DI01</t>
        </is>
      </c>
      <c r="H3344" s="12" t="inlineStr">
        <is>
          <t>Rich/lean pumps, cross exchanger, lean cooler A</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5" t="n">
        <v>84</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G-I-0218</t>
        </is>
      </c>
      <c r="B3345" s="12" t="inlineStr">
        <is>
          <t>G</t>
        </is>
      </c>
      <c r="C3345" s="12" t="inlineStr">
        <is>
          <t>Carbon capture</t>
        </is>
      </c>
      <c r="D3345" s="12" t="inlineStr">
        <is>
          <t>Home run JB-Rich/lean pumps, c-DI01 to the control / marshalling room</t>
        </is>
      </c>
      <c r="E3345" s="12" t="inlineStr"/>
      <c r="F3345" s="12" t="inlineStr">
        <is>
          <t>CCS F&amp;G / control</t>
        </is>
      </c>
      <c r="G3345" s="12" t="inlineStr">
        <is>
          <t>JB-Rich/lean pumps, c-DI01</t>
        </is>
      </c>
      <c r="H3345" s="12" t="inlineStr">
        <is>
          <t>Rich/lean pumps, cross exchanger, lean cooler A</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Tray</t>
        </is>
      </c>
      <c r="T3345" s="15" t="n">
        <v>868</v>
      </c>
      <c r="U3345" s="15" t="n">
        <v>151</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G-I-0219</t>
        </is>
      </c>
      <c r="B3346" s="12" t="inlineStr">
        <is>
          <t>G</t>
        </is>
      </c>
      <c r="C3346" s="12" t="inlineStr">
        <is>
          <t>Carbon capture</t>
        </is>
      </c>
      <c r="D3346" s="12" t="inlineStr">
        <is>
          <t>RTD to JB JB-Rich/lean pumps, c-RTD01: 10 x 1 tri (field cables)</t>
        </is>
      </c>
      <c r="E3346" s="12" t="inlineStr"/>
      <c r="F3346" s="12" t="inlineStr">
        <is>
          <t>Rich/lean pumps, cross exchanger, lean cooler A</t>
        </is>
      </c>
      <c r="G3346" s="12" t="inlineStr">
        <is>
          <t>JB-Rich/lean pumps, c-RTD01</t>
        </is>
      </c>
      <c r="H3346" s="12" t="inlineStr">
        <is>
          <t>Rich/lean pumps, cross exchanger, lean cooler A</t>
        </is>
      </c>
      <c r="I3346" s="12" t="inlineStr">
        <is>
          <t>Instrumentation</t>
        </is>
      </c>
      <c r="J3346" s="12" t="inlineStr">
        <is>
          <t>RTD cable, #18 shielded triads, PLTC</t>
        </is>
      </c>
      <c r="K3346" s="12" t="inlineStr">
        <is>
          <t>RTD|1 tri|18</t>
        </is>
      </c>
      <c r="L3346" s="12" t="inlineStr">
        <is>
          <t>1 tri</t>
        </is>
      </c>
      <c r="M3346" s="12" t="inlineStr">
        <is>
          <t>18</t>
        </is>
      </c>
      <c r="N3346" s="12" t="n">
        <v>10</v>
      </c>
      <c r="O3346" s="12" t="n">
        <v>1</v>
      </c>
      <c r="P3346" s="12" t="n"/>
      <c r="Q3346" s="12" t="n"/>
      <c r="R3346" s="12" t="n"/>
      <c r="S3346" s="12" t="inlineStr">
        <is>
          <t>Tray / conduit</t>
        </is>
      </c>
      <c r="T3346" s="15" t="n">
        <v>84</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G-I-0220</t>
        </is>
      </c>
      <c r="B3347" s="12" t="inlineStr">
        <is>
          <t>G</t>
        </is>
      </c>
      <c r="C3347" s="12" t="inlineStr">
        <is>
          <t>Carbon capture</t>
        </is>
      </c>
      <c r="D3347" s="12" t="inlineStr">
        <is>
          <t>Home run JB-Rich/lean pumps, c-RTD01 to the control / marshalling room</t>
        </is>
      </c>
      <c r="E3347" s="12" t="inlineStr"/>
      <c r="F3347" s="12" t="inlineStr">
        <is>
          <t>CCS F&amp;G / control</t>
        </is>
      </c>
      <c r="G3347" s="12" t="inlineStr">
        <is>
          <t>JB-Rich/lean pumps, c-RTD01</t>
        </is>
      </c>
      <c r="H3347" s="12" t="inlineStr">
        <is>
          <t>Rich/lean pumps, cross exchanger, lean cooler A</t>
        </is>
      </c>
      <c r="I3347" s="12" t="inlineStr">
        <is>
          <t>Instrumentation</t>
        </is>
      </c>
      <c r="J3347" s="12" t="inlineStr">
        <is>
          <t>RTD cable, #18 shielded triads, PLTC</t>
        </is>
      </c>
      <c r="K3347" s="12" t="inlineStr">
        <is>
          <t>RTD|12 tri|18</t>
        </is>
      </c>
      <c r="L3347" s="12" t="inlineStr">
        <is>
          <t>12 tri</t>
        </is>
      </c>
      <c r="M3347" s="12" t="inlineStr">
        <is>
          <t>18</t>
        </is>
      </c>
      <c r="N3347" s="12" t="n">
        <v>1</v>
      </c>
      <c r="O3347" s="12" t="n">
        <v>1</v>
      </c>
      <c r="P3347" s="12" t="n"/>
      <c r="Q3347" s="12" t="n"/>
      <c r="R3347" s="12" t="n"/>
      <c r="S3347" s="12" t="inlineStr">
        <is>
          <t>Tray</t>
        </is>
      </c>
      <c r="T3347" s="15" t="n">
        <v>868</v>
      </c>
      <c r="U3347" s="15" t="n">
        <v>151</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G-I-0221</t>
        </is>
      </c>
      <c r="B3348" s="12" t="inlineStr">
        <is>
          <t>G</t>
        </is>
      </c>
      <c r="C3348" s="12" t="inlineStr">
        <is>
          <t>Carbon capture</t>
        </is>
      </c>
      <c r="D3348" s="12" t="inlineStr">
        <is>
          <t>RTD to JB JB-Rich/lean pumps, c-RTD02: 2 x 1 tri (field cables)</t>
        </is>
      </c>
      <c r="E3348" s="12" t="inlineStr"/>
      <c r="F3348" s="12" t="inlineStr">
        <is>
          <t>Rich/lean pumps, cross exchanger, lean cooler A</t>
        </is>
      </c>
      <c r="G3348" s="12" t="inlineStr">
        <is>
          <t>JB-Rich/lean pumps, c-RTD02</t>
        </is>
      </c>
      <c r="H3348" s="12" t="inlineStr">
        <is>
          <t>Rich/lean pumps, cross exchanger, lean cooler A</t>
        </is>
      </c>
      <c r="I3348" s="12" t="inlineStr">
        <is>
          <t>Instrumentation</t>
        </is>
      </c>
      <c r="J3348" s="12" t="inlineStr">
        <is>
          <t>RTD cable, #18 shielded triads, PLTC</t>
        </is>
      </c>
      <c r="K3348" s="12" t="inlineStr">
        <is>
          <t>RTD|1 tri|18</t>
        </is>
      </c>
      <c r="L3348" s="12" t="inlineStr">
        <is>
          <t>1 tri</t>
        </is>
      </c>
      <c r="M3348" s="12" t="inlineStr">
        <is>
          <t>18</t>
        </is>
      </c>
      <c r="N3348" s="12" t="n">
        <v>2</v>
      </c>
      <c r="O3348" s="12" t="n">
        <v>1</v>
      </c>
      <c r="P3348" s="12" t="n"/>
      <c r="Q3348" s="12" t="n"/>
      <c r="R3348" s="12" t="n"/>
      <c r="S3348" s="12" t="inlineStr">
        <is>
          <t>Tray / conduit</t>
        </is>
      </c>
      <c r="T3348" s="15" t="n">
        <v>84</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G-I-0222</t>
        </is>
      </c>
      <c r="B3349" s="12" t="inlineStr">
        <is>
          <t>G</t>
        </is>
      </c>
      <c r="C3349" s="12" t="inlineStr">
        <is>
          <t>Carbon capture</t>
        </is>
      </c>
      <c r="D3349" s="12" t="inlineStr">
        <is>
          <t>Home run JB-Rich/lean pumps, c-RTD02 to the control / marshalling room</t>
        </is>
      </c>
      <c r="E3349" s="12" t="inlineStr"/>
      <c r="F3349" s="12" t="inlineStr">
        <is>
          <t>CCS F&amp;G / control</t>
        </is>
      </c>
      <c r="G3349" s="12" t="inlineStr">
        <is>
          <t>JB-Rich/lean pumps, c-RTD02</t>
        </is>
      </c>
      <c r="H3349" s="12" t="inlineStr">
        <is>
          <t>Rich/lean pumps, cross exchanger, lean cooler A</t>
        </is>
      </c>
      <c r="I3349" s="12" t="inlineStr">
        <is>
          <t>Instrumentation</t>
        </is>
      </c>
      <c r="J3349" s="12" t="inlineStr">
        <is>
          <t>RTD cable, #18 shielded triads, PLTC</t>
        </is>
      </c>
      <c r="K3349" s="12" t="inlineStr">
        <is>
          <t>RTD|12 tri|18</t>
        </is>
      </c>
      <c r="L3349" s="12" t="inlineStr">
        <is>
          <t>12 tri</t>
        </is>
      </c>
      <c r="M3349" s="12" t="inlineStr">
        <is>
          <t>18</t>
        </is>
      </c>
      <c r="N3349" s="12" t="n">
        <v>1</v>
      </c>
      <c r="O3349" s="12" t="n">
        <v>1</v>
      </c>
      <c r="P3349" s="12" t="n"/>
      <c r="Q3349" s="12" t="n"/>
      <c r="R3349" s="12" t="n"/>
      <c r="S3349" s="12" t="inlineStr">
        <is>
          <t>Tray</t>
        </is>
      </c>
      <c r="T3349" s="15" t="n">
        <v>868</v>
      </c>
      <c r="U3349" s="15" t="n">
        <v>151</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G-I-0223</t>
        </is>
      </c>
      <c r="B3350" s="12" t="inlineStr">
        <is>
          <t>G</t>
        </is>
      </c>
      <c r="C3350" s="12" t="inlineStr">
        <is>
          <t>Carbon capture</t>
        </is>
      </c>
      <c r="D3350" s="12" t="inlineStr">
        <is>
          <t>Analog instrument to JB JB-Rich/lean pumps, c-AI01: 20 x 1 pr (field cables)</t>
        </is>
      </c>
      <c r="E3350" s="12" t="inlineStr"/>
      <c r="F3350" s="12" t="inlineStr">
        <is>
          <t>Rich/lean pumps, cross exchanger, lean cooler B</t>
        </is>
      </c>
      <c r="G3350" s="12" t="inlineStr">
        <is>
          <t>JB-Rich/lean pumps, c-AI01</t>
        </is>
      </c>
      <c r="H3350" s="12" t="inlineStr">
        <is>
          <t>Rich/lean pumps, cross exchanger, lean cooler B</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5" t="n">
        <v>84</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G-I-0224</t>
        </is>
      </c>
      <c r="B3351" s="12" t="inlineStr">
        <is>
          <t>G</t>
        </is>
      </c>
      <c r="C3351" s="12" t="inlineStr">
        <is>
          <t>Carbon capture</t>
        </is>
      </c>
      <c r="D3351" s="12" t="inlineStr">
        <is>
          <t>Home run JB-Rich/lean pumps, c-AI01 to the control / marshalling room</t>
        </is>
      </c>
      <c r="E3351" s="12" t="inlineStr"/>
      <c r="F3351" s="12" t="inlineStr">
        <is>
          <t>CCS F&amp;G / control</t>
        </is>
      </c>
      <c r="G3351" s="12" t="inlineStr">
        <is>
          <t>JB-Rich/lean pumps, c-AI01</t>
        </is>
      </c>
      <c r="H3351" s="12" t="inlineStr">
        <is>
          <t>Rich/lean pumps, cross exchanger, lean cooler B</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5" t="n">
        <v>708</v>
      </c>
      <c r="U3351" s="15" t="n">
        <v>151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G-I-0225</t>
        </is>
      </c>
      <c r="B3352" s="12" t="inlineStr">
        <is>
          <t>G</t>
        </is>
      </c>
      <c r="C3352" s="12" t="inlineStr">
        <is>
          <t>Carbon capture</t>
        </is>
      </c>
      <c r="D3352" s="12" t="inlineStr">
        <is>
          <t>Discrete device to JB JB-Rich/lean pumps, c-DI01: 20 x 1 pr (field cables)</t>
        </is>
      </c>
      <c r="E3352" s="12" t="inlineStr"/>
      <c r="F3352" s="12" t="inlineStr">
        <is>
          <t>Rich/lean pumps, cross exchanger, lean cooler B</t>
        </is>
      </c>
      <c r="G3352" s="12" t="inlineStr">
        <is>
          <t>JB-Rich/lean pumps, c-DI01</t>
        </is>
      </c>
      <c r="H3352" s="12" t="inlineStr">
        <is>
          <t>Rich/lean pumps, cross exchanger, lean cooler B</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5" t="n">
        <v>84</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G-I-0226</t>
        </is>
      </c>
      <c r="B3353" s="12" t="inlineStr">
        <is>
          <t>G</t>
        </is>
      </c>
      <c r="C3353" s="12" t="inlineStr">
        <is>
          <t>Carbon capture</t>
        </is>
      </c>
      <c r="D3353" s="12" t="inlineStr">
        <is>
          <t>Home run JB-Rich/lean pumps, c-DI01 to the control / marshalling room</t>
        </is>
      </c>
      <c r="E3353" s="12" t="inlineStr"/>
      <c r="F3353" s="12" t="inlineStr">
        <is>
          <t>CCS F&amp;G / control</t>
        </is>
      </c>
      <c r="G3353" s="12" t="inlineStr">
        <is>
          <t>JB-Rich/lean pumps, c-DI01</t>
        </is>
      </c>
      <c r="H3353" s="12" t="inlineStr">
        <is>
          <t>Rich/lean pumps, cross exchanger, lean cooler B</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5" t="n">
        <v>708</v>
      </c>
      <c r="U3353" s="15" t="n">
        <v>151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G-I-0227</t>
        </is>
      </c>
      <c r="B3354" s="12" t="inlineStr">
        <is>
          <t>G</t>
        </is>
      </c>
      <c r="C3354" s="12" t="inlineStr">
        <is>
          <t>Carbon capture</t>
        </is>
      </c>
      <c r="D3354" s="12" t="inlineStr">
        <is>
          <t>RTD to JB JB-Rich/lean pumps, c-RTD01: 10 x 1 tri (field cables)</t>
        </is>
      </c>
      <c r="E3354" s="12" t="inlineStr"/>
      <c r="F3354" s="12" t="inlineStr">
        <is>
          <t>Rich/lean pumps, cross exchanger, lean cooler B</t>
        </is>
      </c>
      <c r="G3354" s="12" t="inlineStr">
        <is>
          <t>JB-Rich/lean pumps, c-RTD01</t>
        </is>
      </c>
      <c r="H3354" s="12" t="inlineStr">
        <is>
          <t>Rich/lean pumps, cross exchanger, lean cooler B</t>
        </is>
      </c>
      <c r="I3354" s="12" t="inlineStr">
        <is>
          <t>Instrumentation</t>
        </is>
      </c>
      <c r="J3354" s="12" t="inlineStr">
        <is>
          <t>RTD cable, #18 shielded triads, PLTC</t>
        </is>
      </c>
      <c r="K3354" s="12" t="inlineStr">
        <is>
          <t>RTD|1 tri|18</t>
        </is>
      </c>
      <c r="L3354" s="12" t="inlineStr">
        <is>
          <t>1 tri</t>
        </is>
      </c>
      <c r="M3354" s="12" t="inlineStr">
        <is>
          <t>18</t>
        </is>
      </c>
      <c r="N3354" s="12" t="n">
        <v>10</v>
      </c>
      <c r="O3354" s="12" t="n">
        <v>1</v>
      </c>
      <c r="P3354" s="12" t="n"/>
      <c r="Q3354" s="12" t="n"/>
      <c r="R3354" s="12" t="n"/>
      <c r="S3354" s="12" t="inlineStr">
        <is>
          <t>Tray / conduit</t>
        </is>
      </c>
      <c r="T3354" s="15" t="n">
        <v>84</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G-I-0228</t>
        </is>
      </c>
      <c r="B3355" s="12" t="inlineStr">
        <is>
          <t>G</t>
        </is>
      </c>
      <c r="C3355" s="12" t="inlineStr">
        <is>
          <t>Carbon capture</t>
        </is>
      </c>
      <c r="D3355" s="12" t="inlineStr">
        <is>
          <t>Home run JB-Rich/lean pumps, c-RTD01 to the control / marshalling room</t>
        </is>
      </c>
      <c r="E3355" s="12" t="inlineStr"/>
      <c r="F3355" s="12" t="inlineStr">
        <is>
          <t>CCS F&amp;G / control</t>
        </is>
      </c>
      <c r="G3355" s="12" t="inlineStr">
        <is>
          <t>JB-Rich/lean pumps, c-RTD01</t>
        </is>
      </c>
      <c r="H3355" s="12" t="inlineStr">
        <is>
          <t>Rich/lean pumps, cross exchanger, lean cooler B</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Duct bank</t>
        </is>
      </c>
      <c r="T3355" s="15" t="n">
        <v>708</v>
      </c>
      <c r="U3355" s="15" t="n">
        <v>151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G-I-0229</t>
        </is>
      </c>
      <c r="B3356" s="12" t="inlineStr">
        <is>
          <t>G</t>
        </is>
      </c>
      <c r="C3356" s="12" t="inlineStr">
        <is>
          <t>Carbon capture</t>
        </is>
      </c>
      <c r="D3356" s="12" t="inlineStr">
        <is>
          <t>RTD to JB JB-Rich/lean pumps, c-RTD02: 2 x 1 tri (field cables)</t>
        </is>
      </c>
      <c r="E3356" s="12" t="inlineStr"/>
      <c r="F3356" s="12" t="inlineStr">
        <is>
          <t>Rich/lean pumps, cross exchanger, lean cooler B</t>
        </is>
      </c>
      <c r="G3356" s="12" t="inlineStr">
        <is>
          <t>JB-Rich/lean pumps, c-RTD02</t>
        </is>
      </c>
      <c r="H3356" s="12" t="inlineStr">
        <is>
          <t>Rich/lean pumps, cross exchanger, lean cooler B</t>
        </is>
      </c>
      <c r="I3356" s="12" t="inlineStr">
        <is>
          <t>Instrumentation</t>
        </is>
      </c>
      <c r="J3356" s="12" t="inlineStr">
        <is>
          <t>RTD cable, #18 shielded triads, PLTC</t>
        </is>
      </c>
      <c r="K3356" s="12" t="inlineStr">
        <is>
          <t>RTD|1 tri|18</t>
        </is>
      </c>
      <c r="L3356" s="12" t="inlineStr">
        <is>
          <t>1 tri</t>
        </is>
      </c>
      <c r="M3356" s="12" t="inlineStr">
        <is>
          <t>18</t>
        </is>
      </c>
      <c r="N3356" s="12" t="n">
        <v>2</v>
      </c>
      <c r="O3356" s="12" t="n">
        <v>1</v>
      </c>
      <c r="P3356" s="12" t="n"/>
      <c r="Q3356" s="12" t="n"/>
      <c r="R3356" s="12" t="n"/>
      <c r="S3356" s="12" t="inlineStr">
        <is>
          <t>Tray / conduit</t>
        </is>
      </c>
      <c r="T3356" s="15" t="n">
        <v>84</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G-I-0230</t>
        </is>
      </c>
      <c r="B3357" s="12" t="inlineStr">
        <is>
          <t>G</t>
        </is>
      </c>
      <c r="C3357" s="12" t="inlineStr">
        <is>
          <t>Carbon capture</t>
        </is>
      </c>
      <c r="D3357" s="12" t="inlineStr">
        <is>
          <t>Home run JB-Rich/lean pumps, c-RTD02 to the control / marshalling room</t>
        </is>
      </c>
      <c r="E3357" s="12" t="inlineStr"/>
      <c r="F3357" s="12" t="inlineStr">
        <is>
          <t>CCS F&amp;G / control</t>
        </is>
      </c>
      <c r="G3357" s="12" t="inlineStr">
        <is>
          <t>JB-Rich/lean pumps, c-RTD02</t>
        </is>
      </c>
      <c r="H3357" s="12" t="inlineStr">
        <is>
          <t>Rich/lean pumps, cross exchanger, lean cooler B</t>
        </is>
      </c>
      <c r="I3357" s="12" t="inlineStr">
        <is>
          <t>Instrumentation</t>
        </is>
      </c>
      <c r="J3357" s="12" t="inlineStr">
        <is>
          <t>RTD cable, #18 shielded triads, PLTC</t>
        </is>
      </c>
      <c r="K3357" s="12" t="inlineStr">
        <is>
          <t>RTD|12 tri|18</t>
        </is>
      </c>
      <c r="L3357" s="12" t="inlineStr">
        <is>
          <t>12 tri</t>
        </is>
      </c>
      <c r="M3357" s="12" t="inlineStr">
        <is>
          <t>18</t>
        </is>
      </c>
      <c r="N3357" s="12" t="n">
        <v>1</v>
      </c>
      <c r="O3357" s="12" t="n">
        <v>1</v>
      </c>
      <c r="P3357" s="12" t="n"/>
      <c r="Q3357" s="12" t="n"/>
      <c r="R3357" s="12" t="n"/>
      <c r="S3357" s="12" t="inlineStr">
        <is>
          <t>Duct bank</t>
        </is>
      </c>
      <c r="T3357" s="15" t="n">
        <v>708</v>
      </c>
      <c r="U3357" s="15" t="n">
        <v>151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G-I-0231</t>
        </is>
      </c>
      <c r="B3358" s="12" t="inlineStr">
        <is>
          <t>G</t>
        </is>
      </c>
      <c r="C3358" s="12" t="inlineStr">
        <is>
          <t>Carbon capture</t>
        </is>
      </c>
      <c r="D3358" s="12" t="inlineStr">
        <is>
          <t>Analog instrument to JB JB-Rich/lean pumps, c-AI01: 20 x 1 pr (field cables)</t>
        </is>
      </c>
      <c r="E3358" s="12" t="inlineStr"/>
      <c r="F3358" s="12" t="inlineStr">
        <is>
          <t>Rich/lean pumps, cross exchanger, lean cooler C</t>
        </is>
      </c>
      <c r="G3358" s="12" t="inlineStr">
        <is>
          <t>JB-Rich/lean pumps, c-AI01</t>
        </is>
      </c>
      <c r="H3358" s="12" t="inlineStr">
        <is>
          <t>Rich/lean pumps, cross exchanger, lean cooler C</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84</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G-I-0232</t>
        </is>
      </c>
      <c r="B3359" s="12" t="inlineStr">
        <is>
          <t>G</t>
        </is>
      </c>
      <c r="C3359" s="12" t="inlineStr">
        <is>
          <t>Carbon capture</t>
        </is>
      </c>
      <c r="D3359" s="12" t="inlineStr">
        <is>
          <t>Home run JB-Rich/lean pumps, c-AI01 to the control / marshalling room</t>
        </is>
      </c>
      <c r="E3359" s="12" t="inlineStr"/>
      <c r="F3359" s="12" t="inlineStr">
        <is>
          <t>CCS F&amp;G / control</t>
        </is>
      </c>
      <c r="G3359" s="12" t="inlineStr">
        <is>
          <t>JB-Rich/lean pumps, c-AI01</t>
        </is>
      </c>
      <c r="H3359" s="12" t="inlineStr">
        <is>
          <t>Rich/lean pumps, cross exchanger, lean cooler C</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299</v>
      </c>
      <c r="U3359" s="15" t="n">
        <v>138</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G-I-0233</t>
        </is>
      </c>
      <c r="B3360" s="12" t="inlineStr">
        <is>
          <t>G</t>
        </is>
      </c>
      <c r="C3360" s="12" t="inlineStr">
        <is>
          <t>Carbon capture</t>
        </is>
      </c>
      <c r="D3360" s="12" t="inlineStr">
        <is>
          <t>Discrete device to JB JB-Rich/lean pumps, c-DI01: 20 x 1 pr (field cables)</t>
        </is>
      </c>
      <c r="E3360" s="12" t="inlineStr"/>
      <c r="F3360" s="12" t="inlineStr">
        <is>
          <t>Rich/lean pumps, cross exchanger, lean cooler C</t>
        </is>
      </c>
      <c r="G3360" s="12" t="inlineStr">
        <is>
          <t>JB-Rich/lean pumps, c-DI01</t>
        </is>
      </c>
      <c r="H3360" s="12" t="inlineStr">
        <is>
          <t>Rich/lean pumps, cross exchanger, lean cooler C</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5" t="n">
        <v>84</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G-I-0234</t>
        </is>
      </c>
      <c r="B3361" s="12" t="inlineStr">
        <is>
          <t>G</t>
        </is>
      </c>
      <c r="C3361" s="12" t="inlineStr">
        <is>
          <t>Carbon capture</t>
        </is>
      </c>
      <c r="D3361" s="12" t="inlineStr">
        <is>
          <t>Home run JB-Rich/lean pumps, c-DI01 to the control / marshalling room</t>
        </is>
      </c>
      <c r="E3361" s="12" t="inlineStr"/>
      <c r="F3361" s="12" t="inlineStr">
        <is>
          <t>CCS F&amp;G / control</t>
        </is>
      </c>
      <c r="G3361" s="12" t="inlineStr">
        <is>
          <t>JB-Rich/lean pumps, c-DI01</t>
        </is>
      </c>
      <c r="H3361" s="12" t="inlineStr">
        <is>
          <t>Rich/lean pumps, cross exchanger, lean cooler C</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299</v>
      </c>
      <c r="U3361" s="15" t="n">
        <v>138</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G-I-0235</t>
        </is>
      </c>
      <c r="B3362" s="12" t="inlineStr">
        <is>
          <t>G</t>
        </is>
      </c>
      <c r="C3362" s="12" t="inlineStr">
        <is>
          <t>Carbon capture</t>
        </is>
      </c>
      <c r="D3362" s="12" t="inlineStr">
        <is>
          <t>RTD to JB JB-Rich/lean pumps, c-RTD01: 10 x 1 tri (field cables)</t>
        </is>
      </c>
      <c r="E3362" s="12" t="inlineStr"/>
      <c r="F3362" s="12" t="inlineStr">
        <is>
          <t>Rich/lean pumps, cross exchanger, lean cooler C</t>
        </is>
      </c>
      <c r="G3362" s="12" t="inlineStr">
        <is>
          <t>JB-Rich/lean pumps, c-RTD01</t>
        </is>
      </c>
      <c r="H3362" s="12" t="inlineStr">
        <is>
          <t>Rich/lean pumps, cross exchanger, lean cooler C</t>
        </is>
      </c>
      <c r="I3362" s="12" t="inlineStr">
        <is>
          <t>Instrumentation</t>
        </is>
      </c>
      <c r="J3362" s="12" t="inlineStr">
        <is>
          <t>RTD cable, #18 shielded triads, PLTC</t>
        </is>
      </c>
      <c r="K3362" s="12" t="inlineStr">
        <is>
          <t>RTD|1 tri|18</t>
        </is>
      </c>
      <c r="L3362" s="12" t="inlineStr">
        <is>
          <t>1 tri</t>
        </is>
      </c>
      <c r="M3362" s="12" t="inlineStr">
        <is>
          <t>18</t>
        </is>
      </c>
      <c r="N3362" s="12" t="n">
        <v>10</v>
      </c>
      <c r="O3362" s="12" t="n">
        <v>1</v>
      </c>
      <c r="P3362" s="12" t="n"/>
      <c r="Q3362" s="12" t="n"/>
      <c r="R3362" s="12" t="n"/>
      <c r="S3362" s="12" t="inlineStr">
        <is>
          <t>Tray / conduit</t>
        </is>
      </c>
      <c r="T3362" s="15" t="n">
        <v>84</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G-I-0236</t>
        </is>
      </c>
      <c r="B3363" s="12" t="inlineStr">
        <is>
          <t>G</t>
        </is>
      </c>
      <c r="C3363" s="12" t="inlineStr">
        <is>
          <t>Carbon capture</t>
        </is>
      </c>
      <c r="D3363" s="12" t="inlineStr">
        <is>
          <t>Home run JB-Rich/lean pumps, c-RTD01 to the control / marshalling room</t>
        </is>
      </c>
      <c r="E3363" s="12" t="inlineStr"/>
      <c r="F3363" s="12" t="inlineStr">
        <is>
          <t>CCS F&amp;G / control</t>
        </is>
      </c>
      <c r="G3363" s="12" t="inlineStr">
        <is>
          <t>JB-Rich/lean pumps, c-RTD01</t>
        </is>
      </c>
      <c r="H3363" s="12" t="inlineStr">
        <is>
          <t>Rich/lean pumps, cross exchanger, lean cooler C</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5" t="n">
        <v>299</v>
      </c>
      <c r="U3363" s="15" t="n">
        <v>138</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G-I-0237</t>
        </is>
      </c>
      <c r="B3364" s="12" t="inlineStr">
        <is>
          <t>G</t>
        </is>
      </c>
      <c r="C3364" s="12" t="inlineStr">
        <is>
          <t>Carbon capture</t>
        </is>
      </c>
      <c r="D3364" s="12" t="inlineStr">
        <is>
          <t>RTD to JB JB-Rich/lean pumps, c-RTD02: 2 x 1 tri (field cables)</t>
        </is>
      </c>
      <c r="E3364" s="12" t="inlineStr"/>
      <c r="F3364" s="12" t="inlineStr">
        <is>
          <t>Rich/lean pumps, cross exchanger, lean cooler C</t>
        </is>
      </c>
      <c r="G3364" s="12" t="inlineStr">
        <is>
          <t>JB-Rich/lean pumps, c-RTD02</t>
        </is>
      </c>
      <c r="H3364" s="12" t="inlineStr">
        <is>
          <t>Rich/lean pumps, cross exchanger, lean cooler C</t>
        </is>
      </c>
      <c r="I3364" s="12" t="inlineStr">
        <is>
          <t>Instrumentation</t>
        </is>
      </c>
      <c r="J3364" s="12" t="inlineStr">
        <is>
          <t>RTD cable, #18 shielded triads, PLTC</t>
        </is>
      </c>
      <c r="K3364" s="12" t="inlineStr">
        <is>
          <t>RTD|1 tri|18</t>
        </is>
      </c>
      <c r="L3364" s="12" t="inlineStr">
        <is>
          <t>1 tri</t>
        </is>
      </c>
      <c r="M3364" s="12" t="inlineStr">
        <is>
          <t>18</t>
        </is>
      </c>
      <c r="N3364" s="12" t="n">
        <v>2</v>
      </c>
      <c r="O3364" s="12" t="n">
        <v>1</v>
      </c>
      <c r="P3364" s="12" t="n"/>
      <c r="Q3364" s="12" t="n"/>
      <c r="R3364" s="12" t="n"/>
      <c r="S3364" s="12" t="inlineStr">
        <is>
          <t>Tray / conduit</t>
        </is>
      </c>
      <c r="T3364" s="15" t="n">
        <v>84</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G-I-0238</t>
        </is>
      </c>
      <c r="B3365" s="12" t="inlineStr">
        <is>
          <t>G</t>
        </is>
      </c>
      <c r="C3365" s="12" t="inlineStr">
        <is>
          <t>Carbon capture</t>
        </is>
      </c>
      <c r="D3365" s="12" t="inlineStr">
        <is>
          <t>Home run JB-Rich/lean pumps, c-RTD02 to the control / marshalling room</t>
        </is>
      </c>
      <c r="E3365" s="12" t="inlineStr"/>
      <c r="F3365" s="12" t="inlineStr">
        <is>
          <t>CCS F&amp;G / control</t>
        </is>
      </c>
      <c r="G3365" s="12" t="inlineStr">
        <is>
          <t>JB-Rich/lean pumps, c-RTD02</t>
        </is>
      </c>
      <c r="H3365" s="12" t="inlineStr">
        <is>
          <t>Rich/lean pumps, cross exchanger, lean cooler C</t>
        </is>
      </c>
      <c r="I3365" s="12" t="inlineStr">
        <is>
          <t>Instrumentation</t>
        </is>
      </c>
      <c r="J3365" s="12" t="inlineStr">
        <is>
          <t>RTD cable, #18 shielded triads, PLTC</t>
        </is>
      </c>
      <c r="K3365" s="12" t="inlineStr">
        <is>
          <t>RTD|12 tri|18</t>
        </is>
      </c>
      <c r="L3365" s="12" t="inlineStr">
        <is>
          <t>12 tri</t>
        </is>
      </c>
      <c r="M3365" s="12" t="inlineStr">
        <is>
          <t>18</t>
        </is>
      </c>
      <c r="N3365" s="12" t="n">
        <v>1</v>
      </c>
      <c r="O3365" s="12" t="n">
        <v>1</v>
      </c>
      <c r="P3365" s="12" t="n"/>
      <c r="Q3365" s="12" t="n"/>
      <c r="R3365" s="12" t="n"/>
      <c r="S3365" s="12" t="inlineStr">
        <is>
          <t>Duct bank</t>
        </is>
      </c>
      <c r="T3365" s="15" t="n">
        <v>299</v>
      </c>
      <c r="U3365" s="15" t="n">
        <v>138</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G-I-0239</t>
        </is>
      </c>
      <c r="B3366" s="12" t="inlineStr">
        <is>
          <t>G</t>
        </is>
      </c>
      <c r="C3366" s="12" t="inlineStr">
        <is>
          <t>Carbon capture</t>
        </is>
      </c>
      <c r="D3366" s="12" t="inlineStr">
        <is>
          <t>Analog instrument to JB JB-STR-A-AI01: 20 x 1 pr (field cables)</t>
        </is>
      </c>
      <c r="E3366" s="12" t="inlineStr">
        <is>
          <t>STR-A</t>
        </is>
      </c>
      <c r="F3366" s="12" t="inlineStr">
        <is>
          <t>STR-A: stripper / regenerator (45 ft dia x 207 ft)</t>
        </is>
      </c>
      <c r="G3366" s="12" t="inlineStr">
        <is>
          <t>JB-STR-A-AI01</t>
        </is>
      </c>
      <c r="H3366" s="12" t="inlineStr">
        <is>
          <t>STR-A: stripper / regenerator (45 ft dia x 207 ft)</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153</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G-I-0240</t>
        </is>
      </c>
      <c r="B3367" s="12" t="inlineStr">
        <is>
          <t>G</t>
        </is>
      </c>
      <c r="C3367" s="12" t="inlineStr">
        <is>
          <t>Carbon capture</t>
        </is>
      </c>
      <c r="D3367" s="12" t="inlineStr">
        <is>
          <t>Home run JB-STR-A-AI01 to the control / marshalling room</t>
        </is>
      </c>
      <c r="E3367" s="12" t="inlineStr"/>
      <c r="F3367" s="12" t="inlineStr">
        <is>
          <t>CCS F&amp;G / control</t>
        </is>
      </c>
      <c r="G3367" s="12" t="inlineStr">
        <is>
          <t>JB-STR-A-AI01</t>
        </is>
      </c>
      <c r="H3367" s="12" t="inlineStr">
        <is>
          <t>STR-A: stripper / regenerator (45 ft dia x 207 ft)</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329</v>
      </c>
      <c r="U3367" s="15" t="n">
        <v>106</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G-I-0241</t>
        </is>
      </c>
      <c r="B3368" s="12" t="inlineStr">
        <is>
          <t>G</t>
        </is>
      </c>
      <c r="C3368" s="12" t="inlineStr">
        <is>
          <t>Carbon capture</t>
        </is>
      </c>
      <c r="D3368" s="12" t="inlineStr">
        <is>
          <t>Analog instrument to JB JB-STR-A-AI02: 20 x 1 pr (field cables)</t>
        </is>
      </c>
      <c r="E3368" s="12" t="inlineStr">
        <is>
          <t>STR-A</t>
        </is>
      </c>
      <c r="F3368" s="12" t="inlineStr">
        <is>
          <t>STR-A: stripper / regenerator (45 ft dia x 207 ft)</t>
        </is>
      </c>
      <c r="G3368" s="12" t="inlineStr">
        <is>
          <t>JB-STR-A-AI02</t>
        </is>
      </c>
      <c r="H3368" s="12" t="inlineStr">
        <is>
          <t>STR-A: stripper / regenerator (45 ft dia x 207 ft)</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5" t="n">
        <v>153</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G-I-0242</t>
        </is>
      </c>
      <c r="B3369" s="12" t="inlineStr">
        <is>
          <t>G</t>
        </is>
      </c>
      <c r="C3369" s="12" t="inlineStr">
        <is>
          <t>Carbon capture</t>
        </is>
      </c>
      <c r="D3369" s="12" t="inlineStr">
        <is>
          <t>Home run JB-STR-A-AI02 to the control / marshalling room</t>
        </is>
      </c>
      <c r="E3369" s="12" t="inlineStr"/>
      <c r="F3369" s="12" t="inlineStr">
        <is>
          <t>CCS F&amp;G / control</t>
        </is>
      </c>
      <c r="G3369" s="12" t="inlineStr">
        <is>
          <t>JB-STR-A-AI02</t>
        </is>
      </c>
      <c r="H3369" s="12" t="inlineStr">
        <is>
          <t>STR-A: stripper / regenerator (45 ft dia x 207 ft)</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5" t="n">
        <v>329</v>
      </c>
      <c r="U3369" s="15" t="n">
        <v>106</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G-I-0243</t>
        </is>
      </c>
      <c r="B3370" s="12" t="inlineStr">
        <is>
          <t>G</t>
        </is>
      </c>
      <c r="C3370" s="12" t="inlineStr">
        <is>
          <t>Carbon capture</t>
        </is>
      </c>
      <c r="D3370" s="12" t="inlineStr">
        <is>
          <t>Analog instrument to JB JB-STR-A-AI03: 10 x 1 pr (field cables)</t>
        </is>
      </c>
      <c r="E3370" s="12" t="inlineStr">
        <is>
          <t>STR-A</t>
        </is>
      </c>
      <c r="F3370" s="12" t="inlineStr">
        <is>
          <t>STR-A: stripper / regenerator (45 ft dia x 207 ft)</t>
        </is>
      </c>
      <c r="G3370" s="12" t="inlineStr">
        <is>
          <t>JB-STR-A-AI03</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153</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G-I-0244</t>
        </is>
      </c>
      <c r="B3371" s="12" t="inlineStr">
        <is>
          <t>G</t>
        </is>
      </c>
      <c r="C3371" s="12" t="inlineStr">
        <is>
          <t>Carbon capture</t>
        </is>
      </c>
      <c r="D3371" s="12" t="inlineStr">
        <is>
          <t>Home run JB-STR-A-AI03 to the control / marshalling room</t>
        </is>
      </c>
      <c r="E3371" s="12" t="inlineStr"/>
      <c r="F3371" s="12" t="inlineStr">
        <is>
          <t>CCS F&amp;G / control</t>
        </is>
      </c>
      <c r="G3371" s="12" t="inlineStr">
        <is>
          <t>JB-STR-A-AI03</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5" t="n">
        <v>329</v>
      </c>
      <c r="U3371" s="15" t="n">
        <v>106</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G-I-0245</t>
        </is>
      </c>
      <c r="B3372" s="12" t="inlineStr">
        <is>
          <t>G</t>
        </is>
      </c>
      <c r="C3372" s="12" t="inlineStr">
        <is>
          <t>Carbon capture</t>
        </is>
      </c>
      <c r="D3372" s="12" t="inlineStr">
        <is>
          <t>Discrete device to JB JB-STR-A-DI01: 20 x 1 pr (field cables)</t>
        </is>
      </c>
      <c r="E3372" s="12" t="inlineStr">
        <is>
          <t>STR-A</t>
        </is>
      </c>
      <c r="F3372" s="12" t="inlineStr">
        <is>
          <t>STR-A: stripper / regenerator (45 ft dia x 207 ft)</t>
        </is>
      </c>
      <c r="G3372" s="12" t="inlineStr">
        <is>
          <t>JB-STR-A-DI01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5" t="n">
        <v>153</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G-I-0246</t>
        </is>
      </c>
      <c r="B3373" s="12" t="inlineStr">
        <is>
          <t>G</t>
        </is>
      </c>
      <c r="C3373" s="12" t="inlineStr">
        <is>
          <t>Carbon capture</t>
        </is>
      </c>
      <c r="D3373" s="12" t="inlineStr">
        <is>
          <t>Home run JB-STR-A-DI01 to the control / marshalling room</t>
        </is>
      </c>
      <c r="E3373" s="12" t="inlineStr"/>
      <c r="F3373" s="12" t="inlineStr">
        <is>
          <t>CCS F&amp;G / control</t>
        </is>
      </c>
      <c r="G3373" s="12" t="inlineStr">
        <is>
          <t>JB-STR-A-DI01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329</v>
      </c>
      <c r="U3373" s="15" t="n">
        <v>106</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G-I-0247</t>
        </is>
      </c>
      <c r="B3374" s="12" t="inlineStr">
        <is>
          <t>G</t>
        </is>
      </c>
      <c r="C3374" s="12" t="inlineStr">
        <is>
          <t>Carbon capture</t>
        </is>
      </c>
      <c r="D3374" s="12" t="inlineStr">
        <is>
          <t>Discrete device to JB JB-STR-A-DI02: 10 x 1 pr (field cables)</t>
        </is>
      </c>
      <c r="E3374" s="12" t="inlineStr">
        <is>
          <t>STR-A</t>
        </is>
      </c>
      <c r="F3374" s="12" t="inlineStr">
        <is>
          <t>STR-A: stripper / regenerator (45 ft dia x 207 ft)</t>
        </is>
      </c>
      <c r="G3374" s="12" t="inlineStr">
        <is>
          <t>JB-STR-A-DI02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5" t="n">
        <v>153</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G-I-0248</t>
        </is>
      </c>
      <c r="B3375" s="12" t="inlineStr">
        <is>
          <t>G</t>
        </is>
      </c>
      <c r="C3375" s="12" t="inlineStr">
        <is>
          <t>Carbon capture</t>
        </is>
      </c>
      <c r="D3375" s="12" t="inlineStr">
        <is>
          <t>Home run JB-STR-A-DI02 to the control / marshalling room</t>
        </is>
      </c>
      <c r="E3375" s="12" t="inlineStr"/>
      <c r="F3375" s="12" t="inlineStr">
        <is>
          <t>CCS F&amp;G / control</t>
        </is>
      </c>
      <c r="G3375" s="12" t="inlineStr">
        <is>
          <t>JB-STR-A-DI02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329</v>
      </c>
      <c r="U3375" s="15" t="n">
        <v>106</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G-I-0249</t>
        </is>
      </c>
      <c r="B3376" s="12" t="inlineStr">
        <is>
          <t>G</t>
        </is>
      </c>
      <c r="C3376" s="12" t="inlineStr">
        <is>
          <t>Carbon capture</t>
        </is>
      </c>
      <c r="D3376" s="12" t="inlineStr">
        <is>
          <t>Analog instrument to JB JB-STR-B-AI01: 20 x 1 pr (field cables)</t>
        </is>
      </c>
      <c r="E3376" s="12" t="inlineStr">
        <is>
          <t>STR-B</t>
        </is>
      </c>
      <c r="F3376" s="12" t="inlineStr">
        <is>
          <t>STR-B: stripper / regenerator (45 ft dia x 207 ft)</t>
        </is>
      </c>
      <c r="G3376" s="12" t="inlineStr">
        <is>
          <t>JB-STR-B-AI01</t>
        </is>
      </c>
      <c r="H3376" s="12" t="inlineStr">
        <is>
          <t>STR-B: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153</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G-I-0250</t>
        </is>
      </c>
      <c r="B3377" s="12" t="inlineStr">
        <is>
          <t>G</t>
        </is>
      </c>
      <c r="C3377" s="12" t="inlineStr">
        <is>
          <t>Carbon capture</t>
        </is>
      </c>
      <c r="D3377" s="12" t="inlineStr">
        <is>
          <t>Home run JB-STR-B-AI01 to the control / marshalling room</t>
        </is>
      </c>
      <c r="E3377" s="12" t="inlineStr"/>
      <c r="F3377" s="12" t="inlineStr">
        <is>
          <t>CCS F&amp;G / control</t>
        </is>
      </c>
      <c r="G3377" s="12" t="inlineStr">
        <is>
          <t>JB-STR-B-AI01</t>
        </is>
      </c>
      <c r="H3377" s="12" t="inlineStr">
        <is>
          <t>STR-B: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279</v>
      </c>
      <c r="U3377" s="15" t="n">
        <v>106</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G-I-0251</t>
        </is>
      </c>
      <c r="B3378" s="12" t="inlineStr">
        <is>
          <t>G</t>
        </is>
      </c>
      <c r="C3378" s="12" t="inlineStr">
        <is>
          <t>Carbon capture</t>
        </is>
      </c>
      <c r="D3378" s="12" t="inlineStr">
        <is>
          <t>Analog instrument to JB JB-STR-B-AI02: 20 x 1 pr (field cables)</t>
        </is>
      </c>
      <c r="E3378" s="12" t="inlineStr">
        <is>
          <t>STR-B</t>
        </is>
      </c>
      <c r="F3378" s="12" t="inlineStr">
        <is>
          <t>STR-B: stripper / regenerator (45 ft dia x 207 ft)</t>
        </is>
      </c>
      <c r="G3378" s="12" t="inlineStr">
        <is>
          <t>JB-STR-B-AI02</t>
        </is>
      </c>
      <c r="H3378" s="12" t="inlineStr">
        <is>
          <t>STR-B: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153</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G-I-0252</t>
        </is>
      </c>
      <c r="B3379" s="12" t="inlineStr">
        <is>
          <t>G</t>
        </is>
      </c>
      <c r="C3379" s="12" t="inlineStr">
        <is>
          <t>Carbon capture</t>
        </is>
      </c>
      <c r="D3379" s="12" t="inlineStr">
        <is>
          <t>Home run JB-STR-B-AI02 to the control / marshalling room</t>
        </is>
      </c>
      <c r="E3379" s="12" t="inlineStr"/>
      <c r="F3379" s="12" t="inlineStr">
        <is>
          <t>CCS F&amp;G / control</t>
        </is>
      </c>
      <c r="G3379" s="12" t="inlineStr">
        <is>
          <t>JB-STR-B-AI02</t>
        </is>
      </c>
      <c r="H3379" s="12" t="inlineStr">
        <is>
          <t>STR-B: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279</v>
      </c>
      <c r="U3379" s="15" t="n">
        <v>106</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G-I-0253</t>
        </is>
      </c>
      <c r="B3380" s="12" t="inlineStr">
        <is>
          <t>G</t>
        </is>
      </c>
      <c r="C3380" s="12" t="inlineStr">
        <is>
          <t>Carbon capture</t>
        </is>
      </c>
      <c r="D3380" s="12" t="inlineStr">
        <is>
          <t>Analog instrument to JB JB-STR-B-AI03: 10 x 1 pr (field cables)</t>
        </is>
      </c>
      <c r="E3380" s="12" t="inlineStr">
        <is>
          <t>STR-B</t>
        </is>
      </c>
      <c r="F3380" s="12" t="inlineStr">
        <is>
          <t>STR-B: stripper / regenerator (45 ft dia x 207 ft)</t>
        </is>
      </c>
      <c r="G3380" s="12" t="inlineStr">
        <is>
          <t>JB-STR-B-AI03</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5" t="n">
        <v>153</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G-I-0254</t>
        </is>
      </c>
      <c r="B3381" s="12" t="inlineStr">
        <is>
          <t>G</t>
        </is>
      </c>
      <c r="C3381" s="12" t="inlineStr">
        <is>
          <t>Carbon capture</t>
        </is>
      </c>
      <c r="D3381" s="12" t="inlineStr">
        <is>
          <t>Home run JB-STR-B-AI03 to the control / marshalling room</t>
        </is>
      </c>
      <c r="E3381" s="12" t="inlineStr"/>
      <c r="F3381" s="12" t="inlineStr">
        <is>
          <t>CCS F&amp;G / control</t>
        </is>
      </c>
      <c r="G3381" s="12" t="inlineStr">
        <is>
          <t>JB-STR-B-AI03</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279</v>
      </c>
      <c r="U3381" s="15" t="n">
        <v>106</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G-I-0255</t>
        </is>
      </c>
      <c r="B3382" s="12" t="inlineStr">
        <is>
          <t>G</t>
        </is>
      </c>
      <c r="C3382" s="12" t="inlineStr">
        <is>
          <t>Carbon capture</t>
        </is>
      </c>
      <c r="D3382" s="12" t="inlineStr">
        <is>
          <t>Discrete device to JB JB-STR-B-DI01: 20 x 1 pr (field cables)</t>
        </is>
      </c>
      <c r="E3382" s="12" t="inlineStr">
        <is>
          <t>STR-B</t>
        </is>
      </c>
      <c r="F3382" s="12" t="inlineStr">
        <is>
          <t>STR-B: stripper / regenerator (45 ft dia x 207 ft)</t>
        </is>
      </c>
      <c r="G3382" s="12" t="inlineStr">
        <is>
          <t>JB-STR-B-DI01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153</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G-I-0256</t>
        </is>
      </c>
      <c r="B3383" s="12" t="inlineStr">
        <is>
          <t>G</t>
        </is>
      </c>
      <c r="C3383" s="12" t="inlineStr">
        <is>
          <t>Carbon capture</t>
        </is>
      </c>
      <c r="D3383" s="12" t="inlineStr">
        <is>
          <t>Home run JB-STR-B-DI01 to the control / marshalling room</t>
        </is>
      </c>
      <c r="E3383" s="12" t="inlineStr"/>
      <c r="F3383" s="12" t="inlineStr">
        <is>
          <t>CCS F&amp;G / control</t>
        </is>
      </c>
      <c r="G3383" s="12" t="inlineStr">
        <is>
          <t>JB-STR-B-DI01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279</v>
      </c>
      <c r="U3383" s="15" t="n">
        <v>106</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G-I-0257</t>
        </is>
      </c>
      <c r="B3384" s="12" t="inlineStr">
        <is>
          <t>G</t>
        </is>
      </c>
      <c r="C3384" s="12" t="inlineStr">
        <is>
          <t>Carbon capture</t>
        </is>
      </c>
      <c r="D3384" s="12" t="inlineStr">
        <is>
          <t>Discrete device to JB JB-STR-B-DI02: 10 x 1 pr (field cables)</t>
        </is>
      </c>
      <c r="E3384" s="12" t="inlineStr">
        <is>
          <t>STR-B</t>
        </is>
      </c>
      <c r="F3384" s="12" t="inlineStr">
        <is>
          <t>STR-B: stripper / regenerator (45 ft dia x 207 ft)</t>
        </is>
      </c>
      <c r="G3384" s="12" t="inlineStr">
        <is>
          <t>JB-STR-B-DI02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5" t="n">
        <v>153</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G-I-0258</t>
        </is>
      </c>
      <c r="B3385" s="12" t="inlineStr">
        <is>
          <t>G</t>
        </is>
      </c>
      <c r="C3385" s="12" t="inlineStr">
        <is>
          <t>Carbon capture</t>
        </is>
      </c>
      <c r="D3385" s="12" t="inlineStr">
        <is>
          <t>Home run JB-STR-B-DI02 to the control / marshalling room</t>
        </is>
      </c>
      <c r="E3385" s="12" t="inlineStr"/>
      <c r="F3385" s="12" t="inlineStr">
        <is>
          <t>CCS F&amp;G / control</t>
        </is>
      </c>
      <c r="G3385" s="12" t="inlineStr">
        <is>
          <t>JB-STR-B-DI02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279</v>
      </c>
      <c r="U3385" s="15" t="n">
        <v>106</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G-I-0259</t>
        </is>
      </c>
      <c r="B3386" s="12" t="inlineStr">
        <is>
          <t>G</t>
        </is>
      </c>
      <c r="C3386" s="12" t="inlineStr">
        <is>
          <t>Carbon capture</t>
        </is>
      </c>
      <c r="D3386" s="12" t="inlineStr">
        <is>
          <t>Analog instrument to JB JB-STR-C-AI01: 20 x 1 pr (field cables)</t>
        </is>
      </c>
      <c r="E3386" s="12" t="inlineStr">
        <is>
          <t>STR-C</t>
        </is>
      </c>
      <c r="F3386" s="12" t="inlineStr">
        <is>
          <t>STR-C: stripper / regenerator (45 ft dia x 207 ft)</t>
        </is>
      </c>
      <c r="G3386" s="12" t="inlineStr">
        <is>
          <t>JB-STR-C-AI01</t>
        </is>
      </c>
      <c r="H3386" s="12" t="inlineStr">
        <is>
          <t>STR-C: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153</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G-I-0260</t>
        </is>
      </c>
      <c r="B3387" s="12" t="inlineStr">
        <is>
          <t>G</t>
        </is>
      </c>
      <c r="C3387" s="12" t="inlineStr">
        <is>
          <t>Carbon capture</t>
        </is>
      </c>
      <c r="D3387" s="12" t="inlineStr">
        <is>
          <t>Home run JB-STR-C-AI01 to the control / marshalling room</t>
        </is>
      </c>
      <c r="E3387" s="12" t="inlineStr"/>
      <c r="F3387" s="12" t="inlineStr">
        <is>
          <t>CCS F&amp;G / control</t>
        </is>
      </c>
      <c r="G3387" s="12" t="inlineStr">
        <is>
          <t>JB-STR-C-AI01</t>
        </is>
      </c>
      <c r="H3387" s="12" t="inlineStr">
        <is>
          <t>STR-C: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195</v>
      </c>
      <c r="U3387" s="15" t="n">
        <v>162</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G-I-0261</t>
        </is>
      </c>
      <c r="B3388" s="12" t="inlineStr">
        <is>
          <t>G</t>
        </is>
      </c>
      <c r="C3388" s="12" t="inlineStr">
        <is>
          <t>Carbon capture</t>
        </is>
      </c>
      <c r="D3388" s="12" t="inlineStr">
        <is>
          <t>Analog instrument to JB JB-STR-C-AI02: 20 x 1 pr (field cables)</t>
        </is>
      </c>
      <c r="E3388" s="12" t="inlineStr">
        <is>
          <t>STR-C</t>
        </is>
      </c>
      <c r="F3388" s="12" t="inlineStr">
        <is>
          <t>STR-C: stripper / regenerator (45 ft dia x 207 ft)</t>
        </is>
      </c>
      <c r="G3388" s="12" t="inlineStr">
        <is>
          <t>JB-STR-C-AI02</t>
        </is>
      </c>
      <c r="H3388" s="12" t="inlineStr">
        <is>
          <t>STR-C: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153</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G-I-0262</t>
        </is>
      </c>
      <c r="B3389" s="12" t="inlineStr">
        <is>
          <t>G</t>
        </is>
      </c>
      <c r="C3389" s="12" t="inlineStr">
        <is>
          <t>Carbon capture</t>
        </is>
      </c>
      <c r="D3389" s="12" t="inlineStr">
        <is>
          <t>Home run JB-STR-C-AI02 to the control / marshalling room</t>
        </is>
      </c>
      <c r="E3389" s="12" t="inlineStr"/>
      <c r="F3389" s="12" t="inlineStr">
        <is>
          <t>CCS F&amp;G / control</t>
        </is>
      </c>
      <c r="G3389" s="12" t="inlineStr">
        <is>
          <t>JB-STR-C-AI02</t>
        </is>
      </c>
      <c r="H3389" s="12" t="inlineStr">
        <is>
          <t>STR-C: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195</v>
      </c>
      <c r="U3389" s="15" t="n">
        <v>162</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G-I-0263</t>
        </is>
      </c>
      <c r="B3390" s="12" t="inlineStr">
        <is>
          <t>G</t>
        </is>
      </c>
      <c r="C3390" s="12" t="inlineStr">
        <is>
          <t>Carbon capture</t>
        </is>
      </c>
      <c r="D3390" s="12" t="inlineStr">
        <is>
          <t>Analog instrument to JB JB-STR-C-AI03: 10 x 1 pr (field cables)</t>
        </is>
      </c>
      <c r="E3390" s="12" t="inlineStr">
        <is>
          <t>STR-C</t>
        </is>
      </c>
      <c r="F3390" s="12" t="inlineStr">
        <is>
          <t>STR-C: stripper / regenerator (45 ft dia x 207 ft)</t>
        </is>
      </c>
      <c r="G3390" s="12" t="inlineStr">
        <is>
          <t>JB-STR-C-AI03</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153</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G-I-0264</t>
        </is>
      </c>
      <c r="B3391" s="12" t="inlineStr">
        <is>
          <t>G</t>
        </is>
      </c>
      <c r="C3391" s="12" t="inlineStr">
        <is>
          <t>Carbon capture</t>
        </is>
      </c>
      <c r="D3391" s="12" t="inlineStr">
        <is>
          <t>Home run JB-STR-C-AI03 to the control / marshalling room</t>
        </is>
      </c>
      <c r="E3391" s="12" t="inlineStr"/>
      <c r="F3391" s="12" t="inlineStr">
        <is>
          <t>CCS F&amp;G / control</t>
        </is>
      </c>
      <c r="G3391" s="12" t="inlineStr">
        <is>
          <t>JB-STR-C-AI03</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195</v>
      </c>
      <c r="U3391" s="15" t="n">
        <v>162</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G-I-0265</t>
        </is>
      </c>
      <c r="B3392" s="12" t="inlineStr">
        <is>
          <t>G</t>
        </is>
      </c>
      <c r="C3392" s="12" t="inlineStr">
        <is>
          <t>Carbon capture</t>
        </is>
      </c>
      <c r="D3392" s="12" t="inlineStr">
        <is>
          <t>Discrete device to JB JB-STR-C-DI01: 20 x 1 pr (field cables)</t>
        </is>
      </c>
      <c r="E3392" s="12" t="inlineStr">
        <is>
          <t>STR-C</t>
        </is>
      </c>
      <c r="F3392" s="12" t="inlineStr">
        <is>
          <t>STR-C: stripper / regenerator (45 ft dia x 207 ft)</t>
        </is>
      </c>
      <c r="G3392" s="12" t="inlineStr">
        <is>
          <t>JB-STR-C-DI01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153</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G-I-0266</t>
        </is>
      </c>
      <c r="B3393" s="12" t="inlineStr">
        <is>
          <t>G</t>
        </is>
      </c>
      <c r="C3393" s="12" t="inlineStr">
        <is>
          <t>Carbon capture</t>
        </is>
      </c>
      <c r="D3393" s="12" t="inlineStr">
        <is>
          <t>Home run JB-STR-C-DI01 to the control / marshalling room</t>
        </is>
      </c>
      <c r="E3393" s="12" t="inlineStr"/>
      <c r="F3393" s="12" t="inlineStr">
        <is>
          <t>CCS F&amp;G / control</t>
        </is>
      </c>
      <c r="G3393" s="12" t="inlineStr">
        <is>
          <t>JB-STR-C-DI01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195</v>
      </c>
      <c r="U3393" s="15" t="n">
        <v>162</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G-I-0267</t>
        </is>
      </c>
      <c r="B3394" s="12" t="inlineStr">
        <is>
          <t>G</t>
        </is>
      </c>
      <c r="C3394" s="12" t="inlineStr">
        <is>
          <t>Carbon capture</t>
        </is>
      </c>
      <c r="D3394" s="12" t="inlineStr">
        <is>
          <t>Discrete device to JB JB-STR-C-DI02: 10 x 1 pr (field cables)</t>
        </is>
      </c>
      <c r="E3394" s="12" t="inlineStr">
        <is>
          <t>STR-C</t>
        </is>
      </c>
      <c r="F3394" s="12" t="inlineStr">
        <is>
          <t>STR-C: stripper / regenerator (45 ft dia x 207 ft)</t>
        </is>
      </c>
      <c r="G3394" s="12" t="inlineStr">
        <is>
          <t>JB-STR-C-DI02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5" t="n">
        <v>153</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G-I-0268</t>
        </is>
      </c>
      <c r="B3395" s="12" t="inlineStr">
        <is>
          <t>G</t>
        </is>
      </c>
      <c r="C3395" s="12" t="inlineStr">
        <is>
          <t>Carbon capture</t>
        </is>
      </c>
      <c r="D3395" s="12" t="inlineStr">
        <is>
          <t>Home run JB-STR-C-DI02 to the control / marshalling room</t>
        </is>
      </c>
      <c r="E3395" s="12" t="inlineStr"/>
      <c r="F3395" s="12" t="inlineStr">
        <is>
          <t>CCS F&amp;G / control</t>
        </is>
      </c>
      <c r="G3395" s="12" t="inlineStr">
        <is>
          <t>JB-STR-C-DI02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195</v>
      </c>
      <c r="U3395" s="15" t="n">
        <v>162</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G-I-0269</t>
        </is>
      </c>
      <c r="B3396" s="12" t="inlineStr">
        <is>
          <t>G</t>
        </is>
      </c>
      <c r="C3396" s="12" t="inlineStr">
        <is>
          <t>Carbon capture</t>
        </is>
      </c>
      <c r="D3396" s="12" t="inlineStr">
        <is>
          <t>Analog instrument to JB JB-Solvent + NaOH sto-AI01: 10 x 1 pr (field cables)</t>
        </is>
      </c>
      <c r="E3396" s="12" t="inlineStr"/>
      <c r="F3396" s="12" t="inlineStr">
        <is>
          <t>Solvent + NaOH storage</t>
        </is>
      </c>
      <c r="G3396" s="12" t="inlineStr">
        <is>
          <t>JB-Solvent + NaOH sto-AI01</t>
        </is>
      </c>
      <c r="H3396" s="12" t="inlineStr">
        <is>
          <t>Solvent + NaOH storage</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5" t="n">
        <v>113</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G-I-0270</t>
        </is>
      </c>
      <c r="B3397" s="12" t="inlineStr">
        <is>
          <t>G</t>
        </is>
      </c>
      <c r="C3397" s="12" t="inlineStr">
        <is>
          <t>Carbon capture</t>
        </is>
      </c>
      <c r="D3397" s="12" t="inlineStr">
        <is>
          <t>Home run JB-Solvent + NaOH sto-AI01 to the control / marshalling room</t>
        </is>
      </c>
      <c r="E3397" s="12" t="inlineStr"/>
      <c r="F3397" s="12" t="inlineStr">
        <is>
          <t>CCS F&amp;G / control</t>
        </is>
      </c>
      <c r="G3397" s="12" t="inlineStr">
        <is>
          <t>JB-Solvent + NaOH sto-AI01</t>
        </is>
      </c>
      <c r="H3397" s="12" t="inlineStr">
        <is>
          <t>Solvent + NaOH storage</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146</v>
      </c>
      <c r="U3397" s="15" t="n">
        <v>106</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G-I-0271</t>
        </is>
      </c>
      <c r="B3398" s="12" t="inlineStr">
        <is>
          <t>G</t>
        </is>
      </c>
      <c r="C3398" s="12" t="inlineStr">
        <is>
          <t>Carbon capture</t>
        </is>
      </c>
      <c r="D3398" s="12" t="inlineStr">
        <is>
          <t>Discrete device to JB JB-Solvent + NaOH sto-DI01: 10 x 1 pr (field cables)</t>
        </is>
      </c>
      <c r="E3398" s="12" t="inlineStr"/>
      <c r="F3398" s="12" t="inlineStr">
        <is>
          <t>Solvent + NaOH storage</t>
        </is>
      </c>
      <c r="G3398" s="12" t="inlineStr">
        <is>
          <t>JB-Solvent + NaOH sto-DI01</t>
        </is>
      </c>
      <c r="H3398" s="12" t="inlineStr">
        <is>
          <t>Solvent + NaOH storage</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5" t="n">
        <v>113</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G-I-0272</t>
        </is>
      </c>
      <c r="B3399" s="12" t="inlineStr">
        <is>
          <t>G</t>
        </is>
      </c>
      <c r="C3399" s="12" t="inlineStr">
        <is>
          <t>Carbon capture</t>
        </is>
      </c>
      <c r="D3399" s="12" t="inlineStr">
        <is>
          <t>Home run JB-Solvent + NaOH sto-DI01 to the control / marshalling room</t>
        </is>
      </c>
      <c r="E3399" s="12" t="inlineStr"/>
      <c r="F3399" s="12" t="inlineStr">
        <is>
          <t>CCS F&amp;G / control</t>
        </is>
      </c>
      <c r="G3399" s="12" t="inlineStr">
        <is>
          <t>JB-Solvent + NaOH sto-DI01</t>
        </is>
      </c>
      <c r="H3399" s="12" t="inlineStr">
        <is>
          <t>Solvent + NaOH storage</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146</v>
      </c>
      <c r="U3399" s="15" t="n">
        <v>106</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G-I-0273</t>
        </is>
      </c>
      <c r="B3400" s="12" t="inlineStr">
        <is>
          <t>G</t>
        </is>
      </c>
      <c r="C3400" s="12" t="inlineStr">
        <is>
          <t>Carbon capture</t>
        </is>
      </c>
      <c r="D3400" s="12" t="inlineStr">
        <is>
          <t>Analog instrument to JB JB-Water-wash pumps A-AI01: 8 x 1 pr (field cables)</t>
        </is>
      </c>
      <c r="E3400" s="12" t="inlineStr"/>
      <c r="F3400" s="12" t="inlineStr">
        <is>
          <t>Water-wash pumps A</t>
        </is>
      </c>
      <c r="G3400" s="12" t="inlineStr">
        <is>
          <t>JB-Water-wash pumps A-AI01</t>
        </is>
      </c>
      <c r="H3400" s="12" t="inlineStr">
        <is>
          <t>Water-wash pumps A</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8</v>
      </c>
      <c r="O3400" s="12" t="n">
        <v>1</v>
      </c>
      <c r="P3400" s="12" t="n"/>
      <c r="Q3400" s="12" t="n"/>
      <c r="R3400" s="12" t="n"/>
      <c r="S3400" s="12" t="inlineStr">
        <is>
          <t>Tray / conduit</t>
        </is>
      </c>
      <c r="T3400" s="15" t="n">
        <v>66</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G-I-0274</t>
        </is>
      </c>
      <c r="B3401" s="12" t="inlineStr">
        <is>
          <t>G</t>
        </is>
      </c>
      <c r="C3401" s="12" t="inlineStr">
        <is>
          <t>Carbon capture</t>
        </is>
      </c>
      <c r="D3401" s="12" t="inlineStr">
        <is>
          <t>Home run JB-Water-wash pumps A-AI01 to the control / marshalling room</t>
        </is>
      </c>
      <c r="E3401" s="12" t="inlineStr"/>
      <c r="F3401" s="12" t="inlineStr">
        <is>
          <t>CCS F&amp;G / control</t>
        </is>
      </c>
      <c r="G3401" s="12" t="inlineStr">
        <is>
          <t>JB-Water-wash pumps A-AI01</t>
        </is>
      </c>
      <c r="H3401" s="12" t="inlineStr">
        <is>
          <t>Water-wash pumps A</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Tray</t>
        </is>
      </c>
      <c r="T3401" s="15" t="n">
        <v>868</v>
      </c>
      <c r="U3401" s="15" t="n">
        <v>135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G-I-0275</t>
        </is>
      </c>
      <c r="B3402" s="12" t="inlineStr">
        <is>
          <t>G</t>
        </is>
      </c>
      <c r="C3402" s="12" t="inlineStr">
        <is>
          <t>Carbon capture</t>
        </is>
      </c>
      <c r="D3402" s="12" t="inlineStr">
        <is>
          <t>Discrete device to JB JB-Water-wash pumps A-DI01: 8 x 1 pr (field cables)</t>
        </is>
      </c>
      <c r="E3402" s="12" t="inlineStr"/>
      <c r="F3402" s="12" t="inlineStr">
        <is>
          <t>Water-wash pumps A</t>
        </is>
      </c>
      <c r="G3402" s="12" t="inlineStr">
        <is>
          <t>JB-Water-wash pumps A-DI01</t>
        </is>
      </c>
      <c r="H3402" s="12" t="inlineStr">
        <is>
          <t>Water-wash pumps A</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8</v>
      </c>
      <c r="O3402" s="12" t="n">
        <v>1</v>
      </c>
      <c r="P3402" s="12" t="n"/>
      <c r="Q3402" s="12" t="n"/>
      <c r="R3402" s="12" t="n"/>
      <c r="S3402" s="12" t="inlineStr">
        <is>
          <t>Tray / conduit</t>
        </is>
      </c>
      <c r="T3402" s="15" t="n">
        <v>66</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G-I-0276</t>
        </is>
      </c>
      <c r="B3403" s="12" t="inlineStr">
        <is>
          <t>G</t>
        </is>
      </c>
      <c r="C3403" s="12" t="inlineStr">
        <is>
          <t>Carbon capture</t>
        </is>
      </c>
      <c r="D3403" s="12" t="inlineStr">
        <is>
          <t>Home run JB-Water-wash pumps A-DI01 to the control / marshalling room</t>
        </is>
      </c>
      <c r="E3403" s="12" t="inlineStr"/>
      <c r="F3403" s="12" t="inlineStr">
        <is>
          <t>CCS F&amp;G / control</t>
        </is>
      </c>
      <c r="G3403" s="12" t="inlineStr">
        <is>
          <t>JB-Water-wash pumps A-DI01</t>
        </is>
      </c>
      <c r="H3403" s="12" t="inlineStr">
        <is>
          <t>Water-wash pumps A</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Tray</t>
        </is>
      </c>
      <c r="T3403" s="15" t="n">
        <v>868</v>
      </c>
      <c r="U3403" s="15" t="n">
        <v>135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G-I-0277</t>
        </is>
      </c>
      <c r="B3404" s="12" t="inlineStr">
        <is>
          <t>G</t>
        </is>
      </c>
      <c r="C3404" s="12" t="inlineStr">
        <is>
          <t>Carbon capture</t>
        </is>
      </c>
      <c r="D3404" s="12" t="inlineStr">
        <is>
          <t>Analog instrument to JB JB-Water-wash pumps B-AI01: 8 x 1 pr (field cables)</t>
        </is>
      </c>
      <c r="E3404" s="12" t="inlineStr"/>
      <c r="F3404" s="12" t="inlineStr">
        <is>
          <t>Water-wash pumps B</t>
        </is>
      </c>
      <c r="G3404" s="12" t="inlineStr">
        <is>
          <t>JB-Water-wash pumps B-AI01</t>
        </is>
      </c>
      <c r="H3404" s="12" t="inlineStr">
        <is>
          <t>Water-wash pumps B</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5" t="n">
        <v>66</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G-I-0278</t>
        </is>
      </c>
      <c r="B3405" s="12" t="inlineStr">
        <is>
          <t>G</t>
        </is>
      </c>
      <c r="C3405" s="12" t="inlineStr">
        <is>
          <t>Carbon capture</t>
        </is>
      </c>
      <c r="D3405" s="12" t="inlineStr">
        <is>
          <t>Home run JB-Water-wash pumps B-AI01 to the control / marshalling room</t>
        </is>
      </c>
      <c r="E3405" s="12" t="inlineStr"/>
      <c r="F3405" s="12" t="inlineStr">
        <is>
          <t>CCS F&amp;G / control</t>
        </is>
      </c>
      <c r="G3405" s="12" t="inlineStr">
        <is>
          <t>JB-Water-wash pumps B-AI01</t>
        </is>
      </c>
      <c r="H3405" s="12" t="inlineStr">
        <is>
          <t>Water-wash pumps B</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5" t="n">
        <v>708</v>
      </c>
      <c r="U3405" s="15" t="n">
        <v>135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G-I-0279</t>
        </is>
      </c>
      <c r="B3406" s="12" t="inlineStr">
        <is>
          <t>G</t>
        </is>
      </c>
      <c r="C3406" s="12" t="inlineStr">
        <is>
          <t>Carbon capture</t>
        </is>
      </c>
      <c r="D3406" s="12" t="inlineStr">
        <is>
          <t>Discrete device to JB JB-Water-wash pumps B-DI01: 8 x 1 pr (field cables)</t>
        </is>
      </c>
      <c r="E3406" s="12" t="inlineStr"/>
      <c r="F3406" s="12" t="inlineStr">
        <is>
          <t>Water-wash pumps B</t>
        </is>
      </c>
      <c r="G3406" s="12" t="inlineStr">
        <is>
          <t>JB-Water-wash pumps B-DI01</t>
        </is>
      </c>
      <c r="H3406" s="12" t="inlineStr">
        <is>
          <t>Water-wash pumps B</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5" t="n">
        <v>66</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G-I-0280</t>
        </is>
      </c>
      <c r="B3407" s="12" t="inlineStr">
        <is>
          <t>G</t>
        </is>
      </c>
      <c r="C3407" s="12" t="inlineStr">
        <is>
          <t>Carbon capture</t>
        </is>
      </c>
      <c r="D3407" s="12" t="inlineStr">
        <is>
          <t>Home run JB-Water-wash pumps B-DI01 to the control / marshalling room</t>
        </is>
      </c>
      <c r="E3407" s="12" t="inlineStr"/>
      <c r="F3407" s="12" t="inlineStr">
        <is>
          <t>CCS F&amp;G / control</t>
        </is>
      </c>
      <c r="G3407" s="12" t="inlineStr">
        <is>
          <t>JB-Water-wash pumps B-DI01</t>
        </is>
      </c>
      <c r="H3407" s="12" t="inlineStr">
        <is>
          <t>Water-wash pumps B</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5" t="n">
        <v>708</v>
      </c>
      <c r="U3407" s="15" t="n">
        <v>135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G-I-0281</t>
        </is>
      </c>
      <c r="B3408" s="12" t="inlineStr">
        <is>
          <t>G</t>
        </is>
      </c>
      <c r="C3408" s="12" t="inlineStr">
        <is>
          <t>Carbon capture</t>
        </is>
      </c>
      <c r="D3408" s="12" t="inlineStr">
        <is>
          <t>Analog instrument to JB JB-Water-wash pumps C-AI01: 8 x 1 pr (field cables)</t>
        </is>
      </c>
      <c r="E3408" s="12" t="inlineStr"/>
      <c r="F3408" s="12" t="inlineStr">
        <is>
          <t>Water-wash pumps C</t>
        </is>
      </c>
      <c r="G3408" s="12" t="inlineStr">
        <is>
          <t>JB-Water-wash pumps C-AI01</t>
        </is>
      </c>
      <c r="H3408" s="12" t="inlineStr">
        <is>
          <t>Water-wash pumps C</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5" t="n">
        <v>66</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G-I-0282</t>
        </is>
      </c>
      <c r="B3409" s="12" t="inlineStr">
        <is>
          <t>G</t>
        </is>
      </c>
      <c r="C3409" s="12" t="inlineStr">
        <is>
          <t>Carbon capture</t>
        </is>
      </c>
      <c r="D3409" s="12" t="inlineStr">
        <is>
          <t>Home run JB-Water-wash pumps C-AI01 to the control / marshalling room</t>
        </is>
      </c>
      <c r="E3409" s="12" t="inlineStr"/>
      <c r="F3409" s="12" t="inlineStr">
        <is>
          <t>CCS F&amp;G / control</t>
        </is>
      </c>
      <c r="G3409" s="12" t="inlineStr">
        <is>
          <t>JB-Water-wash pumps C-AI01</t>
        </is>
      </c>
      <c r="H3409" s="12" t="inlineStr">
        <is>
          <t>Water-wash pumps C</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5" t="n">
        <v>548</v>
      </c>
      <c r="U3409" s="15" t="n">
        <v>135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G-I-0283</t>
        </is>
      </c>
      <c r="B3410" s="12" t="inlineStr">
        <is>
          <t>G</t>
        </is>
      </c>
      <c r="C3410" s="12" t="inlineStr">
        <is>
          <t>Carbon capture</t>
        </is>
      </c>
      <c r="D3410" s="12" t="inlineStr">
        <is>
          <t>Discrete device to JB JB-Water-wash pumps C-DI01: 8 x 1 pr (field cables)</t>
        </is>
      </c>
      <c r="E3410" s="12" t="inlineStr"/>
      <c r="F3410" s="12" t="inlineStr">
        <is>
          <t>Water-wash pumps C</t>
        </is>
      </c>
      <c r="G3410" s="12" t="inlineStr">
        <is>
          <t>JB-Water-wash pumps C-DI01</t>
        </is>
      </c>
      <c r="H3410" s="12" t="inlineStr">
        <is>
          <t>Water-wash pumps C</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5" t="n">
        <v>66</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G-I-0284</t>
        </is>
      </c>
      <c r="B3411" s="12" t="inlineStr">
        <is>
          <t>G</t>
        </is>
      </c>
      <c r="C3411" s="12" t="inlineStr">
        <is>
          <t>Carbon capture</t>
        </is>
      </c>
      <c r="D3411" s="12" t="inlineStr">
        <is>
          <t>Home run JB-Water-wash pumps C-DI01 to the control / marshalling room</t>
        </is>
      </c>
      <c r="E3411" s="12" t="inlineStr"/>
      <c r="F3411" s="12" t="inlineStr">
        <is>
          <t>CCS F&amp;G / control</t>
        </is>
      </c>
      <c r="G3411" s="12" t="inlineStr">
        <is>
          <t>JB-Water-wash pumps C-DI01</t>
        </is>
      </c>
      <c r="H3411" s="12" t="inlineStr">
        <is>
          <t>Water-wash pumps C</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548</v>
      </c>
      <c r="U3411" s="15" t="n">
        <v>135</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G-P-0001</t>
        </is>
      </c>
      <c r="B3412" s="12" t="inlineStr">
        <is>
          <t>G</t>
        </is>
      </c>
      <c r="C3412" s="12" t="inlineStr">
        <is>
          <t>Carbon capture</t>
        </is>
      </c>
      <c r="D3412" s="12" t="inlineStr">
        <is>
          <t>MOV 1: power</t>
        </is>
      </c>
      <c r="E3412" s="12" t="inlineStr"/>
      <c r="F3412" s="12" t="inlineStr">
        <is>
          <t>CCS MV switchgear building (VFDs)</t>
        </is>
      </c>
      <c r="G3412" s="12" t="inlineStr">
        <is>
          <t>ABS-A</t>
        </is>
      </c>
      <c r="H3412" s="12" t="inlineStr">
        <is>
          <t>Absorber A (62 ft dia x 262 ft, stack to 313 ft)</t>
        </is>
      </c>
      <c r="I3412" s="12" t="inlineStr">
        <is>
          <t>LV 600 V</t>
        </is>
      </c>
      <c r="J3412" s="12" t="inlineStr">
        <is>
          <t>Type TC-ER 600 V 3/C Cu XHHW-2 + ground, PVC jacket</t>
        </is>
      </c>
      <c r="K3412" s="12" t="inlineStr">
        <is>
          <t>LV|3/C+G|10</t>
        </is>
      </c>
      <c r="L3412" s="12" t="inlineStr">
        <is>
          <t>3/C+G</t>
        </is>
      </c>
      <c r="M3412" s="12" t="inlineStr">
        <is>
          <t>10</t>
        </is>
      </c>
      <c r="N3412" s="12" t="n">
        <v>1</v>
      </c>
      <c r="O3412" s="12" t="n">
        <v>1</v>
      </c>
      <c r="P3412" s="12" t="n">
        <v>480</v>
      </c>
      <c r="Q3412" s="12" t="n">
        <v>2.5</v>
      </c>
      <c r="R3412" s="12" t="n">
        <v>3.5</v>
      </c>
      <c r="S3412" s="12" t="inlineStr">
        <is>
          <t>Tray</t>
        </is>
      </c>
      <c r="T3412" s="15" t="n">
        <v>624</v>
      </c>
      <c r="U3412" s="15" t="n">
        <v>50</v>
      </c>
      <c r="V3412" s="15">
        <f>ROUNDUP((T3412+U3412+2*'Read Me'!$B$13)*(1+'Read Me'!$B$12),-1)</f>
        <v/>
      </c>
      <c r="W3412" s="15">
        <f>V3412*N3412*O3412</f>
        <v/>
      </c>
      <c r="X3412" s="12">
        <f>IF(LEFT(I3412,2)="MV",2*N3412*IF(L3412="1/C",O3412,1),0)</f>
        <v/>
      </c>
      <c r="Y3412" s="12">
        <f>IF(OR(LEFT(K3412,4)="LVAX",LEFT(K3412,6)="MV15AX",LEFT(K3412,4)="CTAX",LEFT(K3412,2)="W|"),2*N3412*O3412,0)</f>
        <v/>
      </c>
      <c r="Z3412" s="12" t="inlineStr">
        <is>
          <t>VD 1.1 %</t>
        </is>
      </c>
      <c r="AA3412" s="12">
        <f>N3412*O3412</f>
        <v/>
      </c>
    </row>
    <row r="3413">
      <c r="A3413" s="12" t="inlineStr">
        <is>
          <t>G-P-0002</t>
        </is>
      </c>
      <c r="B3413" s="12" t="inlineStr">
        <is>
          <t>G</t>
        </is>
      </c>
      <c r="C3413" s="12" t="inlineStr">
        <is>
          <t>Carbon capture</t>
        </is>
      </c>
      <c r="D3413" s="12" t="inlineStr">
        <is>
          <t>MOV 2: power</t>
        </is>
      </c>
      <c r="E3413" s="12" t="inlineStr"/>
      <c r="F3413" s="12" t="inlineStr">
        <is>
          <t>CCS MV switchgear building (VFDs)</t>
        </is>
      </c>
      <c r="G3413" s="12" t="inlineStr">
        <is>
          <t>ABS-A</t>
        </is>
      </c>
      <c r="H3413" s="12" t="inlineStr">
        <is>
          <t>Absorber A (62 ft dia x 262 ft, stack to 313 ft)</t>
        </is>
      </c>
      <c r="I3413" s="12" t="inlineStr">
        <is>
          <t>LV 600 V</t>
        </is>
      </c>
      <c r="J3413" s="12" t="inlineStr">
        <is>
          <t>Type TC-ER 600 V 3/C Cu XHHW-2 + ground, PVC jacket</t>
        </is>
      </c>
      <c r="K3413" s="12" t="inlineStr">
        <is>
          <t>LV|3/C+G|10</t>
        </is>
      </c>
      <c r="L3413" s="12" t="inlineStr">
        <is>
          <t>3/C+G</t>
        </is>
      </c>
      <c r="M3413" s="12" t="inlineStr">
        <is>
          <t>10</t>
        </is>
      </c>
      <c r="N3413" s="12" t="n">
        <v>1</v>
      </c>
      <c r="O3413" s="12" t="n">
        <v>1</v>
      </c>
      <c r="P3413" s="12" t="n">
        <v>480</v>
      </c>
      <c r="Q3413" s="12" t="n">
        <v>2.5</v>
      </c>
      <c r="R3413" s="12" t="n">
        <v>3.5</v>
      </c>
      <c r="S3413" s="12" t="inlineStr">
        <is>
          <t>Tray</t>
        </is>
      </c>
      <c r="T3413" s="15" t="n">
        <v>624</v>
      </c>
      <c r="U3413" s="15" t="n">
        <v>50</v>
      </c>
      <c r="V3413" s="15">
        <f>ROUNDUP((T3413+U3413+2*'Read Me'!$B$13)*(1+'Read Me'!$B$12),-1)</f>
        <v/>
      </c>
      <c r="W3413" s="15">
        <f>V3413*N3413*O3413</f>
        <v/>
      </c>
      <c r="X3413" s="12">
        <f>IF(LEFT(I3413,2)="MV",2*N3413*IF(L3413="1/C",O3413,1),0)</f>
        <v/>
      </c>
      <c r="Y3413" s="12">
        <f>IF(OR(LEFT(K3413,4)="LVAX",LEFT(K3413,6)="MV15AX",LEFT(K3413,4)="CTAX",LEFT(K3413,2)="W|"),2*N3413*O3413,0)</f>
        <v/>
      </c>
      <c r="Z3413" s="12" t="inlineStr">
        <is>
          <t>VD 1.1 %</t>
        </is>
      </c>
      <c r="AA3413" s="12">
        <f>N3413*O3413</f>
        <v/>
      </c>
    </row>
    <row r="3414">
      <c r="A3414" s="12" t="inlineStr">
        <is>
          <t>G-P-0003</t>
        </is>
      </c>
      <c r="B3414" s="12" t="inlineStr">
        <is>
          <t>G</t>
        </is>
      </c>
      <c r="C3414" s="12" t="inlineStr">
        <is>
          <t>Carbon capture</t>
        </is>
      </c>
      <c r="D3414" s="12" t="inlineStr">
        <is>
          <t>MOV 3: power</t>
        </is>
      </c>
      <c r="E3414" s="12" t="inlineStr"/>
      <c r="F3414" s="12" t="inlineStr">
        <is>
          <t>CCS MV switchgear building (VFDs)</t>
        </is>
      </c>
      <c r="G3414" s="12" t="inlineStr">
        <is>
          <t>ABS-A</t>
        </is>
      </c>
      <c r="H3414" s="12" t="inlineStr">
        <is>
          <t>Absorber A (62 ft dia x 262 ft, stack to 313 ft)</t>
        </is>
      </c>
      <c r="I3414" s="12" t="inlineStr">
        <is>
          <t>LV 600 V</t>
        </is>
      </c>
      <c r="J3414" s="12" t="inlineStr">
        <is>
          <t>Type TC-ER 600 V 3/C Cu XHHW-2 + ground, PVC jacket</t>
        </is>
      </c>
      <c r="K3414" s="12" t="inlineStr">
        <is>
          <t>LV|3/C+G|10</t>
        </is>
      </c>
      <c r="L3414" s="12" t="inlineStr">
        <is>
          <t>3/C+G</t>
        </is>
      </c>
      <c r="M3414" s="12" t="inlineStr">
        <is>
          <t>10</t>
        </is>
      </c>
      <c r="N3414" s="12" t="n">
        <v>1</v>
      </c>
      <c r="O3414" s="12" t="n">
        <v>1</v>
      </c>
      <c r="P3414" s="12" t="n">
        <v>480</v>
      </c>
      <c r="Q3414" s="12" t="n">
        <v>2.5</v>
      </c>
      <c r="R3414" s="12" t="n">
        <v>3.5</v>
      </c>
      <c r="S3414" s="12" t="inlineStr">
        <is>
          <t>Tray</t>
        </is>
      </c>
      <c r="T3414" s="15" t="n">
        <v>624</v>
      </c>
      <c r="U3414" s="15" t="n">
        <v>50</v>
      </c>
      <c r="V3414" s="15">
        <f>ROUNDUP((T3414+U3414+2*'Read Me'!$B$13)*(1+'Read Me'!$B$12),-1)</f>
        <v/>
      </c>
      <c r="W3414" s="15">
        <f>V3414*N3414*O3414</f>
        <v/>
      </c>
      <c r="X3414" s="12">
        <f>IF(LEFT(I3414,2)="MV",2*N3414*IF(L3414="1/C",O3414,1),0)</f>
        <v/>
      </c>
      <c r="Y3414" s="12">
        <f>IF(OR(LEFT(K3414,4)="LVAX",LEFT(K3414,6)="MV15AX",LEFT(K3414,4)="CTAX",LEFT(K3414,2)="W|"),2*N3414*O3414,0)</f>
        <v/>
      </c>
      <c r="Z3414" s="12" t="inlineStr">
        <is>
          <t>VD 1.1 %</t>
        </is>
      </c>
      <c r="AA3414" s="12">
        <f>N3414*O3414</f>
        <v/>
      </c>
    </row>
    <row r="3415">
      <c r="A3415" s="12" t="inlineStr">
        <is>
          <t>G-P-0004</t>
        </is>
      </c>
      <c r="B3415" s="12" t="inlineStr">
        <is>
          <t>G</t>
        </is>
      </c>
      <c r="C3415" s="12" t="inlineStr">
        <is>
          <t>Carbon capture</t>
        </is>
      </c>
      <c r="D3415" s="12" t="inlineStr">
        <is>
          <t>MOV 4: power</t>
        </is>
      </c>
      <c r="E3415" s="12" t="inlineStr"/>
      <c r="F3415" s="12" t="inlineStr">
        <is>
          <t>CCS MV switchgear building (VFDs)</t>
        </is>
      </c>
      <c r="G3415" s="12" t="inlineStr">
        <is>
          <t>ABS-A</t>
        </is>
      </c>
      <c r="H3415" s="12" t="inlineStr">
        <is>
          <t>Absorber A (62 ft dia x 262 ft, stack to 313 ft)</t>
        </is>
      </c>
      <c r="I3415" s="12" t="inlineStr">
        <is>
          <t>LV 600 V</t>
        </is>
      </c>
      <c r="J3415" s="12" t="inlineStr">
        <is>
          <t>Type TC-ER 600 V 3/C Cu XHHW-2 + ground, PVC jacket</t>
        </is>
      </c>
      <c r="K3415" s="12" t="inlineStr">
        <is>
          <t>LV|3/C+G|10</t>
        </is>
      </c>
      <c r="L3415" s="12" t="inlineStr">
        <is>
          <t>3/C+G</t>
        </is>
      </c>
      <c r="M3415" s="12" t="inlineStr">
        <is>
          <t>10</t>
        </is>
      </c>
      <c r="N3415" s="12" t="n">
        <v>1</v>
      </c>
      <c r="O3415" s="12" t="n">
        <v>1</v>
      </c>
      <c r="P3415" s="12" t="n">
        <v>480</v>
      </c>
      <c r="Q3415" s="12" t="n">
        <v>2.5</v>
      </c>
      <c r="R3415" s="12" t="n">
        <v>3.5</v>
      </c>
      <c r="S3415" s="12" t="inlineStr">
        <is>
          <t>Tray</t>
        </is>
      </c>
      <c r="T3415" s="15" t="n">
        <v>624</v>
      </c>
      <c r="U3415" s="15" t="n">
        <v>50</v>
      </c>
      <c r="V3415" s="15">
        <f>ROUNDUP((T3415+U3415+2*'Read Me'!$B$13)*(1+'Read Me'!$B$12),-1)</f>
        <v/>
      </c>
      <c r="W3415" s="15">
        <f>V3415*N3415*O3415</f>
        <v/>
      </c>
      <c r="X3415" s="12">
        <f>IF(LEFT(I3415,2)="MV",2*N3415*IF(L3415="1/C",O3415,1),0)</f>
        <v/>
      </c>
      <c r="Y3415" s="12">
        <f>IF(OR(LEFT(K3415,4)="LVAX",LEFT(K3415,6)="MV15AX",LEFT(K3415,4)="CTAX",LEFT(K3415,2)="W|"),2*N3415*O3415,0)</f>
        <v/>
      </c>
      <c r="Z3415" s="12" t="inlineStr">
        <is>
          <t>VD 1.1 %</t>
        </is>
      </c>
      <c r="AA3415" s="12">
        <f>N3415*O3415</f>
        <v/>
      </c>
    </row>
    <row r="3416">
      <c r="A3416" s="12" t="inlineStr">
        <is>
          <t>G-P-0005</t>
        </is>
      </c>
      <c r="B3416" s="12" t="inlineStr">
        <is>
          <t>G</t>
        </is>
      </c>
      <c r="C3416" s="12" t="inlineStr">
        <is>
          <t>Carbon capture</t>
        </is>
      </c>
      <c r="D3416" s="12" t="inlineStr">
        <is>
          <t>MOV 5: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5" t="n">
        <v>624</v>
      </c>
      <c r="U3416" s="15" t="n">
        <v>50</v>
      </c>
      <c r="V3416" s="15">
        <f>ROUNDUP((T3416+U3416+2*'Read Me'!$B$13)*(1+'Read Me'!$B$12),-1)</f>
        <v/>
      </c>
      <c r="W3416" s="15">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G-P-0006</t>
        </is>
      </c>
      <c r="B3417" s="12" t="inlineStr">
        <is>
          <t>G</t>
        </is>
      </c>
      <c r="C3417" s="12" t="inlineStr">
        <is>
          <t>Carbon capture</t>
        </is>
      </c>
      <c r="D3417" s="12" t="inlineStr">
        <is>
          <t>MOV 6: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5" t="n">
        <v>624</v>
      </c>
      <c r="U3417" s="15" t="n">
        <v>50</v>
      </c>
      <c r="V3417" s="15">
        <f>ROUNDUP((T3417+U3417+2*'Read Me'!$B$13)*(1+'Read Me'!$B$12),-1)</f>
        <v/>
      </c>
      <c r="W3417" s="15">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G-P-0007</t>
        </is>
      </c>
      <c r="B3418" s="12" t="inlineStr">
        <is>
          <t>G</t>
        </is>
      </c>
      <c r="C3418" s="12" t="inlineStr">
        <is>
          <t>Carbon capture</t>
        </is>
      </c>
      <c r="D3418" s="12" t="inlineStr">
        <is>
          <t>MOV 7: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5" t="n">
        <v>624</v>
      </c>
      <c r="U3418" s="15" t="n">
        <v>50</v>
      </c>
      <c r="V3418" s="15">
        <f>ROUNDUP((T3418+U3418+2*'Read Me'!$B$13)*(1+'Read Me'!$B$12),-1)</f>
        <v/>
      </c>
      <c r="W3418" s="15">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G-P-0008</t>
        </is>
      </c>
      <c r="B3419" s="12" t="inlineStr">
        <is>
          <t>G</t>
        </is>
      </c>
      <c r="C3419" s="12" t="inlineStr">
        <is>
          <t>Carbon capture</t>
        </is>
      </c>
      <c r="D3419" s="12" t="inlineStr">
        <is>
          <t>MOV 8: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5" t="n">
        <v>624</v>
      </c>
      <c r="U3419" s="15" t="n">
        <v>50</v>
      </c>
      <c r="V3419" s="15">
        <f>ROUNDUP((T3419+U3419+2*'Read Me'!$B$13)*(1+'Read Me'!$B$12),-1)</f>
        <v/>
      </c>
      <c r="W3419" s="15">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G-P-0009</t>
        </is>
      </c>
      <c r="B3420" s="12" t="inlineStr">
        <is>
          <t>G</t>
        </is>
      </c>
      <c r="C3420" s="12" t="inlineStr">
        <is>
          <t>Carbon capture</t>
        </is>
      </c>
      <c r="D3420" s="12" t="inlineStr">
        <is>
          <t>MOV 9: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5" t="n">
        <v>624</v>
      </c>
      <c r="U3420" s="15" t="n">
        <v>50</v>
      </c>
      <c r="V3420" s="15">
        <f>ROUNDUP((T3420+U3420+2*'Read Me'!$B$13)*(1+'Read Me'!$B$12),-1)</f>
        <v/>
      </c>
      <c r="W3420" s="15">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G-P-0010</t>
        </is>
      </c>
      <c r="B3421" s="12" t="inlineStr">
        <is>
          <t>G</t>
        </is>
      </c>
      <c r="C3421" s="12" t="inlineStr">
        <is>
          <t>Carbon capture</t>
        </is>
      </c>
      <c r="D3421" s="12" t="inlineStr">
        <is>
          <t>MOV 10: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5" t="n">
        <v>624</v>
      </c>
      <c r="U3421" s="15" t="n">
        <v>50</v>
      </c>
      <c r="V3421" s="15">
        <f>ROUNDUP((T3421+U3421+2*'Read Me'!$B$13)*(1+'Read Me'!$B$12),-1)</f>
        <v/>
      </c>
      <c r="W3421" s="15">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G-P-0011</t>
        </is>
      </c>
      <c r="B3422" s="12" t="inlineStr">
        <is>
          <t>G</t>
        </is>
      </c>
      <c r="C3422" s="12" t="inlineStr">
        <is>
          <t>Carbon capture</t>
        </is>
      </c>
      <c r="D3422" s="12" t="inlineStr">
        <is>
          <t>LV power feeder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LV|3/C+G|2</t>
        </is>
      </c>
      <c r="L3422" s="12" t="inlineStr">
        <is>
          <t>3/C+G</t>
        </is>
      </c>
      <c r="M3422" s="12" t="inlineStr">
        <is>
          <t>2</t>
        </is>
      </c>
      <c r="N3422" s="12" t="n">
        <v>1</v>
      </c>
      <c r="O3422" s="12" t="n">
        <v>1</v>
      </c>
      <c r="P3422" s="12" t="n">
        <v>480</v>
      </c>
      <c r="Q3422" s="12" t="n">
        <v>40</v>
      </c>
      <c r="R3422" s="12" t="n">
        <v>56.6</v>
      </c>
      <c r="S3422" s="12" t="inlineStr">
        <is>
          <t>Tray</t>
        </is>
      </c>
      <c r="T3422" s="15" t="n">
        <v>624</v>
      </c>
      <c r="U3422" s="15" t="n">
        <v>50</v>
      </c>
      <c r="V3422" s="15">
        <f>ROUNDUP((T3422+U3422+2*'Read Me'!$B$13)*(1+'Read Me'!$B$12),-1)</f>
        <v/>
      </c>
      <c r="W3422" s="15">
        <f>V3422*N3422*O3422</f>
        <v/>
      </c>
      <c r="X3422" s="12">
        <f>IF(LEFT(I3422,2)="MV",2*N3422*IF(L3422="1/C",O3422,1),0)</f>
        <v/>
      </c>
      <c r="Y3422" s="12">
        <f>IF(OR(LEFT(K3422,4)="LVAX",LEFT(K3422,6)="MV15AX",LEFT(K3422,4)="CTAX",LEFT(K3422,2)="W|"),2*N3422*O3422,0)</f>
        <v/>
      </c>
      <c r="Z3422" s="12" t="inlineStr">
        <is>
          <t>VD 2.9 %</t>
        </is>
      </c>
      <c r="AA3422" s="12">
        <f>N3422*O3422</f>
        <v/>
      </c>
    </row>
    <row r="3423">
      <c r="A3423" s="12" t="inlineStr">
        <is>
          <t>G-P-0012</t>
        </is>
      </c>
      <c r="B3423" s="12" t="inlineStr">
        <is>
          <t>G</t>
        </is>
      </c>
      <c r="C3423" s="12" t="inlineStr">
        <is>
          <t>Carbon capture</t>
        </is>
      </c>
      <c r="D3423" s="12" t="inlineStr">
        <is>
          <t>Area / platform lighting circuit 1 (12 fixtures)</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3</v>
      </c>
      <c r="R3423" s="12" t="n">
        <v>5</v>
      </c>
      <c r="S3423" s="12" t="inlineStr">
        <is>
          <t>Tray</t>
        </is>
      </c>
      <c r="T3423" s="15" t="n">
        <v>924</v>
      </c>
      <c r="U3423" s="15" t="n">
        <v>50</v>
      </c>
      <c r="V3423" s="15">
        <f>ROUNDUP((T3423+U3423+2*'Read Me'!$B$13)*(1+'Read Me'!$B$12),-1)</f>
        <v/>
      </c>
      <c r="W3423" s="15">
        <f>V3423*N3423*O3423</f>
        <v/>
      </c>
      <c r="X3423" s="12">
        <f>IF(LEFT(I3423,2)="MV",2*N3423*IF(L3423="1/C",O3423,1),0)</f>
        <v/>
      </c>
      <c r="Y3423" s="12">
        <f>IF(OR(LEFT(K3423,4)="LVAX",LEFT(K3423,6)="MV15AX",LEFT(K3423,4)="CTAX",LEFT(K3423,2)="W|"),2*N3423*O3423,0)</f>
        <v/>
      </c>
      <c r="Z3423" s="12" t="inlineStr">
        <is>
          <t>fixture-to-fixture run included</t>
        </is>
      </c>
      <c r="AA3423" s="12">
        <f>N3423*O3423</f>
        <v/>
      </c>
    </row>
    <row r="3424">
      <c r="A3424" s="12" t="inlineStr">
        <is>
          <t>G-P-0013</t>
        </is>
      </c>
      <c r="B3424" s="12" t="inlineStr">
        <is>
          <t>G</t>
        </is>
      </c>
      <c r="C3424" s="12" t="inlineStr">
        <is>
          <t>Carbon capture</t>
        </is>
      </c>
      <c r="D3424" s="12" t="inlineStr">
        <is>
          <t>Area / platform lighting circuit 2 (12 fixtures)</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3</v>
      </c>
      <c r="R3424" s="12" t="n">
        <v>5</v>
      </c>
      <c r="S3424" s="12" t="inlineStr">
        <is>
          <t>Tray</t>
        </is>
      </c>
      <c r="T3424" s="15" t="n">
        <v>924</v>
      </c>
      <c r="U3424" s="15" t="n">
        <v>50</v>
      </c>
      <c r="V3424" s="15">
        <f>ROUNDUP((T3424+U3424+2*'Read Me'!$B$13)*(1+'Read Me'!$B$12),-1)</f>
        <v/>
      </c>
      <c r="W3424" s="15">
        <f>V3424*N3424*O3424</f>
        <v/>
      </c>
      <c r="X3424" s="12">
        <f>IF(LEFT(I3424,2)="MV",2*N3424*IF(L3424="1/C",O3424,1),0)</f>
        <v/>
      </c>
      <c r="Y3424" s="12">
        <f>IF(OR(LEFT(K3424,4)="LVAX",LEFT(K3424,6)="MV15AX",LEFT(K3424,4)="CTAX",LEFT(K3424,2)="W|"),2*N3424*O3424,0)</f>
        <v/>
      </c>
      <c r="Z3424" s="12" t="inlineStr">
        <is>
          <t>fixture-to-fixture run included</t>
        </is>
      </c>
      <c r="AA3424" s="12">
        <f>N3424*O3424</f>
        <v/>
      </c>
    </row>
    <row r="3425">
      <c r="A3425" s="12" t="inlineStr">
        <is>
          <t>G-P-0014</t>
        </is>
      </c>
      <c r="B3425" s="12" t="inlineStr">
        <is>
          <t>G</t>
        </is>
      </c>
      <c r="C3425" s="12" t="inlineStr">
        <is>
          <t>Carbon capture</t>
        </is>
      </c>
      <c r="D3425" s="12" t="inlineStr">
        <is>
          <t>Area / platform lighting circuit 3 (6 fixtures)</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3</v>
      </c>
      <c r="R3425" s="12" t="n">
        <v>5</v>
      </c>
      <c r="S3425" s="12" t="inlineStr">
        <is>
          <t>Tray</t>
        </is>
      </c>
      <c r="T3425" s="15" t="n">
        <v>924</v>
      </c>
      <c r="U3425" s="15" t="n">
        <v>50</v>
      </c>
      <c r="V3425" s="15">
        <f>ROUNDUP((T3425+U3425+2*'Read Me'!$B$13)*(1+'Read Me'!$B$12),-1)</f>
        <v/>
      </c>
      <c r="W3425" s="15">
        <f>V3425*N3425*O3425</f>
        <v/>
      </c>
      <c r="X3425" s="12">
        <f>IF(LEFT(I3425,2)="MV",2*N3425*IF(L3425="1/C",O3425,1),0)</f>
        <v/>
      </c>
      <c r="Y3425" s="12">
        <f>IF(OR(LEFT(K3425,4)="LVAX",LEFT(K3425,6)="MV15AX",LEFT(K3425,4)="CTAX",LEFT(K3425,2)="W|"),2*N3425*O3425,0)</f>
        <v/>
      </c>
      <c r="Z3425" s="12" t="inlineStr">
        <is>
          <t>fixture-to-fixture run included</t>
        </is>
      </c>
      <c r="AA3425" s="12">
        <f>N3425*O3425</f>
        <v/>
      </c>
    </row>
    <row r="3426">
      <c r="A3426" s="12" t="inlineStr">
        <is>
          <t>G-P-0015</t>
        </is>
      </c>
      <c r="B3426" s="12" t="inlineStr">
        <is>
          <t>G</t>
        </is>
      </c>
      <c r="C3426" s="12" t="inlineStr">
        <is>
          <t>Carbon capture</t>
        </is>
      </c>
      <c r="D3426" s="12" t="inlineStr">
        <is>
          <t>480 V welding receptacle 1</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60</v>
      </c>
      <c r="R3426" s="12" t="n">
        <v>76</v>
      </c>
      <c r="S3426" s="12" t="inlineStr">
        <is>
          <t>Tray</t>
        </is>
      </c>
      <c r="T3426" s="15" t="n">
        <v>624</v>
      </c>
      <c r="U3426" s="15" t="n">
        <v>50</v>
      </c>
      <c r="V3426" s="15">
        <f>ROUNDUP((T3426+U3426+2*'Read Me'!$B$13)*(1+'Read Me'!$B$12),-1)</f>
        <v/>
      </c>
      <c r="W3426" s="15">
        <f>V3426*N3426*O3426</f>
        <v/>
      </c>
      <c r="X3426" s="12">
        <f>IF(LEFT(I3426,2)="MV",2*N3426*IF(L3426="1/C",O3426,1),0)</f>
        <v/>
      </c>
      <c r="Y3426" s="12">
        <f>IF(OR(LEFT(K3426,4)="LVAX",LEFT(K3426,6)="MV15AX",LEFT(K3426,4)="CTAX",LEFT(K3426,2)="W|"),2*N3426*O3426,0)</f>
        <v/>
      </c>
      <c r="Z3426" s="12" t="inlineStr">
        <is>
          <t>VD 2.5 %</t>
        </is>
      </c>
      <c r="AA3426" s="12">
        <f>N3426*O3426</f>
        <v/>
      </c>
    </row>
    <row r="3427">
      <c r="A3427" s="12" t="inlineStr">
        <is>
          <t>G-P-0016</t>
        </is>
      </c>
      <c r="B3427" s="12" t="inlineStr">
        <is>
          <t>G</t>
        </is>
      </c>
      <c r="C3427" s="12" t="inlineStr">
        <is>
          <t>Carbon capture</t>
        </is>
      </c>
      <c r="D3427" s="12" t="inlineStr">
        <is>
          <t>480 V welding receptacle 2</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60</v>
      </c>
      <c r="R3427" s="12" t="n">
        <v>76</v>
      </c>
      <c r="S3427" s="12" t="inlineStr">
        <is>
          <t>Tray</t>
        </is>
      </c>
      <c r="T3427" s="15" t="n">
        <v>624</v>
      </c>
      <c r="U3427" s="15" t="n">
        <v>50</v>
      </c>
      <c r="V3427" s="15">
        <f>ROUNDUP((T3427+U3427+2*'Read Me'!$B$13)*(1+'Read Me'!$B$12),-1)</f>
        <v/>
      </c>
      <c r="W3427" s="15">
        <f>V3427*N3427*O3427</f>
        <v/>
      </c>
      <c r="X3427" s="12">
        <f>IF(LEFT(I3427,2)="MV",2*N3427*IF(L3427="1/C",O3427,1),0)</f>
        <v/>
      </c>
      <c r="Y3427" s="12">
        <f>IF(OR(LEFT(K3427,4)="LVAX",LEFT(K3427,6)="MV15AX",LEFT(K3427,4)="CTAX",LEFT(K3427,2)="W|"),2*N3427*O3427,0)</f>
        <v/>
      </c>
      <c r="Z3427" s="12" t="inlineStr">
        <is>
          <t>VD 2.5 %</t>
        </is>
      </c>
      <c r="AA3427" s="12">
        <f>N3427*O3427</f>
        <v/>
      </c>
    </row>
    <row r="3428">
      <c r="A3428" s="12" t="inlineStr">
        <is>
          <t>G-P-0017</t>
        </is>
      </c>
      <c r="B3428" s="12" t="inlineStr">
        <is>
          <t>G</t>
        </is>
      </c>
      <c r="C3428" s="12" t="inlineStr">
        <is>
          <t>Carbon capture</t>
        </is>
      </c>
      <c r="D3428" s="12" t="inlineStr">
        <is>
          <t>480 V welding receptacle 3</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60</v>
      </c>
      <c r="R3428" s="12" t="n">
        <v>76</v>
      </c>
      <c r="S3428" s="12" t="inlineStr">
        <is>
          <t>Tray</t>
        </is>
      </c>
      <c r="T3428" s="15" t="n">
        <v>624</v>
      </c>
      <c r="U3428" s="15" t="n">
        <v>50</v>
      </c>
      <c r="V3428" s="15">
        <f>ROUNDUP((T3428+U3428+2*'Read Me'!$B$13)*(1+'Read Me'!$B$12),-1)</f>
        <v/>
      </c>
      <c r="W3428" s="15">
        <f>V3428*N3428*O3428</f>
        <v/>
      </c>
      <c r="X3428" s="12">
        <f>IF(LEFT(I3428,2)="MV",2*N3428*IF(L3428="1/C",O3428,1),0)</f>
        <v/>
      </c>
      <c r="Y3428" s="12">
        <f>IF(OR(LEFT(K3428,4)="LVAX",LEFT(K3428,6)="MV15AX",LEFT(K3428,4)="CTAX",LEFT(K3428,2)="W|"),2*N3428*O3428,0)</f>
        <v/>
      </c>
      <c r="Z3428" s="12" t="inlineStr">
        <is>
          <t>VD 2.5 %</t>
        </is>
      </c>
      <c r="AA3428" s="12">
        <f>N3428*O3428</f>
        <v/>
      </c>
    </row>
    <row r="3429">
      <c r="A3429" s="12" t="inlineStr">
        <is>
          <t>G-P-0018</t>
        </is>
      </c>
      <c r="B3429" s="12" t="inlineStr">
        <is>
          <t>G</t>
        </is>
      </c>
      <c r="C3429" s="12" t="inlineStr">
        <is>
          <t>Carbon capture</t>
        </is>
      </c>
      <c r="D3429" s="12" t="inlineStr">
        <is>
          <t>480 V welding receptacle 4</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60</v>
      </c>
      <c r="R3429" s="12" t="n">
        <v>76</v>
      </c>
      <c r="S3429" s="12" t="inlineStr">
        <is>
          <t>Tray</t>
        </is>
      </c>
      <c r="T3429" s="15" t="n">
        <v>624</v>
      </c>
      <c r="U3429" s="15" t="n">
        <v>50</v>
      </c>
      <c r="V3429" s="15">
        <f>ROUNDUP((T3429+U3429+2*'Read Me'!$B$13)*(1+'Read Me'!$B$12),-1)</f>
        <v/>
      </c>
      <c r="W3429" s="15">
        <f>V3429*N3429*O3429</f>
        <v/>
      </c>
      <c r="X3429" s="12">
        <f>IF(LEFT(I3429,2)="MV",2*N3429*IF(L3429="1/C",O3429,1),0)</f>
        <v/>
      </c>
      <c r="Y3429" s="12">
        <f>IF(OR(LEFT(K3429,4)="LVAX",LEFT(K3429,6)="MV15AX",LEFT(K3429,4)="CTAX",LEFT(K3429,2)="W|"),2*N3429*O3429,0)</f>
        <v/>
      </c>
      <c r="Z3429" s="12" t="inlineStr">
        <is>
          <t>VD 2.5 %</t>
        </is>
      </c>
      <c r="AA3429" s="12">
        <f>N3429*O3429</f>
        <v/>
      </c>
    </row>
    <row r="3430">
      <c r="A3430" s="12" t="inlineStr">
        <is>
          <t>G-P-0019</t>
        </is>
      </c>
      <c r="B3430" s="12" t="inlineStr">
        <is>
          <t>G</t>
        </is>
      </c>
      <c r="C3430" s="12" t="inlineStr">
        <is>
          <t>Carbon capture</t>
        </is>
      </c>
      <c r="D3430" s="12" t="inlineStr">
        <is>
          <t>Motor 1 of 2, 150 kW</t>
        </is>
      </c>
      <c r="E3430" s="12" t="inlineStr"/>
      <c r="F3430" s="12" t="inlineStr">
        <is>
          <t>CCS MV switchgear building (VFDs)</t>
        </is>
      </c>
      <c r="G3430" s="12" t="inlineStr"/>
      <c r="H3430" s="12" t="inlineStr">
        <is>
          <t>Absorber A intercooler (pumps + plate exchanger)</t>
        </is>
      </c>
      <c r="I3430" s="12" t="inlineStr">
        <is>
          <t>LV 600 V</t>
        </is>
      </c>
      <c r="J3430" s="12" t="inlineStr">
        <is>
          <t>Type TC-ER 600 V 3/C Cu XHHW-2 + ground, PVC jacket</t>
        </is>
      </c>
      <c r="K3430" s="12" t="inlineStr">
        <is>
          <t>LV|3/C+G|350</t>
        </is>
      </c>
      <c r="L3430" s="12" t="inlineStr">
        <is>
          <t>3/C+G</t>
        </is>
      </c>
      <c r="M3430" s="12" t="inlineStr">
        <is>
          <t>350 kcmil</t>
        </is>
      </c>
      <c r="N3430" s="12" t="n">
        <v>1</v>
      </c>
      <c r="O3430" s="12" t="n">
        <v>1</v>
      </c>
      <c r="P3430" s="12" t="n">
        <v>480</v>
      </c>
      <c r="Q3430" s="12" t="n">
        <v>150</v>
      </c>
      <c r="R3430" s="12" t="n">
        <v>212.3</v>
      </c>
      <c r="S3430" s="12" t="inlineStr">
        <is>
          <t>Tray</t>
        </is>
      </c>
      <c r="T3430" s="15" t="n">
        <v>606</v>
      </c>
      <c r="U3430" s="15" t="n">
        <v>51</v>
      </c>
      <c r="V3430" s="15">
        <f>ROUNDUP((T3430+U3430+2*'Read Me'!$B$13)*(1+'Read Me'!$B$12),-1)</f>
        <v/>
      </c>
      <c r="W3430" s="15">
        <f>V3430*N3430*O3430</f>
        <v/>
      </c>
      <c r="X3430" s="12">
        <f>IF(LEFT(I3430,2)="MV",2*N3430*IF(L3430="1/C",O3430,1),0)</f>
        <v/>
      </c>
      <c r="Y3430" s="12">
        <f>IF(OR(LEFT(K3430,4)="LVAX",LEFT(K3430,6)="MV15AX",LEFT(K3430,4)="CTAX",LEFT(K3430,2)="W|"),2*N3430*O3430,0)</f>
        <v/>
      </c>
      <c r="Z3430" s="12" t="inlineStr">
        <is>
          <t>VD 2.0 %</t>
        </is>
      </c>
      <c r="AA3430" s="12">
        <f>N3430*O3430</f>
        <v/>
      </c>
    </row>
    <row r="3431">
      <c r="A3431" s="12" t="inlineStr">
        <is>
          <t>G-P-0020</t>
        </is>
      </c>
      <c r="B3431" s="12" t="inlineStr">
        <is>
          <t>G</t>
        </is>
      </c>
      <c r="C3431" s="12" t="inlineStr">
        <is>
          <t>Carbon capture</t>
        </is>
      </c>
      <c r="D3431" s="12" t="inlineStr">
        <is>
          <t>Motor 2 of 2, 150 kW</t>
        </is>
      </c>
      <c r="E3431" s="12" t="inlineStr"/>
      <c r="F3431" s="12" t="inlineStr">
        <is>
          <t>CCS MV switchgear building (VFDs)</t>
        </is>
      </c>
      <c r="G3431" s="12" t="inlineStr"/>
      <c r="H3431" s="12" t="inlineStr">
        <is>
          <t>Absorber A intercooler (pumps + plate exchanger)</t>
        </is>
      </c>
      <c r="I3431" s="12" t="inlineStr">
        <is>
          <t>LV 600 V</t>
        </is>
      </c>
      <c r="J3431" s="12" t="inlineStr">
        <is>
          <t>Type TC-ER 600 V 3/C Cu XHHW-2 + ground, PVC jacket</t>
        </is>
      </c>
      <c r="K3431" s="12" t="inlineStr">
        <is>
          <t>LV|3/C+G|350</t>
        </is>
      </c>
      <c r="L3431" s="12" t="inlineStr">
        <is>
          <t>3/C+G</t>
        </is>
      </c>
      <c r="M3431" s="12" t="inlineStr">
        <is>
          <t>350 kcmil</t>
        </is>
      </c>
      <c r="N3431" s="12" t="n">
        <v>1</v>
      </c>
      <c r="O3431" s="12" t="n">
        <v>1</v>
      </c>
      <c r="P3431" s="12" t="n">
        <v>480</v>
      </c>
      <c r="Q3431" s="12" t="n">
        <v>150</v>
      </c>
      <c r="R3431" s="12" t="n">
        <v>212.3</v>
      </c>
      <c r="S3431" s="12" t="inlineStr">
        <is>
          <t>Tray</t>
        </is>
      </c>
      <c r="T3431" s="15" t="n">
        <v>606</v>
      </c>
      <c r="U3431" s="15" t="n">
        <v>51</v>
      </c>
      <c r="V3431" s="15">
        <f>ROUNDUP((T3431+U3431+2*'Read Me'!$B$13)*(1+'Read Me'!$B$12),-1)</f>
        <v/>
      </c>
      <c r="W3431" s="15">
        <f>V3431*N3431*O3431</f>
        <v/>
      </c>
      <c r="X3431" s="12">
        <f>IF(LEFT(I3431,2)="MV",2*N3431*IF(L3431="1/C",O3431,1),0)</f>
        <v/>
      </c>
      <c r="Y3431" s="12">
        <f>IF(OR(LEFT(K3431,4)="LVAX",LEFT(K3431,6)="MV15AX",LEFT(K3431,4)="CTAX",LEFT(K3431,2)="W|"),2*N3431*O3431,0)</f>
        <v/>
      </c>
      <c r="Z3431" s="12" t="inlineStr">
        <is>
          <t>VD 2.0 %</t>
        </is>
      </c>
      <c r="AA3431" s="12">
        <f>N3431*O3431</f>
        <v/>
      </c>
    </row>
    <row r="3432">
      <c r="A3432" s="12" t="inlineStr">
        <is>
          <t>G-P-0021</t>
        </is>
      </c>
      <c r="B3432" s="12" t="inlineStr">
        <is>
          <t>G</t>
        </is>
      </c>
      <c r="C3432" s="12" t="inlineStr">
        <is>
          <t>Carbon capture</t>
        </is>
      </c>
      <c r="D3432" s="12" t="inlineStr">
        <is>
          <t>MOV 1: power</t>
        </is>
      </c>
      <c r="E3432" s="12" t="inlineStr"/>
      <c r="F3432" s="12" t="inlineStr">
        <is>
          <t>CCS MV switchgear building (VFDs)</t>
        </is>
      </c>
      <c r="G3432" s="12" t="inlineStr">
        <is>
          <t>ABS-B</t>
        </is>
      </c>
      <c r="H3432" s="12" t="inlineStr">
        <is>
          <t>Absorber B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2.5</v>
      </c>
      <c r="R3432" s="12" t="n">
        <v>3.5</v>
      </c>
      <c r="S3432" s="12" t="inlineStr">
        <is>
          <t>Tray</t>
        </is>
      </c>
      <c r="T3432" s="15" t="n">
        <v>464</v>
      </c>
      <c r="U3432" s="15" t="n">
        <v>50</v>
      </c>
      <c r="V3432" s="15">
        <f>ROUNDUP((T3432+U3432+2*'Read Me'!$B$13)*(1+'Read Me'!$B$12),-1)</f>
        <v/>
      </c>
      <c r="W3432" s="15">
        <f>V3432*N3432*O3432</f>
        <v/>
      </c>
      <c r="X3432" s="12">
        <f>IF(LEFT(I3432,2)="MV",2*N3432*IF(L3432="1/C",O3432,1),0)</f>
        <v/>
      </c>
      <c r="Y3432" s="12">
        <f>IF(OR(LEFT(K3432,4)="LVAX",LEFT(K3432,6)="MV15AX",LEFT(K3432,4)="CTAX",LEFT(K3432,2)="W|"),2*N3432*O3432,0)</f>
        <v/>
      </c>
      <c r="Z3432" s="12" t="inlineStr">
        <is>
          <t>VD 0.9 %</t>
        </is>
      </c>
      <c r="AA3432" s="12">
        <f>N3432*O3432</f>
        <v/>
      </c>
    </row>
    <row r="3433">
      <c r="A3433" s="12" t="inlineStr">
        <is>
          <t>G-P-0022</t>
        </is>
      </c>
      <c r="B3433" s="12" t="inlineStr">
        <is>
          <t>G</t>
        </is>
      </c>
      <c r="C3433" s="12" t="inlineStr">
        <is>
          <t>Carbon capture</t>
        </is>
      </c>
      <c r="D3433" s="12" t="inlineStr">
        <is>
          <t>MOV 2: power</t>
        </is>
      </c>
      <c r="E3433" s="12" t="inlineStr"/>
      <c r="F3433" s="12" t="inlineStr">
        <is>
          <t>CCS MV switchgear building (VFDs)</t>
        </is>
      </c>
      <c r="G3433" s="12" t="inlineStr">
        <is>
          <t>ABS-B</t>
        </is>
      </c>
      <c r="H3433" s="12" t="inlineStr">
        <is>
          <t>Absorber B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2.5</v>
      </c>
      <c r="R3433" s="12" t="n">
        <v>3.5</v>
      </c>
      <c r="S3433" s="12" t="inlineStr">
        <is>
          <t>Tray</t>
        </is>
      </c>
      <c r="T3433" s="15" t="n">
        <v>464</v>
      </c>
      <c r="U3433" s="15" t="n">
        <v>50</v>
      </c>
      <c r="V3433" s="15">
        <f>ROUNDUP((T3433+U3433+2*'Read Me'!$B$13)*(1+'Read Me'!$B$12),-1)</f>
        <v/>
      </c>
      <c r="W3433" s="15">
        <f>V3433*N3433*O3433</f>
        <v/>
      </c>
      <c r="X3433" s="12">
        <f>IF(LEFT(I3433,2)="MV",2*N3433*IF(L3433="1/C",O3433,1),0)</f>
        <v/>
      </c>
      <c r="Y3433" s="12">
        <f>IF(OR(LEFT(K3433,4)="LVAX",LEFT(K3433,6)="MV15AX",LEFT(K3433,4)="CTAX",LEFT(K3433,2)="W|"),2*N3433*O3433,0)</f>
        <v/>
      </c>
      <c r="Z3433" s="12" t="inlineStr">
        <is>
          <t>VD 0.9 %</t>
        </is>
      </c>
      <c r="AA3433" s="12">
        <f>N3433*O3433</f>
        <v/>
      </c>
    </row>
    <row r="3434">
      <c r="A3434" s="12" t="inlineStr">
        <is>
          <t>G-P-0023</t>
        </is>
      </c>
      <c r="B3434" s="12" t="inlineStr">
        <is>
          <t>G</t>
        </is>
      </c>
      <c r="C3434" s="12" t="inlineStr">
        <is>
          <t>Carbon capture</t>
        </is>
      </c>
      <c r="D3434" s="12" t="inlineStr">
        <is>
          <t>MOV 3: power</t>
        </is>
      </c>
      <c r="E3434" s="12" t="inlineStr"/>
      <c r="F3434" s="12" t="inlineStr">
        <is>
          <t>CCS MV switchgear building (VFDs)</t>
        </is>
      </c>
      <c r="G3434" s="12" t="inlineStr">
        <is>
          <t>ABS-B</t>
        </is>
      </c>
      <c r="H3434" s="12" t="inlineStr">
        <is>
          <t>Absorber B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5" t="n">
        <v>464</v>
      </c>
      <c r="U3434" s="15" t="n">
        <v>50</v>
      </c>
      <c r="V3434" s="15">
        <f>ROUNDUP((T3434+U3434+2*'Read Me'!$B$13)*(1+'Read Me'!$B$12),-1)</f>
        <v/>
      </c>
      <c r="W3434" s="15">
        <f>V3434*N3434*O3434</f>
        <v/>
      </c>
      <c r="X3434" s="12">
        <f>IF(LEFT(I3434,2)="MV",2*N3434*IF(L3434="1/C",O3434,1),0)</f>
        <v/>
      </c>
      <c r="Y3434" s="12">
        <f>IF(OR(LEFT(K3434,4)="LVAX",LEFT(K3434,6)="MV15AX",LEFT(K3434,4)="CTAX",LEFT(K3434,2)="W|"),2*N3434*O3434,0)</f>
        <v/>
      </c>
      <c r="Z3434" s="12" t="inlineStr">
        <is>
          <t>VD 0.9 %</t>
        </is>
      </c>
      <c r="AA3434" s="12">
        <f>N3434*O3434</f>
        <v/>
      </c>
    </row>
    <row r="3435">
      <c r="A3435" s="12" t="inlineStr">
        <is>
          <t>G-P-0024</t>
        </is>
      </c>
      <c r="B3435" s="12" t="inlineStr">
        <is>
          <t>G</t>
        </is>
      </c>
      <c r="C3435" s="12" t="inlineStr">
        <is>
          <t>Carbon capture</t>
        </is>
      </c>
      <c r="D3435" s="12" t="inlineStr">
        <is>
          <t>MOV 4: power</t>
        </is>
      </c>
      <c r="E3435" s="12" t="inlineStr"/>
      <c r="F3435" s="12" t="inlineStr">
        <is>
          <t>CCS MV switchgear building (VFDs)</t>
        </is>
      </c>
      <c r="G3435" s="12" t="inlineStr">
        <is>
          <t>ABS-B</t>
        </is>
      </c>
      <c r="H3435" s="12" t="inlineStr">
        <is>
          <t>Absorber B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5" t="n">
        <v>464</v>
      </c>
      <c r="U3435" s="15" t="n">
        <v>50</v>
      </c>
      <c r="V3435" s="15">
        <f>ROUNDUP((T3435+U3435+2*'Read Me'!$B$13)*(1+'Read Me'!$B$12),-1)</f>
        <v/>
      </c>
      <c r="W3435" s="15">
        <f>V3435*N3435*O3435</f>
        <v/>
      </c>
      <c r="X3435" s="12">
        <f>IF(LEFT(I3435,2)="MV",2*N3435*IF(L3435="1/C",O3435,1),0)</f>
        <v/>
      </c>
      <c r="Y3435" s="12">
        <f>IF(OR(LEFT(K3435,4)="LVAX",LEFT(K3435,6)="MV15AX",LEFT(K3435,4)="CTAX",LEFT(K3435,2)="W|"),2*N3435*O3435,0)</f>
        <v/>
      </c>
      <c r="Z3435" s="12" t="inlineStr">
        <is>
          <t>VD 0.9 %</t>
        </is>
      </c>
      <c r="AA3435" s="12">
        <f>N3435*O3435</f>
        <v/>
      </c>
    </row>
    <row r="3436">
      <c r="A3436" s="12" t="inlineStr">
        <is>
          <t>G-P-0025</t>
        </is>
      </c>
      <c r="B3436" s="12" t="inlineStr">
        <is>
          <t>G</t>
        </is>
      </c>
      <c r="C3436" s="12" t="inlineStr">
        <is>
          <t>Carbon capture</t>
        </is>
      </c>
      <c r="D3436" s="12" t="inlineStr">
        <is>
          <t>MOV 5: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5" t="n">
        <v>464</v>
      </c>
      <c r="U3436" s="15" t="n">
        <v>50</v>
      </c>
      <c r="V3436" s="15">
        <f>ROUNDUP((T3436+U3436+2*'Read Me'!$B$13)*(1+'Read Me'!$B$12),-1)</f>
        <v/>
      </c>
      <c r="W3436" s="15">
        <f>V3436*N3436*O3436</f>
        <v/>
      </c>
      <c r="X3436" s="12">
        <f>IF(LEFT(I3436,2)="MV",2*N3436*IF(L3436="1/C",O3436,1),0)</f>
        <v/>
      </c>
      <c r="Y3436" s="12">
        <f>IF(OR(LEFT(K3436,4)="LVAX",LEFT(K3436,6)="MV15AX",LEFT(K3436,4)="CTAX",LEFT(K3436,2)="W|"),2*N3436*O3436,0)</f>
        <v/>
      </c>
      <c r="Z3436" s="12" t="inlineStr">
        <is>
          <t>VD 0.9 %</t>
        </is>
      </c>
      <c r="AA3436" s="12">
        <f>N3436*O3436</f>
        <v/>
      </c>
    </row>
    <row r="3437">
      <c r="A3437" s="12" t="inlineStr">
        <is>
          <t>G-P-0026</t>
        </is>
      </c>
      <c r="B3437" s="12" t="inlineStr">
        <is>
          <t>G</t>
        </is>
      </c>
      <c r="C3437" s="12" t="inlineStr">
        <is>
          <t>Carbon capture</t>
        </is>
      </c>
      <c r="D3437" s="12" t="inlineStr">
        <is>
          <t>MOV 6: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5" t="n">
        <v>464</v>
      </c>
      <c r="U3437" s="15" t="n">
        <v>50</v>
      </c>
      <c r="V3437" s="15">
        <f>ROUNDUP((T3437+U3437+2*'Read Me'!$B$13)*(1+'Read Me'!$B$12),-1)</f>
        <v/>
      </c>
      <c r="W3437" s="15">
        <f>V3437*N3437*O3437</f>
        <v/>
      </c>
      <c r="X3437" s="12">
        <f>IF(LEFT(I3437,2)="MV",2*N3437*IF(L3437="1/C",O3437,1),0)</f>
        <v/>
      </c>
      <c r="Y3437" s="12">
        <f>IF(OR(LEFT(K3437,4)="LVAX",LEFT(K3437,6)="MV15AX",LEFT(K3437,4)="CTAX",LEFT(K3437,2)="W|"),2*N3437*O3437,0)</f>
        <v/>
      </c>
      <c r="Z3437" s="12" t="inlineStr">
        <is>
          <t>VD 0.9 %</t>
        </is>
      </c>
      <c r="AA3437" s="12">
        <f>N3437*O3437</f>
        <v/>
      </c>
    </row>
    <row r="3438">
      <c r="A3438" s="12" t="inlineStr">
        <is>
          <t>G-P-0027</t>
        </is>
      </c>
      <c r="B3438" s="12" t="inlineStr">
        <is>
          <t>G</t>
        </is>
      </c>
      <c r="C3438" s="12" t="inlineStr">
        <is>
          <t>Carbon capture</t>
        </is>
      </c>
      <c r="D3438" s="12" t="inlineStr">
        <is>
          <t>MOV 7: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5" t="n">
        <v>464</v>
      </c>
      <c r="U3438" s="15" t="n">
        <v>50</v>
      </c>
      <c r="V3438" s="15">
        <f>ROUNDUP((T3438+U3438+2*'Read Me'!$B$13)*(1+'Read Me'!$B$12),-1)</f>
        <v/>
      </c>
      <c r="W3438" s="15">
        <f>V3438*N3438*O3438</f>
        <v/>
      </c>
      <c r="X3438" s="12">
        <f>IF(LEFT(I3438,2)="MV",2*N3438*IF(L3438="1/C",O3438,1),0)</f>
        <v/>
      </c>
      <c r="Y3438" s="12">
        <f>IF(OR(LEFT(K3438,4)="LVAX",LEFT(K3438,6)="MV15AX",LEFT(K3438,4)="CTAX",LEFT(K3438,2)="W|"),2*N3438*O3438,0)</f>
        <v/>
      </c>
      <c r="Z3438" s="12" t="inlineStr">
        <is>
          <t>VD 0.9 %</t>
        </is>
      </c>
      <c r="AA3438" s="12">
        <f>N3438*O3438</f>
        <v/>
      </c>
    </row>
    <row r="3439">
      <c r="A3439" s="12" t="inlineStr">
        <is>
          <t>G-P-0028</t>
        </is>
      </c>
      <c r="B3439" s="12" t="inlineStr">
        <is>
          <t>G</t>
        </is>
      </c>
      <c r="C3439" s="12" t="inlineStr">
        <is>
          <t>Carbon capture</t>
        </is>
      </c>
      <c r="D3439" s="12" t="inlineStr">
        <is>
          <t>MOV 8: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5" t="n">
        <v>464</v>
      </c>
      <c r="U3439" s="15" t="n">
        <v>50</v>
      </c>
      <c r="V3439" s="15">
        <f>ROUNDUP((T3439+U3439+2*'Read Me'!$B$13)*(1+'Read Me'!$B$12),-1)</f>
        <v/>
      </c>
      <c r="W3439" s="15">
        <f>V3439*N3439*O3439</f>
        <v/>
      </c>
      <c r="X3439" s="12">
        <f>IF(LEFT(I3439,2)="MV",2*N3439*IF(L3439="1/C",O3439,1),0)</f>
        <v/>
      </c>
      <c r="Y3439" s="12">
        <f>IF(OR(LEFT(K3439,4)="LVAX",LEFT(K3439,6)="MV15AX",LEFT(K3439,4)="CTAX",LEFT(K3439,2)="W|"),2*N3439*O3439,0)</f>
        <v/>
      </c>
      <c r="Z3439" s="12" t="inlineStr">
        <is>
          <t>VD 0.9 %</t>
        </is>
      </c>
      <c r="AA3439" s="12">
        <f>N3439*O3439</f>
        <v/>
      </c>
    </row>
    <row r="3440">
      <c r="A3440" s="12" t="inlineStr">
        <is>
          <t>G-P-0029</t>
        </is>
      </c>
      <c r="B3440" s="12" t="inlineStr">
        <is>
          <t>G</t>
        </is>
      </c>
      <c r="C3440" s="12" t="inlineStr">
        <is>
          <t>Carbon capture</t>
        </is>
      </c>
      <c r="D3440" s="12" t="inlineStr">
        <is>
          <t>MOV 9: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5" t="n">
        <v>464</v>
      </c>
      <c r="U3440" s="15" t="n">
        <v>50</v>
      </c>
      <c r="V3440" s="15">
        <f>ROUNDUP((T3440+U3440+2*'Read Me'!$B$13)*(1+'Read Me'!$B$12),-1)</f>
        <v/>
      </c>
      <c r="W3440" s="15">
        <f>V3440*N3440*O3440</f>
        <v/>
      </c>
      <c r="X3440" s="12">
        <f>IF(LEFT(I3440,2)="MV",2*N3440*IF(L3440="1/C",O3440,1),0)</f>
        <v/>
      </c>
      <c r="Y3440" s="12">
        <f>IF(OR(LEFT(K3440,4)="LVAX",LEFT(K3440,6)="MV15AX",LEFT(K3440,4)="CTAX",LEFT(K3440,2)="W|"),2*N3440*O3440,0)</f>
        <v/>
      </c>
      <c r="Z3440" s="12" t="inlineStr">
        <is>
          <t>VD 0.9 %</t>
        </is>
      </c>
      <c r="AA3440" s="12">
        <f>N3440*O3440</f>
        <v/>
      </c>
    </row>
    <row r="3441">
      <c r="A3441" s="12" t="inlineStr">
        <is>
          <t>G-P-0030</t>
        </is>
      </c>
      <c r="B3441" s="12" t="inlineStr">
        <is>
          <t>G</t>
        </is>
      </c>
      <c r="C3441" s="12" t="inlineStr">
        <is>
          <t>Carbon capture</t>
        </is>
      </c>
      <c r="D3441" s="12" t="inlineStr">
        <is>
          <t>MOV 10: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5" t="n">
        <v>464</v>
      </c>
      <c r="U3441" s="15" t="n">
        <v>50</v>
      </c>
      <c r="V3441" s="15">
        <f>ROUNDUP((T3441+U3441+2*'Read Me'!$B$13)*(1+'Read Me'!$B$12),-1)</f>
        <v/>
      </c>
      <c r="W3441" s="15">
        <f>V3441*N3441*O3441</f>
        <v/>
      </c>
      <c r="X3441" s="12">
        <f>IF(LEFT(I3441,2)="MV",2*N3441*IF(L3441="1/C",O3441,1),0)</f>
        <v/>
      </c>
      <c r="Y3441" s="12">
        <f>IF(OR(LEFT(K3441,4)="LVAX",LEFT(K3441,6)="MV15AX",LEFT(K3441,4)="CTAX",LEFT(K3441,2)="W|"),2*N3441*O3441,0)</f>
        <v/>
      </c>
      <c r="Z3441" s="12" t="inlineStr">
        <is>
          <t>VD 0.9 %</t>
        </is>
      </c>
      <c r="AA3441" s="12">
        <f>N3441*O3441</f>
        <v/>
      </c>
    </row>
    <row r="3442">
      <c r="A3442" s="12" t="inlineStr">
        <is>
          <t>G-P-0031</t>
        </is>
      </c>
      <c r="B3442" s="12" t="inlineStr">
        <is>
          <t>G</t>
        </is>
      </c>
      <c r="C3442" s="12" t="inlineStr">
        <is>
          <t>Carbon capture</t>
        </is>
      </c>
      <c r="D3442" s="12" t="inlineStr">
        <is>
          <t>LV power feeder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LV|3/C+G|2</t>
        </is>
      </c>
      <c r="L3442" s="12" t="inlineStr">
        <is>
          <t>3/C+G</t>
        </is>
      </c>
      <c r="M3442" s="12" t="inlineStr">
        <is>
          <t>2</t>
        </is>
      </c>
      <c r="N3442" s="12" t="n">
        <v>1</v>
      </c>
      <c r="O3442" s="12" t="n">
        <v>1</v>
      </c>
      <c r="P3442" s="12" t="n">
        <v>480</v>
      </c>
      <c r="Q3442" s="12" t="n">
        <v>40</v>
      </c>
      <c r="R3442" s="12" t="n">
        <v>56.6</v>
      </c>
      <c r="S3442" s="12" t="inlineStr">
        <is>
          <t>Tray</t>
        </is>
      </c>
      <c r="T3442" s="15" t="n">
        <v>464</v>
      </c>
      <c r="U3442" s="15" t="n">
        <v>50</v>
      </c>
      <c r="V3442" s="15">
        <f>ROUNDUP((T3442+U3442+2*'Read Me'!$B$13)*(1+'Read Me'!$B$12),-1)</f>
        <v/>
      </c>
      <c r="W3442" s="15">
        <f>V3442*N3442*O3442</f>
        <v/>
      </c>
      <c r="X3442" s="12">
        <f>IF(LEFT(I3442,2)="MV",2*N3442*IF(L3442="1/C",O3442,1),0)</f>
        <v/>
      </c>
      <c r="Y3442" s="12">
        <f>IF(OR(LEFT(K3442,4)="LVAX",LEFT(K3442,6)="MV15AX",LEFT(K3442,4)="CTAX",LEFT(K3442,2)="W|"),2*N3442*O3442,0)</f>
        <v/>
      </c>
      <c r="Z3442" s="12" t="inlineStr">
        <is>
          <t>VD 2.2 %</t>
        </is>
      </c>
      <c r="AA3442" s="12">
        <f>N3442*O3442</f>
        <v/>
      </c>
    </row>
    <row r="3443">
      <c r="A3443" s="12" t="inlineStr">
        <is>
          <t>G-P-0032</t>
        </is>
      </c>
      <c r="B3443" s="12" t="inlineStr">
        <is>
          <t>G</t>
        </is>
      </c>
      <c r="C3443" s="12" t="inlineStr">
        <is>
          <t>Carbon capture</t>
        </is>
      </c>
      <c r="D3443" s="12" t="inlineStr">
        <is>
          <t>Area / platform lighting circuit 1 (12 fixtures)</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3</v>
      </c>
      <c r="R3443" s="12" t="n">
        <v>5</v>
      </c>
      <c r="S3443" s="12" t="inlineStr">
        <is>
          <t>Tray</t>
        </is>
      </c>
      <c r="T3443" s="15" t="n">
        <v>764</v>
      </c>
      <c r="U3443" s="15" t="n">
        <v>50</v>
      </c>
      <c r="V3443" s="15">
        <f>ROUNDUP((T3443+U3443+2*'Read Me'!$B$13)*(1+'Read Me'!$B$12),-1)</f>
        <v/>
      </c>
      <c r="W3443" s="15">
        <f>V3443*N3443*O3443</f>
        <v/>
      </c>
      <c r="X3443" s="12">
        <f>IF(LEFT(I3443,2)="MV",2*N3443*IF(L3443="1/C",O3443,1),0)</f>
        <v/>
      </c>
      <c r="Y3443" s="12">
        <f>IF(OR(LEFT(K3443,4)="LVAX",LEFT(K3443,6)="MV15AX",LEFT(K3443,4)="CTAX",LEFT(K3443,2)="W|"),2*N3443*O3443,0)</f>
        <v/>
      </c>
      <c r="Z3443" s="12" t="inlineStr">
        <is>
          <t>fixture-to-fixture run included</t>
        </is>
      </c>
      <c r="AA3443" s="12">
        <f>N3443*O3443</f>
        <v/>
      </c>
    </row>
    <row r="3444">
      <c r="A3444" s="12" t="inlineStr">
        <is>
          <t>G-P-0033</t>
        </is>
      </c>
      <c r="B3444" s="12" t="inlineStr">
        <is>
          <t>G</t>
        </is>
      </c>
      <c r="C3444" s="12" t="inlineStr">
        <is>
          <t>Carbon capture</t>
        </is>
      </c>
      <c r="D3444" s="12" t="inlineStr">
        <is>
          <t>Area / platform lighting circuit 2 (12 fixtures)</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3</v>
      </c>
      <c r="R3444" s="12" t="n">
        <v>5</v>
      </c>
      <c r="S3444" s="12" t="inlineStr">
        <is>
          <t>Tray</t>
        </is>
      </c>
      <c r="T3444" s="15" t="n">
        <v>764</v>
      </c>
      <c r="U3444" s="15" t="n">
        <v>50</v>
      </c>
      <c r="V3444" s="15">
        <f>ROUNDUP((T3444+U3444+2*'Read Me'!$B$13)*(1+'Read Me'!$B$12),-1)</f>
        <v/>
      </c>
      <c r="W3444" s="15">
        <f>V3444*N3444*O3444</f>
        <v/>
      </c>
      <c r="X3444" s="12">
        <f>IF(LEFT(I3444,2)="MV",2*N3444*IF(L3444="1/C",O3444,1),0)</f>
        <v/>
      </c>
      <c r="Y3444" s="12">
        <f>IF(OR(LEFT(K3444,4)="LVAX",LEFT(K3444,6)="MV15AX",LEFT(K3444,4)="CTAX",LEFT(K3444,2)="W|"),2*N3444*O3444,0)</f>
        <v/>
      </c>
      <c r="Z3444" s="12" t="inlineStr">
        <is>
          <t>fixture-to-fixture run included</t>
        </is>
      </c>
      <c r="AA3444" s="12">
        <f>N3444*O3444</f>
        <v/>
      </c>
    </row>
    <row r="3445">
      <c r="A3445" s="12" t="inlineStr">
        <is>
          <t>G-P-0034</t>
        </is>
      </c>
      <c r="B3445" s="12" t="inlineStr">
        <is>
          <t>G</t>
        </is>
      </c>
      <c r="C3445" s="12" t="inlineStr">
        <is>
          <t>Carbon capture</t>
        </is>
      </c>
      <c r="D3445" s="12" t="inlineStr">
        <is>
          <t>Area / platform lighting circuit 3 (6 fixtures)</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5" t="n">
        <v>764</v>
      </c>
      <c r="U3445" s="15" t="n">
        <v>50</v>
      </c>
      <c r="V3445" s="15">
        <f>ROUNDUP((T3445+U3445+2*'Read Me'!$B$13)*(1+'Read Me'!$B$12),-1)</f>
        <v/>
      </c>
      <c r="W3445" s="15">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G-P-0035</t>
        </is>
      </c>
      <c r="B3446" s="12" t="inlineStr">
        <is>
          <t>G</t>
        </is>
      </c>
      <c r="C3446" s="12" t="inlineStr">
        <is>
          <t>Carbon capture</t>
        </is>
      </c>
      <c r="D3446" s="12" t="inlineStr">
        <is>
          <t>480 V welding receptacle 1</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t>
        </is>
      </c>
      <c r="L3446" s="12" t="inlineStr">
        <is>
          <t>3/C+G</t>
        </is>
      </c>
      <c r="M3446" s="12" t="inlineStr">
        <is>
          <t>1</t>
        </is>
      </c>
      <c r="N3446" s="12" t="n">
        <v>1</v>
      </c>
      <c r="O3446" s="12" t="n">
        <v>1</v>
      </c>
      <c r="P3446" s="12" t="n">
        <v>480</v>
      </c>
      <c r="Q3446" s="12" t="n">
        <v>60</v>
      </c>
      <c r="R3446" s="12" t="n">
        <v>76</v>
      </c>
      <c r="S3446" s="12" t="inlineStr">
        <is>
          <t>Tray</t>
        </is>
      </c>
      <c r="T3446" s="15" t="n">
        <v>464</v>
      </c>
      <c r="U3446" s="15" t="n">
        <v>50</v>
      </c>
      <c r="V3446" s="15">
        <f>ROUNDUP((T3446+U3446+2*'Read Me'!$B$13)*(1+'Read Me'!$B$12),-1)</f>
        <v/>
      </c>
      <c r="W3446" s="15">
        <f>V3446*N3446*O3446</f>
        <v/>
      </c>
      <c r="X3446" s="12">
        <f>IF(LEFT(I3446,2)="MV",2*N3446*IF(L3446="1/C",O3446,1),0)</f>
        <v/>
      </c>
      <c r="Y3446" s="12">
        <f>IF(OR(LEFT(K3446,4)="LVAX",LEFT(K3446,6)="MV15AX",LEFT(K3446,4)="CTAX",LEFT(K3446,2)="W|"),2*N3446*O3446,0)</f>
        <v/>
      </c>
      <c r="Z3446" s="12" t="inlineStr">
        <is>
          <t>VD 2.4 %</t>
        </is>
      </c>
      <c r="AA3446" s="12">
        <f>N3446*O3446</f>
        <v/>
      </c>
    </row>
    <row r="3447">
      <c r="A3447" s="12" t="inlineStr">
        <is>
          <t>G-P-0036</t>
        </is>
      </c>
      <c r="B3447" s="12" t="inlineStr">
        <is>
          <t>G</t>
        </is>
      </c>
      <c r="C3447" s="12" t="inlineStr">
        <is>
          <t>Carbon capture</t>
        </is>
      </c>
      <c r="D3447" s="12" t="inlineStr">
        <is>
          <t>480 V welding receptacle 2</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t>
        </is>
      </c>
      <c r="L3447" s="12" t="inlineStr">
        <is>
          <t>3/C+G</t>
        </is>
      </c>
      <c r="M3447" s="12" t="inlineStr">
        <is>
          <t>1</t>
        </is>
      </c>
      <c r="N3447" s="12" t="n">
        <v>1</v>
      </c>
      <c r="O3447" s="12" t="n">
        <v>1</v>
      </c>
      <c r="P3447" s="12" t="n">
        <v>480</v>
      </c>
      <c r="Q3447" s="12" t="n">
        <v>60</v>
      </c>
      <c r="R3447" s="12" t="n">
        <v>76</v>
      </c>
      <c r="S3447" s="12" t="inlineStr">
        <is>
          <t>Tray</t>
        </is>
      </c>
      <c r="T3447" s="15" t="n">
        <v>464</v>
      </c>
      <c r="U3447" s="15" t="n">
        <v>50</v>
      </c>
      <c r="V3447" s="15">
        <f>ROUNDUP((T3447+U3447+2*'Read Me'!$B$13)*(1+'Read Me'!$B$12),-1)</f>
        <v/>
      </c>
      <c r="W3447" s="15">
        <f>V3447*N3447*O3447</f>
        <v/>
      </c>
      <c r="X3447" s="12">
        <f>IF(LEFT(I3447,2)="MV",2*N3447*IF(L3447="1/C",O3447,1),0)</f>
        <v/>
      </c>
      <c r="Y3447" s="12">
        <f>IF(OR(LEFT(K3447,4)="LVAX",LEFT(K3447,6)="MV15AX",LEFT(K3447,4)="CTAX",LEFT(K3447,2)="W|"),2*N3447*O3447,0)</f>
        <v/>
      </c>
      <c r="Z3447" s="12" t="inlineStr">
        <is>
          <t>VD 2.4 %</t>
        </is>
      </c>
      <c r="AA3447" s="12">
        <f>N3447*O3447</f>
        <v/>
      </c>
    </row>
    <row r="3448">
      <c r="A3448" s="12" t="inlineStr">
        <is>
          <t>G-P-0037</t>
        </is>
      </c>
      <c r="B3448" s="12" t="inlineStr">
        <is>
          <t>G</t>
        </is>
      </c>
      <c r="C3448" s="12" t="inlineStr">
        <is>
          <t>Carbon capture</t>
        </is>
      </c>
      <c r="D3448" s="12" t="inlineStr">
        <is>
          <t>480 V welding receptacle 3</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t>
        </is>
      </c>
      <c r="L3448" s="12" t="inlineStr">
        <is>
          <t>3/C+G</t>
        </is>
      </c>
      <c r="M3448" s="12" t="inlineStr">
        <is>
          <t>1</t>
        </is>
      </c>
      <c r="N3448" s="12" t="n">
        <v>1</v>
      </c>
      <c r="O3448" s="12" t="n">
        <v>1</v>
      </c>
      <c r="P3448" s="12" t="n">
        <v>480</v>
      </c>
      <c r="Q3448" s="12" t="n">
        <v>60</v>
      </c>
      <c r="R3448" s="12" t="n">
        <v>76</v>
      </c>
      <c r="S3448" s="12" t="inlineStr">
        <is>
          <t>Tray</t>
        </is>
      </c>
      <c r="T3448" s="15" t="n">
        <v>464</v>
      </c>
      <c r="U3448" s="15" t="n">
        <v>50</v>
      </c>
      <c r="V3448" s="15">
        <f>ROUNDUP((T3448+U3448+2*'Read Me'!$B$13)*(1+'Read Me'!$B$12),-1)</f>
        <v/>
      </c>
      <c r="W3448" s="15">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G-P-0038</t>
        </is>
      </c>
      <c r="B3449" s="12" t="inlineStr">
        <is>
          <t>G</t>
        </is>
      </c>
      <c r="C3449" s="12" t="inlineStr">
        <is>
          <t>Carbon capture</t>
        </is>
      </c>
      <c r="D3449" s="12" t="inlineStr">
        <is>
          <t>480 V welding receptacle 4</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t>
        </is>
      </c>
      <c r="L3449" s="12" t="inlineStr">
        <is>
          <t>3/C+G</t>
        </is>
      </c>
      <c r="M3449" s="12" t="inlineStr">
        <is>
          <t>1</t>
        </is>
      </c>
      <c r="N3449" s="12" t="n">
        <v>1</v>
      </c>
      <c r="O3449" s="12" t="n">
        <v>1</v>
      </c>
      <c r="P3449" s="12" t="n">
        <v>480</v>
      </c>
      <c r="Q3449" s="12" t="n">
        <v>60</v>
      </c>
      <c r="R3449" s="12" t="n">
        <v>76</v>
      </c>
      <c r="S3449" s="12" t="inlineStr">
        <is>
          <t>Tray</t>
        </is>
      </c>
      <c r="T3449" s="15" t="n">
        <v>464</v>
      </c>
      <c r="U3449" s="15" t="n">
        <v>50</v>
      </c>
      <c r="V3449" s="15">
        <f>ROUNDUP((T3449+U3449+2*'Read Me'!$B$13)*(1+'Read Me'!$B$12),-1)</f>
        <v/>
      </c>
      <c r="W3449" s="15">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G-P-0039</t>
        </is>
      </c>
      <c r="B3450" s="12" t="inlineStr">
        <is>
          <t>G</t>
        </is>
      </c>
      <c r="C3450" s="12" t="inlineStr">
        <is>
          <t>Carbon capture</t>
        </is>
      </c>
      <c r="D3450" s="12" t="inlineStr">
        <is>
          <t>Motor 1 of 2, 150 kW</t>
        </is>
      </c>
      <c r="E3450" s="12" t="inlineStr"/>
      <c r="F3450" s="12" t="inlineStr">
        <is>
          <t>CCS MV switchgear building (VFDs)</t>
        </is>
      </c>
      <c r="G3450" s="12" t="inlineStr"/>
      <c r="H3450" s="12" t="inlineStr">
        <is>
          <t>Absorber B intercooler (pumps + plate exchanger)</t>
        </is>
      </c>
      <c r="I3450" s="12" t="inlineStr">
        <is>
          <t>LV 600 V</t>
        </is>
      </c>
      <c r="J3450" s="12" t="inlineStr">
        <is>
          <t>Type TC-ER 600 V 3/C Cu XHHW-2 + ground, PVC jacket</t>
        </is>
      </c>
      <c r="K3450" s="12" t="inlineStr">
        <is>
          <t>LV|3/C+G|350</t>
        </is>
      </c>
      <c r="L3450" s="12" t="inlineStr">
        <is>
          <t>3/C+G</t>
        </is>
      </c>
      <c r="M3450" s="12" t="inlineStr">
        <is>
          <t>350 kcmil</t>
        </is>
      </c>
      <c r="N3450" s="12" t="n">
        <v>1</v>
      </c>
      <c r="O3450" s="12" t="n">
        <v>1</v>
      </c>
      <c r="P3450" s="12" t="n">
        <v>480</v>
      </c>
      <c r="Q3450" s="12" t="n">
        <v>150</v>
      </c>
      <c r="R3450" s="12" t="n">
        <v>212.3</v>
      </c>
      <c r="S3450" s="12" t="inlineStr">
        <is>
          <t>Tray</t>
        </is>
      </c>
      <c r="T3450" s="15" t="n">
        <v>446</v>
      </c>
      <c r="U3450" s="15" t="n">
        <v>51</v>
      </c>
      <c r="V3450" s="15">
        <f>ROUNDUP((T3450+U3450+2*'Read Me'!$B$13)*(1+'Read Me'!$B$12),-1)</f>
        <v/>
      </c>
      <c r="W3450" s="15">
        <f>V3450*N3450*O3450</f>
        <v/>
      </c>
      <c r="X3450" s="12">
        <f>IF(LEFT(I3450,2)="MV",2*N3450*IF(L3450="1/C",O3450,1),0)</f>
        <v/>
      </c>
      <c r="Y3450" s="12">
        <f>IF(OR(LEFT(K3450,4)="LVAX",LEFT(K3450,6)="MV15AX",LEFT(K3450,4)="CTAX",LEFT(K3450,2)="W|"),2*N3450*O3450,0)</f>
        <v/>
      </c>
      <c r="Z3450" s="12" t="inlineStr">
        <is>
          <t>VD 1.5 %</t>
        </is>
      </c>
      <c r="AA3450" s="12">
        <f>N3450*O3450</f>
        <v/>
      </c>
    </row>
    <row r="3451">
      <c r="A3451" s="12" t="inlineStr">
        <is>
          <t>G-P-0040</t>
        </is>
      </c>
      <c r="B3451" s="12" t="inlineStr">
        <is>
          <t>G</t>
        </is>
      </c>
      <c r="C3451" s="12" t="inlineStr">
        <is>
          <t>Carbon capture</t>
        </is>
      </c>
      <c r="D3451" s="12" t="inlineStr">
        <is>
          <t>Motor 2 of 2, 150 kW</t>
        </is>
      </c>
      <c r="E3451" s="12" t="inlineStr"/>
      <c r="F3451" s="12" t="inlineStr">
        <is>
          <t>CCS MV switchgear building (VFDs)</t>
        </is>
      </c>
      <c r="G3451" s="12" t="inlineStr"/>
      <c r="H3451" s="12" t="inlineStr">
        <is>
          <t>Absorber B intercooler (pumps + plate exchanger)</t>
        </is>
      </c>
      <c r="I3451" s="12" t="inlineStr">
        <is>
          <t>LV 600 V</t>
        </is>
      </c>
      <c r="J3451" s="12" t="inlineStr">
        <is>
          <t>Type TC-ER 600 V 3/C Cu XHHW-2 + ground, PVC jacket</t>
        </is>
      </c>
      <c r="K3451" s="12" t="inlineStr">
        <is>
          <t>LV|3/C+G|350</t>
        </is>
      </c>
      <c r="L3451" s="12" t="inlineStr">
        <is>
          <t>3/C+G</t>
        </is>
      </c>
      <c r="M3451" s="12" t="inlineStr">
        <is>
          <t>350 kcmil</t>
        </is>
      </c>
      <c r="N3451" s="12" t="n">
        <v>1</v>
      </c>
      <c r="O3451" s="12" t="n">
        <v>1</v>
      </c>
      <c r="P3451" s="12" t="n">
        <v>480</v>
      </c>
      <c r="Q3451" s="12" t="n">
        <v>150</v>
      </c>
      <c r="R3451" s="12" t="n">
        <v>212.3</v>
      </c>
      <c r="S3451" s="12" t="inlineStr">
        <is>
          <t>Tray</t>
        </is>
      </c>
      <c r="T3451" s="15" t="n">
        <v>446</v>
      </c>
      <c r="U3451" s="15" t="n">
        <v>51</v>
      </c>
      <c r="V3451" s="15">
        <f>ROUNDUP((T3451+U3451+2*'Read Me'!$B$13)*(1+'Read Me'!$B$12),-1)</f>
        <v/>
      </c>
      <c r="W3451" s="15">
        <f>V3451*N3451*O3451</f>
        <v/>
      </c>
      <c r="X3451" s="12">
        <f>IF(LEFT(I3451,2)="MV",2*N3451*IF(L3451="1/C",O3451,1),0)</f>
        <v/>
      </c>
      <c r="Y3451" s="12">
        <f>IF(OR(LEFT(K3451,4)="LVAX",LEFT(K3451,6)="MV15AX",LEFT(K3451,4)="CTAX",LEFT(K3451,2)="W|"),2*N3451*O3451,0)</f>
        <v/>
      </c>
      <c r="Z3451" s="12" t="inlineStr">
        <is>
          <t>VD 1.5 %</t>
        </is>
      </c>
      <c r="AA3451" s="12">
        <f>N3451*O3451</f>
        <v/>
      </c>
    </row>
    <row r="3452">
      <c r="A3452" s="12" t="inlineStr">
        <is>
          <t>G-P-0041</t>
        </is>
      </c>
      <c r="B3452" s="12" t="inlineStr">
        <is>
          <t>G</t>
        </is>
      </c>
      <c r="C3452" s="12" t="inlineStr">
        <is>
          <t>Carbon capture</t>
        </is>
      </c>
      <c r="D3452" s="12" t="inlineStr">
        <is>
          <t>MOV 1: power</t>
        </is>
      </c>
      <c r="E3452" s="12" t="inlineStr"/>
      <c r="F3452" s="12" t="inlineStr">
        <is>
          <t>CCS MV switchgear building (VFDs)</t>
        </is>
      </c>
      <c r="G3452" s="12" t="inlineStr">
        <is>
          <t>ABS-C</t>
        </is>
      </c>
      <c r="H3452" s="12" t="inlineStr">
        <is>
          <t>Absorber C (62 ft dia x 262 ft, stack to 313 ft)</t>
        </is>
      </c>
      <c r="I3452" s="12" t="inlineStr">
        <is>
          <t>LV 600 V</t>
        </is>
      </c>
      <c r="J3452" s="12" t="inlineStr">
        <is>
          <t>Type TC-ER 600 V 3/C Cu XHHW-2 + ground, PVC jacket</t>
        </is>
      </c>
      <c r="K3452" s="12" t="inlineStr">
        <is>
          <t>LV|3/C+G|10</t>
        </is>
      </c>
      <c r="L3452" s="12" t="inlineStr">
        <is>
          <t>3/C+G</t>
        </is>
      </c>
      <c r="M3452" s="12" t="inlineStr">
        <is>
          <t>10</t>
        </is>
      </c>
      <c r="N3452" s="12" t="n">
        <v>1</v>
      </c>
      <c r="O3452" s="12" t="n">
        <v>1</v>
      </c>
      <c r="P3452" s="12" t="n">
        <v>480</v>
      </c>
      <c r="Q3452" s="12" t="n">
        <v>2.5</v>
      </c>
      <c r="R3452" s="12" t="n">
        <v>3.5</v>
      </c>
      <c r="S3452" s="12" t="inlineStr">
        <is>
          <t>Tray</t>
        </is>
      </c>
      <c r="T3452" s="15" t="n">
        <v>304</v>
      </c>
      <c r="U3452" s="15" t="n">
        <v>50</v>
      </c>
      <c r="V3452" s="15">
        <f>ROUNDUP((T3452+U3452+2*'Read Me'!$B$13)*(1+'Read Me'!$B$12),-1)</f>
        <v/>
      </c>
      <c r="W3452" s="15">
        <f>V3452*N3452*O3452</f>
        <v/>
      </c>
      <c r="X3452" s="12">
        <f>IF(LEFT(I3452,2)="MV",2*N3452*IF(L3452="1/C",O3452,1),0)</f>
        <v/>
      </c>
      <c r="Y3452" s="12">
        <f>IF(OR(LEFT(K3452,4)="LVAX",LEFT(K3452,6)="MV15AX",LEFT(K3452,4)="CTAX",LEFT(K3452,2)="W|"),2*N3452*O3452,0)</f>
        <v/>
      </c>
      <c r="Z3452" s="12" t="inlineStr">
        <is>
          <t>VD 0.6 %</t>
        </is>
      </c>
      <c r="AA3452" s="12">
        <f>N3452*O3452</f>
        <v/>
      </c>
    </row>
    <row r="3453">
      <c r="A3453" s="12" t="inlineStr">
        <is>
          <t>G-P-0042</t>
        </is>
      </c>
      <c r="B3453" s="12" t="inlineStr">
        <is>
          <t>G</t>
        </is>
      </c>
      <c r="C3453" s="12" t="inlineStr">
        <is>
          <t>Carbon capture</t>
        </is>
      </c>
      <c r="D3453" s="12" t="inlineStr">
        <is>
          <t>MOV 2: power</t>
        </is>
      </c>
      <c r="E3453" s="12" t="inlineStr"/>
      <c r="F3453" s="12" t="inlineStr">
        <is>
          <t>CCS MV switchgear building (VFDs)</t>
        </is>
      </c>
      <c r="G3453" s="12" t="inlineStr">
        <is>
          <t>ABS-C</t>
        </is>
      </c>
      <c r="H3453" s="12" t="inlineStr">
        <is>
          <t>Absorber C (62 ft dia x 262 ft, stack to 313 ft)</t>
        </is>
      </c>
      <c r="I3453" s="12" t="inlineStr">
        <is>
          <t>LV 600 V</t>
        </is>
      </c>
      <c r="J3453" s="12" t="inlineStr">
        <is>
          <t>Type TC-ER 600 V 3/C Cu XHHW-2 + ground, PVC jacket</t>
        </is>
      </c>
      <c r="K3453" s="12" t="inlineStr">
        <is>
          <t>LV|3/C+G|10</t>
        </is>
      </c>
      <c r="L3453" s="12" t="inlineStr">
        <is>
          <t>3/C+G</t>
        </is>
      </c>
      <c r="M3453" s="12" t="inlineStr">
        <is>
          <t>10</t>
        </is>
      </c>
      <c r="N3453" s="12" t="n">
        <v>1</v>
      </c>
      <c r="O3453" s="12" t="n">
        <v>1</v>
      </c>
      <c r="P3453" s="12" t="n">
        <v>480</v>
      </c>
      <c r="Q3453" s="12" t="n">
        <v>2.5</v>
      </c>
      <c r="R3453" s="12" t="n">
        <v>3.5</v>
      </c>
      <c r="S3453" s="12" t="inlineStr">
        <is>
          <t>Tray</t>
        </is>
      </c>
      <c r="T3453" s="15" t="n">
        <v>304</v>
      </c>
      <c r="U3453" s="15" t="n">
        <v>50</v>
      </c>
      <c r="V3453" s="15">
        <f>ROUNDUP((T3453+U3453+2*'Read Me'!$B$13)*(1+'Read Me'!$B$12),-1)</f>
        <v/>
      </c>
      <c r="W3453" s="15">
        <f>V3453*N3453*O3453</f>
        <v/>
      </c>
      <c r="X3453" s="12">
        <f>IF(LEFT(I3453,2)="MV",2*N3453*IF(L3453="1/C",O3453,1),0)</f>
        <v/>
      </c>
      <c r="Y3453" s="12">
        <f>IF(OR(LEFT(K3453,4)="LVAX",LEFT(K3453,6)="MV15AX",LEFT(K3453,4)="CTAX",LEFT(K3453,2)="W|"),2*N3453*O3453,0)</f>
        <v/>
      </c>
      <c r="Z3453" s="12" t="inlineStr">
        <is>
          <t>VD 0.6 %</t>
        </is>
      </c>
      <c r="AA3453" s="12">
        <f>N3453*O3453</f>
        <v/>
      </c>
    </row>
    <row r="3454">
      <c r="A3454" s="12" t="inlineStr">
        <is>
          <t>G-P-0043</t>
        </is>
      </c>
      <c r="B3454" s="12" t="inlineStr">
        <is>
          <t>G</t>
        </is>
      </c>
      <c r="C3454" s="12" t="inlineStr">
        <is>
          <t>Carbon capture</t>
        </is>
      </c>
      <c r="D3454" s="12" t="inlineStr">
        <is>
          <t>MOV 3: power</t>
        </is>
      </c>
      <c r="E3454" s="12" t="inlineStr"/>
      <c r="F3454" s="12" t="inlineStr">
        <is>
          <t>CCS MV switchgear building (VFDs)</t>
        </is>
      </c>
      <c r="G3454" s="12" t="inlineStr">
        <is>
          <t>ABS-C</t>
        </is>
      </c>
      <c r="H3454" s="12" t="inlineStr">
        <is>
          <t>Absorber C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5" t="n">
        <v>304</v>
      </c>
      <c r="U3454" s="15" t="n">
        <v>50</v>
      </c>
      <c r="V3454" s="15">
        <f>ROUNDUP((T3454+U3454+2*'Read Me'!$B$13)*(1+'Read Me'!$B$12),-1)</f>
        <v/>
      </c>
      <c r="W3454" s="15">
        <f>V3454*N3454*O3454</f>
        <v/>
      </c>
      <c r="X3454" s="12">
        <f>IF(LEFT(I3454,2)="MV",2*N3454*IF(L3454="1/C",O3454,1),0)</f>
        <v/>
      </c>
      <c r="Y3454" s="12">
        <f>IF(OR(LEFT(K3454,4)="LVAX",LEFT(K3454,6)="MV15AX",LEFT(K3454,4)="CTAX",LEFT(K3454,2)="W|"),2*N3454*O3454,0)</f>
        <v/>
      </c>
      <c r="Z3454" s="12" t="inlineStr">
        <is>
          <t>VD 0.6 %</t>
        </is>
      </c>
      <c r="AA3454" s="12">
        <f>N3454*O3454</f>
        <v/>
      </c>
    </row>
    <row r="3455">
      <c r="A3455" s="12" t="inlineStr">
        <is>
          <t>G-P-0044</t>
        </is>
      </c>
      <c r="B3455" s="12" t="inlineStr">
        <is>
          <t>G</t>
        </is>
      </c>
      <c r="C3455" s="12" t="inlineStr">
        <is>
          <t>Carbon capture</t>
        </is>
      </c>
      <c r="D3455" s="12" t="inlineStr">
        <is>
          <t>MOV 4: power</t>
        </is>
      </c>
      <c r="E3455" s="12" t="inlineStr"/>
      <c r="F3455" s="12" t="inlineStr">
        <is>
          <t>CCS MV switchgear building (VFDs)</t>
        </is>
      </c>
      <c r="G3455" s="12" t="inlineStr">
        <is>
          <t>ABS-C</t>
        </is>
      </c>
      <c r="H3455" s="12" t="inlineStr">
        <is>
          <t>Absorber C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5" t="n">
        <v>304</v>
      </c>
      <c r="U3455" s="15" t="n">
        <v>50</v>
      </c>
      <c r="V3455" s="15">
        <f>ROUNDUP((T3455+U3455+2*'Read Me'!$B$13)*(1+'Read Me'!$B$12),-1)</f>
        <v/>
      </c>
      <c r="W3455" s="15">
        <f>V3455*N3455*O3455</f>
        <v/>
      </c>
      <c r="X3455" s="12">
        <f>IF(LEFT(I3455,2)="MV",2*N3455*IF(L3455="1/C",O3455,1),0)</f>
        <v/>
      </c>
      <c r="Y3455" s="12">
        <f>IF(OR(LEFT(K3455,4)="LVAX",LEFT(K3455,6)="MV15AX",LEFT(K3455,4)="CTAX",LEFT(K3455,2)="W|"),2*N3455*O3455,0)</f>
        <v/>
      </c>
      <c r="Z3455" s="12" t="inlineStr">
        <is>
          <t>VD 0.6 %</t>
        </is>
      </c>
      <c r="AA3455" s="12">
        <f>N3455*O3455</f>
        <v/>
      </c>
    </row>
    <row r="3456">
      <c r="A3456" s="12" t="inlineStr">
        <is>
          <t>G-P-0045</t>
        </is>
      </c>
      <c r="B3456" s="12" t="inlineStr">
        <is>
          <t>G</t>
        </is>
      </c>
      <c r="C3456" s="12" t="inlineStr">
        <is>
          <t>Carbon capture</t>
        </is>
      </c>
      <c r="D3456" s="12" t="inlineStr">
        <is>
          <t>MOV 5: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5" t="n">
        <v>304</v>
      </c>
      <c r="U3456" s="15" t="n">
        <v>50</v>
      </c>
      <c r="V3456" s="15">
        <f>ROUNDUP((T3456+U3456+2*'Read Me'!$B$13)*(1+'Read Me'!$B$12),-1)</f>
        <v/>
      </c>
      <c r="W3456" s="15">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G-P-0046</t>
        </is>
      </c>
      <c r="B3457" s="12" t="inlineStr">
        <is>
          <t>G</t>
        </is>
      </c>
      <c r="C3457" s="12" t="inlineStr">
        <is>
          <t>Carbon capture</t>
        </is>
      </c>
      <c r="D3457" s="12" t="inlineStr">
        <is>
          <t>MOV 6: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5" t="n">
        <v>304</v>
      </c>
      <c r="U3457" s="15" t="n">
        <v>50</v>
      </c>
      <c r="V3457" s="15">
        <f>ROUNDUP((T3457+U3457+2*'Read Me'!$B$13)*(1+'Read Me'!$B$12),-1)</f>
        <v/>
      </c>
      <c r="W3457" s="15">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G-P-0047</t>
        </is>
      </c>
      <c r="B3458" s="12" t="inlineStr">
        <is>
          <t>G</t>
        </is>
      </c>
      <c r="C3458" s="12" t="inlineStr">
        <is>
          <t>Carbon capture</t>
        </is>
      </c>
      <c r="D3458" s="12" t="inlineStr">
        <is>
          <t>MOV 7: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5" t="n">
        <v>304</v>
      </c>
      <c r="U3458" s="15" t="n">
        <v>50</v>
      </c>
      <c r="V3458" s="15">
        <f>ROUNDUP((T3458+U3458+2*'Read Me'!$B$13)*(1+'Read Me'!$B$12),-1)</f>
        <v/>
      </c>
      <c r="W3458" s="15">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G-P-0048</t>
        </is>
      </c>
      <c r="B3459" s="12" t="inlineStr">
        <is>
          <t>G</t>
        </is>
      </c>
      <c r="C3459" s="12" t="inlineStr">
        <is>
          <t>Carbon capture</t>
        </is>
      </c>
      <c r="D3459" s="12" t="inlineStr">
        <is>
          <t>MOV 8: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5" t="n">
        <v>304</v>
      </c>
      <c r="U3459" s="15" t="n">
        <v>50</v>
      </c>
      <c r="V3459" s="15">
        <f>ROUNDUP((T3459+U3459+2*'Read Me'!$B$13)*(1+'Read Me'!$B$12),-1)</f>
        <v/>
      </c>
      <c r="W3459" s="15">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G-P-0049</t>
        </is>
      </c>
      <c r="B3460" s="12" t="inlineStr">
        <is>
          <t>G</t>
        </is>
      </c>
      <c r="C3460" s="12" t="inlineStr">
        <is>
          <t>Carbon capture</t>
        </is>
      </c>
      <c r="D3460" s="12" t="inlineStr">
        <is>
          <t>MOV 9: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5" t="n">
        <v>304</v>
      </c>
      <c r="U3460" s="15" t="n">
        <v>50</v>
      </c>
      <c r="V3460" s="15">
        <f>ROUNDUP((T3460+U3460+2*'Read Me'!$B$13)*(1+'Read Me'!$B$12),-1)</f>
        <v/>
      </c>
      <c r="W3460" s="15">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G-P-0050</t>
        </is>
      </c>
      <c r="B3461" s="12" t="inlineStr">
        <is>
          <t>G</t>
        </is>
      </c>
      <c r="C3461" s="12" t="inlineStr">
        <is>
          <t>Carbon capture</t>
        </is>
      </c>
      <c r="D3461" s="12" t="inlineStr">
        <is>
          <t>MOV 10: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5" t="n">
        <v>304</v>
      </c>
      <c r="U3461" s="15" t="n">
        <v>50</v>
      </c>
      <c r="V3461" s="15">
        <f>ROUNDUP((T3461+U3461+2*'Read Me'!$B$13)*(1+'Read Me'!$B$12),-1)</f>
        <v/>
      </c>
      <c r="W3461" s="15">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G-P-0051</t>
        </is>
      </c>
      <c r="B3462" s="12" t="inlineStr">
        <is>
          <t>G</t>
        </is>
      </c>
      <c r="C3462" s="12" t="inlineStr">
        <is>
          <t>Carbon capture</t>
        </is>
      </c>
      <c r="D3462" s="12" t="inlineStr">
        <is>
          <t>LV power feeder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LV|3/C+G|4</t>
        </is>
      </c>
      <c r="L3462" s="12" t="inlineStr">
        <is>
          <t>3/C+G</t>
        </is>
      </c>
      <c r="M3462" s="12" t="inlineStr">
        <is>
          <t>4</t>
        </is>
      </c>
      <c r="N3462" s="12" t="n">
        <v>1</v>
      </c>
      <c r="O3462" s="12" t="n">
        <v>1</v>
      </c>
      <c r="P3462" s="12" t="n">
        <v>480</v>
      </c>
      <c r="Q3462" s="12" t="n">
        <v>40</v>
      </c>
      <c r="R3462" s="12" t="n">
        <v>56.6</v>
      </c>
      <c r="S3462" s="12" t="inlineStr">
        <is>
          <t>Tray</t>
        </is>
      </c>
      <c r="T3462" s="15" t="n">
        <v>304</v>
      </c>
      <c r="U3462" s="15" t="n">
        <v>50</v>
      </c>
      <c r="V3462" s="15">
        <f>ROUNDUP((T3462+U3462+2*'Read Me'!$B$13)*(1+'Read Me'!$B$12),-1)</f>
        <v/>
      </c>
      <c r="W3462" s="15">
        <f>V3462*N3462*O3462</f>
        <v/>
      </c>
      <c r="X3462" s="12">
        <f>IF(LEFT(I3462,2)="MV",2*N3462*IF(L3462="1/C",O3462,1),0)</f>
        <v/>
      </c>
      <c r="Y3462" s="12">
        <f>IF(OR(LEFT(K3462,4)="LVAX",LEFT(K3462,6)="MV15AX",LEFT(K3462,4)="CTAX",LEFT(K3462,2)="W|"),2*N3462*O3462,0)</f>
        <v/>
      </c>
      <c r="Z3462" s="12" t="inlineStr">
        <is>
          <t>VD 2.5 %</t>
        </is>
      </c>
      <c r="AA3462" s="12">
        <f>N3462*O3462</f>
        <v/>
      </c>
    </row>
    <row r="3463">
      <c r="A3463" s="12" t="inlineStr">
        <is>
          <t>G-P-0052</t>
        </is>
      </c>
      <c r="B3463" s="12" t="inlineStr">
        <is>
          <t>G</t>
        </is>
      </c>
      <c r="C3463" s="12" t="inlineStr">
        <is>
          <t>Carbon capture</t>
        </is>
      </c>
      <c r="D3463" s="12" t="inlineStr">
        <is>
          <t>Area / platform lighting circuit 1 (12 fixtures)</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3</v>
      </c>
      <c r="R3463" s="12" t="n">
        <v>5</v>
      </c>
      <c r="S3463" s="12" t="inlineStr">
        <is>
          <t>Tray</t>
        </is>
      </c>
      <c r="T3463" s="15" t="n">
        <v>604</v>
      </c>
      <c r="U3463" s="15" t="n">
        <v>50</v>
      </c>
      <c r="V3463" s="15">
        <f>ROUNDUP((T3463+U3463+2*'Read Me'!$B$13)*(1+'Read Me'!$B$12),-1)</f>
        <v/>
      </c>
      <c r="W3463" s="15">
        <f>V3463*N3463*O3463</f>
        <v/>
      </c>
      <c r="X3463" s="12">
        <f>IF(LEFT(I3463,2)="MV",2*N3463*IF(L3463="1/C",O3463,1),0)</f>
        <v/>
      </c>
      <c r="Y3463" s="12">
        <f>IF(OR(LEFT(K3463,4)="LVAX",LEFT(K3463,6)="MV15AX",LEFT(K3463,4)="CTAX",LEFT(K3463,2)="W|"),2*N3463*O3463,0)</f>
        <v/>
      </c>
      <c r="Z3463" s="12" t="inlineStr">
        <is>
          <t>fixture-to-fixture run included</t>
        </is>
      </c>
      <c r="AA3463" s="12">
        <f>N3463*O3463</f>
        <v/>
      </c>
    </row>
    <row r="3464">
      <c r="A3464" s="12" t="inlineStr">
        <is>
          <t>G-P-0053</t>
        </is>
      </c>
      <c r="B3464" s="12" t="inlineStr">
        <is>
          <t>G</t>
        </is>
      </c>
      <c r="C3464" s="12" t="inlineStr">
        <is>
          <t>Carbon capture</t>
        </is>
      </c>
      <c r="D3464" s="12" t="inlineStr">
        <is>
          <t>Area / platform lighting circuit 2 (12 fixtures)</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3</v>
      </c>
      <c r="R3464" s="12" t="n">
        <v>5</v>
      </c>
      <c r="S3464" s="12" t="inlineStr">
        <is>
          <t>Tray</t>
        </is>
      </c>
      <c r="T3464" s="15" t="n">
        <v>604</v>
      </c>
      <c r="U3464" s="15" t="n">
        <v>50</v>
      </c>
      <c r="V3464" s="15">
        <f>ROUNDUP((T3464+U3464+2*'Read Me'!$B$13)*(1+'Read Me'!$B$12),-1)</f>
        <v/>
      </c>
      <c r="W3464" s="15">
        <f>V3464*N3464*O3464</f>
        <v/>
      </c>
      <c r="X3464" s="12">
        <f>IF(LEFT(I3464,2)="MV",2*N3464*IF(L3464="1/C",O3464,1),0)</f>
        <v/>
      </c>
      <c r="Y3464" s="12">
        <f>IF(OR(LEFT(K3464,4)="LVAX",LEFT(K3464,6)="MV15AX",LEFT(K3464,4)="CTAX",LEFT(K3464,2)="W|"),2*N3464*O3464,0)</f>
        <v/>
      </c>
      <c r="Z3464" s="12" t="inlineStr">
        <is>
          <t>fixture-to-fixture run included</t>
        </is>
      </c>
      <c r="AA3464" s="12">
        <f>N3464*O3464</f>
        <v/>
      </c>
    </row>
    <row r="3465">
      <c r="A3465" s="12" t="inlineStr">
        <is>
          <t>G-P-0054</t>
        </is>
      </c>
      <c r="B3465" s="12" t="inlineStr">
        <is>
          <t>G</t>
        </is>
      </c>
      <c r="C3465" s="12" t="inlineStr">
        <is>
          <t>Carbon capture</t>
        </is>
      </c>
      <c r="D3465" s="12" t="inlineStr">
        <is>
          <t>Area / platform lighting circuit 3 (6 fixtures)</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5" t="n">
        <v>604</v>
      </c>
      <c r="U3465" s="15" t="n">
        <v>50</v>
      </c>
      <c r="V3465" s="15">
        <f>ROUNDUP((T3465+U3465+2*'Read Me'!$B$13)*(1+'Read Me'!$B$12),-1)</f>
        <v/>
      </c>
      <c r="W3465" s="15">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G-P-0055</t>
        </is>
      </c>
      <c r="B3466" s="12" t="inlineStr">
        <is>
          <t>G</t>
        </is>
      </c>
      <c r="C3466" s="12" t="inlineStr">
        <is>
          <t>Carbon capture</t>
        </is>
      </c>
      <c r="D3466" s="12" t="inlineStr">
        <is>
          <t>480 V welding receptacle 1</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LV|3/C+G|2</t>
        </is>
      </c>
      <c r="L3466" s="12" t="inlineStr">
        <is>
          <t>3/C+G</t>
        </is>
      </c>
      <c r="M3466" s="12" t="inlineStr">
        <is>
          <t>2</t>
        </is>
      </c>
      <c r="N3466" s="12" t="n">
        <v>1</v>
      </c>
      <c r="O3466" s="12" t="n">
        <v>1</v>
      </c>
      <c r="P3466" s="12" t="n">
        <v>480</v>
      </c>
      <c r="Q3466" s="12" t="n">
        <v>60</v>
      </c>
      <c r="R3466" s="12" t="n">
        <v>76</v>
      </c>
      <c r="S3466" s="12" t="inlineStr">
        <is>
          <t>Tray</t>
        </is>
      </c>
      <c r="T3466" s="15" t="n">
        <v>304</v>
      </c>
      <c r="U3466" s="15" t="n">
        <v>50</v>
      </c>
      <c r="V3466" s="15">
        <f>ROUNDUP((T3466+U3466+2*'Read Me'!$B$13)*(1+'Read Me'!$B$12),-1)</f>
        <v/>
      </c>
      <c r="W3466" s="15">
        <f>V3466*N3466*O3466</f>
        <v/>
      </c>
      <c r="X3466" s="12">
        <f>IF(LEFT(I3466,2)="MV",2*N3466*IF(L3466="1/C",O3466,1),0)</f>
        <v/>
      </c>
      <c r="Y3466" s="12">
        <f>IF(OR(LEFT(K3466,4)="LVAX",LEFT(K3466,6)="MV15AX",LEFT(K3466,4)="CTAX",LEFT(K3466,2)="W|"),2*N3466*O3466,0)</f>
        <v/>
      </c>
      <c r="Z3466" s="12" t="inlineStr">
        <is>
          <t>VD 2.1 %</t>
        </is>
      </c>
      <c r="AA3466" s="12">
        <f>N3466*O3466</f>
        <v/>
      </c>
    </row>
    <row r="3467">
      <c r="A3467" s="12" t="inlineStr">
        <is>
          <t>G-P-0056</t>
        </is>
      </c>
      <c r="B3467" s="12" t="inlineStr">
        <is>
          <t>G</t>
        </is>
      </c>
      <c r="C3467" s="12" t="inlineStr">
        <is>
          <t>Carbon capture</t>
        </is>
      </c>
      <c r="D3467" s="12" t="inlineStr">
        <is>
          <t>480 V welding receptacle 2</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LV|3/C+G|2</t>
        </is>
      </c>
      <c r="L3467" s="12" t="inlineStr">
        <is>
          <t>3/C+G</t>
        </is>
      </c>
      <c r="M3467" s="12" t="inlineStr">
        <is>
          <t>2</t>
        </is>
      </c>
      <c r="N3467" s="12" t="n">
        <v>1</v>
      </c>
      <c r="O3467" s="12" t="n">
        <v>1</v>
      </c>
      <c r="P3467" s="12" t="n">
        <v>480</v>
      </c>
      <c r="Q3467" s="12" t="n">
        <v>60</v>
      </c>
      <c r="R3467" s="12" t="n">
        <v>76</v>
      </c>
      <c r="S3467" s="12" t="inlineStr">
        <is>
          <t>Tray</t>
        </is>
      </c>
      <c r="T3467" s="15" t="n">
        <v>304</v>
      </c>
      <c r="U3467" s="15" t="n">
        <v>50</v>
      </c>
      <c r="V3467" s="15">
        <f>ROUNDUP((T3467+U3467+2*'Read Me'!$B$13)*(1+'Read Me'!$B$12),-1)</f>
        <v/>
      </c>
      <c r="W3467" s="15">
        <f>V3467*N3467*O3467</f>
        <v/>
      </c>
      <c r="X3467" s="12">
        <f>IF(LEFT(I3467,2)="MV",2*N3467*IF(L3467="1/C",O3467,1),0)</f>
        <v/>
      </c>
      <c r="Y3467" s="12">
        <f>IF(OR(LEFT(K3467,4)="LVAX",LEFT(K3467,6)="MV15AX",LEFT(K3467,4)="CTAX",LEFT(K3467,2)="W|"),2*N3467*O3467,0)</f>
        <v/>
      </c>
      <c r="Z3467" s="12" t="inlineStr">
        <is>
          <t>VD 2.1 %</t>
        </is>
      </c>
      <c r="AA3467" s="12">
        <f>N3467*O3467</f>
        <v/>
      </c>
    </row>
    <row r="3468">
      <c r="A3468" s="12" t="inlineStr">
        <is>
          <t>G-P-0057</t>
        </is>
      </c>
      <c r="B3468" s="12" t="inlineStr">
        <is>
          <t>G</t>
        </is>
      </c>
      <c r="C3468" s="12" t="inlineStr">
        <is>
          <t>Carbon capture</t>
        </is>
      </c>
      <c r="D3468" s="12" t="inlineStr">
        <is>
          <t>480 V welding receptacle 3</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5" t="n">
        <v>304</v>
      </c>
      <c r="U3468" s="15" t="n">
        <v>50</v>
      </c>
      <c r="V3468" s="15">
        <f>ROUNDUP((T3468+U3468+2*'Read Me'!$B$13)*(1+'Read Me'!$B$12),-1)</f>
        <v/>
      </c>
      <c r="W3468" s="15">
        <f>V3468*N3468*O3468</f>
        <v/>
      </c>
      <c r="X3468" s="12">
        <f>IF(LEFT(I3468,2)="MV",2*N3468*IF(L3468="1/C",O3468,1),0)</f>
        <v/>
      </c>
      <c r="Y3468" s="12">
        <f>IF(OR(LEFT(K3468,4)="LVAX",LEFT(K3468,6)="MV15AX",LEFT(K3468,4)="CTAX",LEFT(K3468,2)="W|"),2*N3468*O3468,0)</f>
        <v/>
      </c>
      <c r="Z3468" s="12" t="inlineStr">
        <is>
          <t>VD 2.1 %</t>
        </is>
      </c>
      <c r="AA3468" s="12">
        <f>N3468*O3468</f>
        <v/>
      </c>
    </row>
    <row r="3469">
      <c r="A3469" s="12" t="inlineStr">
        <is>
          <t>G-P-0058</t>
        </is>
      </c>
      <c r="B3469" s="12" t="inlineStr">
        <is>
          <t>G</t>
        </is>
      </c>
      <c r="C3469" s="12" t="inlineStr">
        <is>
          <t>Carbon capture</t>
        </is>
      </c>
      <c r="D3469" s="12" t="inlineStr">
        <is>
          <t>480 V welding receptacle 4</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5" t="n">
        <v>304</v>
      </c>
      <c r="U3469" s="15" t="n">
        <v>50</v>
      </c>
      <c r="V3469" s="15">
        <f>ROUNDUP((T3469+U3469+2*'Read Me'!$B$13)*(1+'Read Me'!$B$12),-1)</f>
        <v/>
      </c>
      <c r="W3469" s="15">
        <f>V3469*N3469*O3469</f>
        <v/>
      </c>
      <c r="X3469" s="12">
        <f>IF(LEFT(I3469,2)="MV",2*N3469*IF(L3469="1/C",O3469,1),0)</f>
        <v/>
      </c>
      <c r="Y3469" s="12">
        <f>IF(OR(LEFT(K3469,4)="LVAX",LEFT(K3469,6)="MV15AX",LEFT(K3469,4)="CTAX",LEFT(K3469,2)="W|"),2*N3469*O3469,0)</f>
        <v/>
      </c>
      <c r="Z3469" s="12" t="inlineStr">
        <is>
          <t>VD 2.1 %</t>
        </is>
      </c>
      <c r="AA3469" s="12">
        <f>N3469*O3469</f>
        <v/>
      </c>
    </row>
    <row r="3470">
      <c r="A3470" s="12" t="inlineStr">
        <is>
          <t>G-P-0059</t>
        </is>
      </c>
      <c r="B3470" s="12" t="inlineStr">
        <is>
          <t>G</t>
        </is>
      </c>
      <c r="C3470" s="12" t="inlineStr">
        <is>
          <t>Carbon capture</t>
        </is>
      </c>
      <c r="D3470" s="12" t="inlineStr">
        <is>
          <t>Motor 1 of 2, 150 kW</t>
        </is>
      </c>
      <c r="E3470" s="12" t="inlineStr"/>
      <c r="F3470" s="12" t="inlineStr">
        <is>
          <t>CCS MV switchgear building (VFDs)</t>
        </is>
      </c>
      <c r="G3470" s="12" t="inlineStr"/>
      <c r="H3470" s="12" t="inlineStr">
        <is>
          <t>Absorber C intercooler (pumps + plate exchanger)</t>
        </is>
      </c>
      <c r="I3470" s="12" t="inlineStr">
        <is>
          <t>LV 600 V</t>
        </is>
      </c>
      <c r="J3470" s="12" t="inlineStr">
        <is>
          <t>Type TC-ER 600 V 3/C Cu XHHW-2 + ground, PVC jacket</t>
        </is>
      </c>
      <c r="K3470" s="12" t="inlineStr">
        <is>
          <t>LV|3/C+G|350</t>
        </is>
      </c>
      <c r="L3470" s="12" t="inlineStr">
        <is>
          <t>3/C+G</t>
        </is>
      </c>
      <c r="M3470" s="12" t="inlineStr">
        <is>
          <t>350 kcmil</t>
        </is>
      </c>
      <c r="N3470" s="12" t="n">
        <v>1</v>
      </c>
      <c r="O3470" s="12" t="n">
        <v>1</v>
      </c>
      <c r="P3470" s="12" t="n">
        <v>480</v>
      </c>
      <c r="Q3470" s="12" t="n">
        <v>150</v>
      </c>
      <c r="R3470" s="12" t="n">
        <v>212.3</v>
      </c>
      <c r="S3470" s="12" t="inlineStr">
        <is>
          <t>Tray</t>
        </is>
      </c>
      <c r="T3470" s="15" t="n">
        <v>199</v>
      </c>
      <c r="U3470" s="15" t="n">
        <v>138</v>
      </c>
      <c r="V3470" s="15">
        <f>ROUNDUP((T3470+U3470+2*'Read Me'!$B$13)*(1+'Read Me'!$B$12),-1)</f>
        <v/>
      </c>
      <c r="W3470" s="15">
        <f>V3470*N3470*O3470</f>
        <v/>
      </c>
      <c r="X3470" s="12">
        <f>IF(LEFT(I3470,2)="MV",2*N3470*IF(L3470="1/C",O3470,1),0)</f>
        <v/>
      </c>
      <c r="Y3470" s="12">
        <f>IF(OR(LEFT(K3470,4)="LVAX",LEFT(K3470,6)="MV15AX",LEFT(K3470,4)="CTAX",LEFT(K3470,2)="W|"),2*N3470*O3470,0)</f>
        <v/>
      </c>
      <c r="Z3470" s="12" t="inlineStr">
        <is>
          <t>VD 1.0 %</t>
        </is>
      </c>
      <c r="AA3470" s="12">
        <f>N3470*O3470</f>
        <v/>
      </c>
    </row>
    <row r="3471">
      <c r="A3471" s="12" t="inlineStr">
        <is>
          <t>G-P-0060</t>
        </is>
      </c>
      <c r="B3471" s="12" t="inlineStr">
        <is>
          <t>G</t>
        </is>
      </c>
      <c r="C3471" s="12" t="inlineStr">
        <is>
          <t>Carbon capture</t>
        </is>
      </c>
      <c r="D3471" s="12" t="inlineStr">
        <is>
          <t>Motor 2 of 2, 150 kW</t>
        </is>
      </c>
      <c r="E3471" s="12" t="inlineStr"/>
      <c r="F3471" s="12" t="inlineStr">
        <is>
          <t>CCS MV switchgear building (VFDs)</t>
        </is>
      </c>
      <c r="G3471" s="12" t="inlineStr"/>
      <c r="H3471" s="12" t="inlineStr">
        <is>
          <t>Absorber C intercooler (pumps + plate exchanger)</t>
        </is>
      </c>
      <c r="I3471" s="12" t="inlineStr">
        <is>
          <t>LV 600 V</t>
        </is>
      </c>
      <c r="J3471" s="12" t="inlineStr">
        <is>
          <t>Type TC-ER 600 V 3/C Cu XHHW-2 + ground, PVC jacket</t>
        </is>
      </c>
      <c r="K3471" s="12" t="inlineStr">
        <is>
          <t>LV|3/C+G|350</t>
        </is>
      </c>
      <c r="L3471" s="12" t="inlineStr">
        <is>
          <t>3/C+G</t>
        </is>
      </c>
      <c r="M3471" s="12" t="inlineStr">
        <is>
          <t>350 kcmil</t>
        </is>
      </c>
      <c r="N3471" s="12" t="n">
        <v>1</v>
      </c>
      <c r="O3471" s="12" t="n">
        <v>1</v>
      </c>
      <c r="P3471" s="12" t="n">
        <v>480</v>
      </c>
      <c r="Q3471" s="12" t="n">
        <v>150</v>
      </c>
      <c r="R3471" s="12" t="n">
        <v>212.3</v>
      </c>
      <c r="S3471" s="12" t="inlineStr">
        <is>
          <t>Tray</t>
        </is>
      </c>
      <c r="T3471" s="15" t="n">
        <v>199</v>
      </c>
      <c r="U3471" s="15" t="n">
        <v>138</v>
      </c>
      <c r="V3471" s="15">
        <f>ROUNDUP((T3471+U3471+2*'Read Me'!$B$13)*(1+'Read Me'!$B$12),-1)</f>
        <v/>
      </c>
      <c r="W3471" s="15">
        <f>V3471*N3471*O3471</f>
        <v/>
      </c>
      <c r="X3471" s="12">
        <f>IF(LEFT(I3471,2)="MV",2*N3471*IF(L3471="1/C",O3471,1),0)</f>
        <v/>
      </c>
      <c r="Y3471" s="12">
        <f>IF(OR(LEFT(K3471,4)="LVAX",LEFT(K3471,6)="MV15AX",LEFT(K3471,4)="CTAX",LEFT(K3471,2)="W|"),2*N3471*O3471,0)</f>
        <v/>
      </c>
      <c r="Z3471" s="12" t="inlineStr">
        <is>
          <t>VD 1.0 %</t>
        </is>
      </c>
      <c r="AA3471" s="12">
        <f>N3471*O3471</f>
        <v/>
      </c>
    </row>
    <row r="3472">
      <c r="A3472" s="12" t="inlineStr">
        <is>
          <t>G-P-0061</t>
        </is>
      </c>
      <c r="B3472" s="12" t="inlineStr">
        <is>
          <t>G</t>
        </is>
      </c>
      <c r="C3472" s="12" t="inlineStr">
        <is>
          <t>Carbon capture</t>
        </is>
      </c>
      <c r="D3472" s="12" t="inlineStr">
        <is>
          <t>LV power feeder</t>
        </is>
      </c>
      <c r="E3472" s="12" t="inlineStr"/>
      <c r="F3472" s="12" t="inlineStr">
        <is>
          <t>CCS MV switchgear building (VFDs)</t>
        </is>
      </c>
      <c r="G3472" s="12" t="inlineStr"/>
      <c r="H3472" s="12" t="inlineStr">
        <is>
          <t>Activated-carbon filter</t>
        </is>
      </c>
      <c r="I3472" s="12" t="inlineStr">
        <is>
          <t>LV 600 V</t>
        </is>
      </c>
      <c r="J3472" s="12" t="inlineStr">
        <is>
          <t>Type TC-ER 600 V 3/C Cu XHHW-2 + ground, PVC jacket</t>
        </is>
      </c>
      <c r="K3472" s="12" t="inlineStr">
        <is>
          <t>LV|3/C+G|8</t>
        </is>
      </c>
      <c r="L3472" s="12" t="inlineStr">
        <is>
          <t>3/C+G</t>
        </is>
      </c>
      <c r="M3472" s="12" t="inlineStr">
        <is>
          <t>8</t>
        </is>
      </c>
      <c r="N3472" s="12" t="n">
        <v>1</v>
      </c>
      <c r="O3472" s="12" t="n">
        <v>1</v>
      </c>
      <c r="P3472" s="12" t="n">
        <v>480</v>
      </c>
      <c r="Q3472" s="12" t="n">
        <v>15</v>
      </c>
      <c r="R3472" s="12" t="n">
        <v>21.2</v>
      </c>
      <c r="S3472" s="12" t="inlineStr">
        <is>
          <t>Duct bank</t>
        </is>
      </c>
      <c r="T3472" s="15" t="n">
        <v>289</v>
      </c>
      <c r="U3472" s="15" t="n">
        <v>43</v>
      </c>
      <c r="V3472" s="15">
        <f>ROUNDUP((T3472+U3472+2*'Read Me'!$B$13)*(1+'Read Me'!$B$12),-1)</f>
        <v/>
      </c>
      <c r="W3472" s="15">
        <f>V3472*N3472*O3472</f>
        <v/>
      </c>
      <c r="X3472" s="12">
        <f>IF(LEFT(I3472,2)="MV",2*N3472*IF(L3472="1/C",O3472,1),0)</f>
        <v/>
      </c>
      <c r="Y3472" s="12">
        <f>IF(OR(LEFT(K3472,4)="LVAX",LEFT(K3472,6)="MV15AX",LEFT(K3472,4)="CTAX",LEFT(K3472,2)="W|"),2*N3472*O3472,0)</f>
        <v/>
      </c>
      <c r="Z3472" s="12" t="inlineStr">
        <is>
          <t>VD 2.1 %</t>
        </is>
      </c>
      <c r="AA3472" s="12">
        <f>N3472*O3472</f>
        <v/>
      </c>
    </row>
    <row r="3473">
      <c r="A3473" s="12" t="inlineStr">
        <is>
          <t>G-P-0062</t>
        </is>
      </c>
      <c r="B3473" s="12" t="inlineStr">
        <is>
          <t>G</t>
        </is>
      </c>
      <c r="C3473" s="12" t="inlineStr">
        <is>
          <t>Carbon capture</t>
        </is>
      </c>
      <c r="D3473" s="12" t="inlineStr">
        <is>
          <t>Motor 1 of 4, 15 kW</t>
        </is>
      </c>
      <c r="E3473" s="12" t="inlineStr"/>
      <c r="F3473" s="12" t="inlineStr">
        <is>
          <t>CCS MV switchgear building (VFDs)</t>
        </is>
      </c>
      <c r="G3473" s="12" t="inlineStr">
        <is>
          <t>BF-A</t>
        </is>
      </c>
      <c r="H3473" s="12" t="inlineStr">
        <is>
          <t>BF-A: booster fan (~16 MW)</t>
        </is>
      </c>
      <c r="I3473" s="12" t="inlineStr">
        <is>
          <t>LV 600 V</t>
        </is>
      </c>
      <c r="J3473" s="12" t="inlineStr">
        <is>
          <t>Type TC-ER 600 V 3/C Cu XHHW-2 + ground, PVC jacket</t>
        </is>
      </c>
      <c r="K3473" s="12" t="inlineStr">
        <is>
          <t>LV|3/C+G|6</t>
        </is>
      </c>
      <c r="L3473" s="12" t="inlineStr">
        <is>
          <t>3/C+G</t>
        </is>
      </c>
      <c r="M3473" s="12" t="inlineStr">
        <is>
          <t>6</t>
        </is>
      </c>
      <c r="N3473" s="12" t="n">
        <v>1</v>
      </c>
      <c r="O3473" s="12" t="n">
        <v>1</v>
      </c>
      <c r="P3473" s="12" t="n">
        <v>480</v>
      </c>
      <c r="Q3473" s="12" t="n">
        <v>15</v>
      </c>
      <c r="R3473" s="12" t="n">
        <v>21.2</v>
      </c>
      <c r="S3473" s="12" t="inlineStr">
        <is>
          <t>Duct bank</t>
        </is>
      </c>
      <c r="T3473" s="15" t="n">
        <v>460</v>
      </c>
      <c r="U3473" s="15" t="n">
        <v>32</v>
      </c>
      <c r="V3473" s="15">
        <f>ROUNDUP((T3473+U3473+2*'Read Me'!$B$13)*(1+'Read Me'!$B$12),-1)</f>
        <v/>
      </c>
      <c r="W3473" s="15">
        <f>V3473*N3473*O3473</f>
        <v/>
      </c>
      <c r="X3473" s="12">
        <f>IF(LEFT(I3473,2)="MV",2*N3473*IF(L3473="1/C",O3473,1),0)</f>
        <v/>
      </c>
      <c r="Y3473" s="12">
        <f>IF(OR(LEFT(K3473,4)="LVAX",LEFT(K3473,6)="MV15AX",LEFT(K3473,4)="CTAX",LEFT(K3473,2)="W|"),2*N3473*O3473,0)</f>
        <v/>
      </c>
      <c r="Z3473" s="12" t="inlineStr">
        <is>
          <t>VD 2.0 %</t>
        </is>
      </c>
      <c r="AA3473" s="12">
        <f>N3473*O3473</f>
        <v/>
      </c>
    </row>
    <row r="3474">
      <c r="A3474" s="12" t="inlineStr">
        <is>
          <t>G-P-0063</t>
        </is>
      </c>
      <c r="B3474" s="12" t="inlineStr">
        <is>
          <t>G</t>
        </is>
      </c>
      <c r="C3474" s="12" t="inlineStr">
        <is>
          <t>Carbon capture</t>
        </is>
      </c>
      <c r="D3474" s="12" t="inlineStr">
        <is>
          <t>Motor 2 of 4, 15 kW</t>
        </is>
      </c>
      <c r="E3474" s="12" t="inlineStr"/>
      <c r="F3474" s="12" t="inlineStr">
        <is>
          <t>CCS MV switchgear building (VFDs)</t>
        </is>
      </c>
      <c r="G3474" s="12" t="inlineStr">
        <is>
          <t>BF-A</t>
        </is>
      </c>
      <c r="H3474" s="12" t="inlineStr">
        <is>
          <t>BF-A: booster fan (~16 MW)</t>
        </is>
      </c>
      <c r="I3474" s="12" t="inlineStr">
        <is>
          <t>LV 600 V</t>
        </is>
      </c>
      <c r="J3474" s="12" t="inlineStr">
        <is>
          <t>Type TC-ER 600 V 3/C Cu XHHW-2 + ground, PVC jacket</t>
        </is>
      </c>
      <c r="K3474" s="12" t="inlineStr">
        <is>
          <t>LV|3/C+G|6</t>
        </is>
      </c>
      <c r="L3474" s="12" t="inlineStr">
        <is>
          <t>3/C+G</t>
        </is>
      </c>
      <c r="M3474" s="12" t="inlineStr">
        <is>
          <t>6</t>
        </is>
      </c>
      <c r="N3474" s="12" t="n">
        <v>1</v>
      </c>
      <c r="O3474" s="12" t="n">
        <v>1</v>
      </c>
      <c r="P3474" s="12" t="n">
        <v>480</v>
      </c>
      <c r="Q3474" s="12" t="n">
        <v>15</v>
      </c>
      <c r="R3474" s="12" t="n">
        <v>21.2</v>
      </c>
      <c r="S3474" s="12" t="inlineStr">
        <is>
          <t>Duct bank</t>
        </is>
      </c>
      <c r="T3474" s="15" t="n">
        <v>460</v>
      </c>
      <c r="U3474" s="15" t="n">
        <v>32</v>
      </c>
      <c r="V3474" s="15">
        <f>ROUNDUP((T3474+U3474+2*'Read Me'!$B$13)*(1+'Read Me'!$B$12),-1)</f>
        <v/>
      </c>
      <c r="W3474" s="15">
        <f>V3474*N3474*O3474</f>
        <v/>
      </c>
      <c r="X3474" s="12">
        <f>IF(LEFT(I3474,2)="MV",2*N3474*IF(L3474="1/C",O3474,1),0)</f>
        <v/>
      </c>
      <c r="Y3474" s="12">
        <f>IF(OR(LEFT(K3474,4)="LVAX",LEFT(K3474,6)="MV15AX",LEFT(K3474,4)="CTAX",LEFT(K3474,2)="W|"),2*N3474*O3474,0)</f>
        <v/>
      </c>
      <c r="Z3474" s="12" t="inlineStr">
        <is>
          <t>VD 2.0 %</t>
        </is>
      </c>
      <c r="AA3474" s="12">
        <f>N3474*O3474</f>
        <v/>
      </c>
    </row>
    <row r="3475">
      <c r="A3475" s="12" t="inlineStr">
        <is>
          <t>G-P-0064</t>
        </is>
      </c>
      <c r="B3475" s="12" t="inlineStr">
        <is>
          <t>G</t>
        </is>
      </c>
      <c r="C3475" s="12" t="inlineStr">
        <is>
          <t>Carbon capture</t>
        </is>
      </c>
      <c r="D3475" s="12" t="inlineStr">
        <is>
          <t>Motor 3 of 4, 15 kW</t>
        </is>
      </c>
      <c r="E3475" s="12" t="inlineStr"/>
      <c r="F3475" s="12" t="inlineStr">
        <is>
          <t>CCS MV switchgear building (VFDs)</t>
        </is>
      </c>
      <c r="G3475" s="12" t="inlineStr">
        <is>
          <t>BF-A</t>
        </is>
      </c>
      <c r="H3475" s="12" t="inlineStr">
        <is>
          <t>BF-A: booster fan (~16 MW)</t>
        </is>
      </c>
      <c r="I3475" s="12" t="inlineStr">
        <is>
          <t>LV 600 V</t>
        </is>
      </c>
      <c r="J3475" s="12" t="inlineStr">
        <is>
          <t>Type TC-ER 600 V 3/C Cu XHHW-2 + ground, PVC jacket</t>
        </is>
      </c>
      <c r="K3475" s="12" t="inlineStr">
        <is>
          <t>LV|3/C+G|6</t>
        </is>
      </c>
      <c r="L3475" s="12" t="inlineStr">
        <is>
          <t>3/C+G</t>
        </is>
      </c>
      <c r="M3475" s="12" t="inlineStr">
        <is>
          <t>6</t>
        </is>
      </c>
      <c r="N3475" s="12" t="n">
        <v>1</v>
      </c>
      <c r="O3475" s="12" t="n">
        <v>1</v>
      </c>
      <c r="P3475" s="12" t="n">
        <v>480</v>
      </c>
      <c r="Q3475" s="12" t="n">
        <v>15</v>
      </c>
      <c r="R3475" s="12" t="n">
        <v>21.2</v>
      </c>
      <c r="S3475" s="12" t="inlineStr">
        <is>
          <t>Duct bank</t>
        </is>
      </c>
      <c r="T3475" s="15" t="n">
        <v>460</v>
      </c>
      <c r="U3475" s="15" t="n">
        <v>32</v>
      </c>
      <c r="V3475" s="15">
        <f>ROUNDUP((T3475+U3475+2*'Read Me'!$B$13)*(1+'Read Me'!$B$12),-1)</f>
        <v/>
      </c>
      <c r="W3475" s="15">
        <f>V3475*N3475*O3475</f>
        <v/>
      </c>
      <c r="X3475" s="12">
        <f>IF(LEFT(I3475,2)="MV",2*N3475*IF(L3475="1/C",O3475,1),0)</f>
        <v/>
      </c>
      <c r="Y3475" s="12">
        <f>IF(OR(LEFT(K3475,4)="LVAX",LEFT(K3475,6)="MV15AX",LEFT(K3475,4)="CTAX",LEFT(K3475,2)="W|"),2*N3475*O3475,0)</f>
        <v/>
      </c>
      <c r="Z3475" s="12" t="inlineStr">
        <is>
          <t>VD 2.0 %</t>
        </is>
      </c>
      <c r="AA3475" s="12">
        <f>N3475*O3475</f>
        <v/>
      </c>
    </row>
    <row r="3476">
      <c r="A3476" s="12" t="inlineStr">
        <is>
          <t>G-P-0065</t>
        </is>
      </c>
      <c r="B3476" s="12" t="inlineStr">
        <is>
          <t>G</t>
        </is>
      </c>
      <c r="C3476" s="12" t="inlineStr">
        <is>
          <t>Carbon capture</t>
        </is>
      </c>
      <c r="D3476" s="12" t="inlineStr">
        <is>
          <t>Motor 4 of 4, 15 kW</t>
        </is>
      </c>
      <c r="E3476" s="12" t="inlineStr"/>
      <c r="F3476" s="12" t="inlineStr">
        <is>
          <t>CCS MV switchgear building (VFDs)</t>
        </is>
      </c>
      <c r="G3476" s="12" t="inlineStr">
        <is>
          <t>BF-A</t>
        </is>
      </c>
      <c r="H3476" s="12" t="inlineStr">
        <is>
          <t>BF-A: booster fan (~16 MW)</t>
        </is>
      </c>
      <c r="I3476" s="12" t="inlineStr">
        <is>
          <t>LV 600 V</t>
        </is>
      </c>
      <c r="J3476" s="12" t="inlineStr">
        <is>
          <t>Type TC-ER 600 V 3/C Cu XHHW-2 + ground, PVC jacket</t>
        </is>
      </c>
      <c r="K3476" s="12" t="inlineStr">
        <is>
          <t>LV|3/C+G|6</t>
        </is>
      </c>
      <c r="L3476" s="12" t="inlineStr">
        <is>
          <t>3/C+G</t>
        </is>
      </c>
      <c r="M3476" s="12" t="inlineStr">
        <is>
          <t>6</t>
        </is>
      </c>
      <c r="N3476" s="12" t="n">
        <v>1</v>
      </c>
      <c r="O3476" s="12" t="n">
        <v>1</v>
      </c>
      <c r="P3476" s="12" t="n">
        <v>480</v>
      </c>
      <c r="Q3476" s="12" t="n">
        <v>15</v>
      </c>
      <c r="R3476" s="12" t="n">
        <v>21.2</v>
      </c>
      <c r="S3476" s="12" t="inlineStr">
        <is>
          <t>Duct bank</t>
        </is>
      </c>
      <c r="T3476" s="15" t="n">
        <v>460</v>
      </c>
      <c r="U3476" s="15" t="n">
        <v>32</v>
      </c>
      <c r="V3476" s="15">
        <f>ROUNDUP((T3476+U3476+2*'Read Me'!$B$13)*(1+'Read Me'!$B$12),-1)</f>
        <v/>
      </c>
      <c r="W3476" s="15">
        <f>V3476*N3476*O3476</f>
        <v/>
      </c>
      <c r="X3476" s="12">
        <f>IF(LEFT(I3476,2)="MV",2*N3476*IF(L3476="1/C",O3476,1),0)</f>
        <v/>
      </c>
      <c r="Y3476" s="12">
        <f>IF(OR(LEFT(K3476,4)="LVAX",LEFT(K3476,6)="MV15AX",LEFT(K3476,4)="CTAX",LEFT(K3476,2)="W|"),2*N3476*O3476,0)</f>
        <v/>
      </c>
      <c r="Z3476" s="12" t="inlineStr">
        <is>
          <t>VD 2.0 %</t>
        </is>
      </c>
      <c r="AA3476" s="12">
        <f>N3476*O3476</f>
        <v/>
      </c>
    </row>
    <row r="3477">
      <c r="A3477" s="12" t="inlineStr">
        <is>
          <t>G-P-0066</t>
        </is>
      </c>
      <c r="B3477" s="12" t="inlineStr">
        <is>
          <t>G</t>
        </is>
      </c>
      <c r="C3477" s="12" t="inlineStr">
        <is>
          <t>Carbon capture</t>
        </is>
      </c>
      <c r="D3477" s="12" t="inlineStr">
        <is>
          <t>480 V welding receptacle 1</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LV|3/C+G|2</t>
        </is>
      </c>
      <c r="L3477" s="12" t="inlineStr">
        <is>
          <t>3/C+G</t>
        </is>
      </c>
      <c r="M3477" s="12" t="inlineStr">
        <is>
          <t>2</t>
        </is>
      </c>
      <c r="N3477" s="12" t="n">
        <v>1</v>
      </c>
      <c r="O3477" s="12" t="n">
        <v>1</v>
      </c>
      <c r="P3477" s="12" t="n">
        <v>480</v>
      </c>
      <c r="Q3477" s="12" t="n">
        <v>60</v>
      </c>
      <c r="R3477" s="12" t="n">
        <v>76</v>
      </c>
      <c r="S3477" s="12" t="inlineStr">
        <is>
          <t>Duct bank</t>
        </is>
      </c>
      <c r="T3477" s="15" t="n">
        <v>460</v>
      </c>
      <c r="U3477" s="15" t="n">
        <v>32</v>
      </c>
      <c r="V3477" s="15">
        <f>ROUNDUP((T3477+U3477+2*'Read Me'!$B$13)*(1+'Read Me'!$B$12),-1)</f>
        <v/>
      </c>
      <c r="W3477" s="15">
        <f>V3477*N3477*O3477</f>
        <v/>
      </c>
      <c r="X3477" s="12">
        <f>IF(LEFT(I3477,2)="MV",2*N3477*IF(L3477="1/C",O3477,1),0)</f>
        <v/>
      </c>
      <c r="Y3477" s="12">
        <f>IF(OR(LEFT(K3477,4)="LVAX",LEFT(K3477,6)="MV15AX",LEFT(K3477,4)="CTAX",LEFT(K3477,2)="W|"),2*N3477*O3477,0)</f>
        <v/>
      </c>
      <c r="Z3477" s="12" t="inlineStr">
        <is>
          <t>VD 2.9 %</t>
        </is>
      </c>
      <c r="AA3477" s="12">
        <f>N3477*O3477</f>
        <v/>
      </c>
    </row>
    <row r="3478">
      <c r="A3478" s="12" t="inlineStr">
        <is>
          <t>G-P-0067</t>
        </is>
      </c>
      <c r="B3478" s="12" t="inlineStr">
        <is>
          <t>G</t>
        </is>
      </c>
      <c r="C3478" s="12" t="inlineStr">
        <is>
          <t>Carbon capture</t>
        </is>
      </c>
      <c r="D3478" s="12" t="inlineStr">
        <is>
          <t>480 V welding receptacle 2</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LV|3/C+G|2</t>
        </is>
      </c>
      <c r="L3478" s="12" t="inlineStr">
        <is>
          <t>3/C+G</t>
        </is>
      </c>
      <c r="M3478" s="12" t="inlineStr">
        <is>
          <t>2</t>
        </is>
      </c>
      <c r="N3478" s="12" t="n">
        <v>1</v>
      </c>
      <c r="O3478" s="12" t="n">
        <v>1</v>
      </c>
      <c r="P3478" s="12" t="n">
        <v>480</v>
      </c>
      <c r="Q3478" s="12" t="n">
        <v>60</v>
      </c>
      <c r="R3478" s="12" t="n">
        <v>76</v>
      </c>
      <c r="S3478" s="12" t="inlineStr">
        <is>
          <t>Duct bank</t>
        </is>
      </c>
      <c r="T3478" s="15" t="n">
        <v>460</v>
      </c>
      <c r="U3478" s="15" t="n">
        <v>32</v>
      </c>
      <c r="V3478" s="15">
        <f>ROUNDUP((T3478+U3478+2*'Read Me'!$B$13)*(1+'Read Me'!$B$12),-1)</f>
        <v/>
      </c>
      <c r="W3478" s="15">
        <f>V3478*N3478*O3478</f>
        <v/>
      </c>
      <c r="X3478" s="12">
        <f>IF(LEFT(I3478,2)="MV",2*N3478*IF(L3478="1/C",O3478,1),0)</f>
        <v/>
      </c>
      <c r="Y3478" s="12">
        <f>IF(OR(LEFT(K3478,4)="LVAX",LEFT(K3478,6)="MV15AX",LEFT(K3478,4)="CTAX",LEFT(K3478,2)="W|"),2*N3478*O3478,0)</f>
        <v/>
      </c>
      <c r="Z3478" s="12" t="inlineStr">
        <is>
          <t>VD 2.9 %</t>
        </is>
      </c>
      <c r="AA3478" s="12">
        <f>N3478*O3478</f>
        <v/>
      </c>
    </row>
    <row r="3479">
      <c r="A3479" s="12" t="inlineStr">
        <is>
          <t>G-P-0068</t>
        </is>
      </c>
      <c r="B3479" s="12" t="inlineStr">
        <is>
          <t>G</t>
        </is>
      </c>
      <c r="C3479" s="12" t="inlineStr">
        <is>
          <t>Carbon capture</t>
        </is>
      </c>
      <c r="D3479" s="12" t="inlineStr">
        <is>
          <t>480 V welding receptacle 3</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LV|3/C+G|2</t>
        </is>
      </c>
      <c r="L3479" s="12" t="inlineStr">
        <is>
          <t>3/C+G</t>
        </is>
      </c>
      <c r="M3479" s="12" t="inlineStr">
        <is>
          <t>2</t>
        </is>
      </c>
      <c r="N3479" s="12" t="n">
        <v>1</v>
      </c>
      <c r="O3479" s="12" t="n">
        <v>1</v>
      </c>
      <c r="P3479" s="12" t="n">
        <v>480</v>
      </c>
      <c r="Q3479" s="12" t="n">
        <v>60</v>
      </c>
      <c r="R3479" s="12" t="n">
        <v>76</v>
      </c>
      <c r="S3479" s="12" t="inlineStr">
        <is>
          <t>Duct bank</t>
        </is>
      </c>
      <c r="T3479" s="15" t="n">
        <v>460</v>
      </c>
      <c r="U3479" s="15" t="n">
        <v>32</v>
      </c>
      <c r="V3479" s="15">
        <f>ROUNDUP((T3479+U3479+2*'Read Me'!$B$13)*(1+'Read Me'!$B$12),-1)</f>
        <v/>
      </c>
      <c r="W3479" s="15">
        <f>V3479*N3479*O3479</f>
        <v/>
      </c>
      <c r="X3479" s="12">
        <f>IF(LEFT(I3479,2)="MV",2*N3479*IF(L3479="1/C",O3479,1),0)</f>
        <v/>
      </c>
      <c r="Y3479" s="12">
        <f>IF(OR(LEFT(K3479,4)="LVAX",LEFT(K3479,6)="MV15AX",LEFT(K3479,4)="CTAX",LEFT(K3479,2)="W|"),2*N3479*O3479,0)</f>
        <v/>
      </c>
      <c r="Z3479" s="12" t="inlineStr">
        <is>
          <t>VD 2.9 %</t>
        </is>
      </c>
      <c r="AA3479" s="12">
        <f>N3479*O3479</f>
        <v/>
      </c>
    </row>
    <row r="3480">
      <c r="A3480" s="12" t="inlineStr">
        <is>
          <t>G-P-0069</t>
        </is>
      </c>
      <c r="B3480" s="12" t="inlineStr">
        <is>
          <t>G</t>
        </is>
      </c>
      <c r="C3480" s="12" t="inlineStr">
        <is>
          <t>Carbon capture</t>
        </is>
      </c>
      <c r="D3480" s="12" t="inlineStr">
        <is>
          <t>480 V welding receptacle 4</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LV|3/C+G|2</t>
        </is>
      </c>
      <c r="L3480" s="12" t="inlineStr">
        <is>
          <t>3/C+G</t>
        </is>
      </c>
      <c r="M3480" s="12" t="inlineStr">
        <is>
          <t>2</t>
        </is>
      </c>
      <c r="N3480" s="12" t="n">
        <v>1</v>
      </c>
      <c r="O3480" s="12" t="n">
        <v>1</v>
      </c>
      <c r="P3480" s="12" t="n">
        <v>480</v>
      </c>
      <c r="Q3480" s="12" t="n">
        <v>60</v>
      </c>
      <c r="R3480" s="12" t="n">
        <v>76</v>
      </c>
      <c r="S3480" s="12" t="inlineStr">
        <is>
          <t>Duct bank</t>
        </is>
      </c>
      <c r="T3480" s="15" t="n">
        <v>460</v>
      </c>
      <c r="U3480" s="15" t="n">
        <v>32</v>
      </c>
      <c r="V3480" s="15">
        <f>ROUNDUP((T3480+U3480+2*'Read Me'!$B$13)*(1+'Read Me'!$B$12),-1)</f>
        <v/>
      </c>
      <c r="W3480" s="15">
        <f>V3480*N3480*O3480</f>
        <v/>
      </c>
      <c r="X3480" s="12">
        <f>IF(LEFT(I3480,2)="MV",2*N3480*IF(L3480="1/C",O3480,1),0)</f>
        <v/>
      </c>
      <c r="Y3480" s="12">
        <f>IF(OR(LEFT(K3480,4)="LVAX",LEFT(K3480,6)="MV15AX",LEFT(K3480,4)="CTAX",LEFT(K3480,2)="W|"),2*N3480*O3480,0)</f>
        <v/>
      </c>
      <c r="Z3480" s="12" t="inlineStr">
        <is>
          <t>VD 2.9 %</t>
        </is>
      </c>
      <c r="AA3480" s="12">
        <f>N3480*O3480</f>
        <v/>
      </c>
    </row>
    <row r="3481">
      <c r="A3481" s="12" t="inlineStr">
        <is>
          <t>G-P-0070</t>
        </is>
      </c>
      <c r="B3481" s="12" t="inlineStr">
        <is>
          <t>G</t>
        </is>
      </c>
      <c r="C3481" s="12" t="inlineStr">
        <is>
          <t>Carbon capture</t>
        </is>
      </c>
      <c r="D3481" s="12" t="inlineStr">
        <is>
          <t>Motor 1 of 4, 15 kW</t>
        </is>
      </c>
      <c r="E3481" s="12" t="inlineStr"/>
      <c r="F3481" s="12" t="inlineStr">
        <is>
          <t>CCS MV switchgear building (VFDs)</t>
        </is>
      </c>
      <c r="G3481" s="12" t="inlineStr">
        <is>
          <t>BF-B</t>
        </is>
      </c>
      <c r="H3481" s="12" t="inlineStr">
        <is>
          <t>BF-B: booster fan (~16 MW)</t>
        </is>
      </c>
      <c r="I3481" s="12" t="inlineStr">
        <is>
          <t>LV 600 V</t>
        </is>
      </c>
      <c r="J3481" s="12" t="inlineStr">
        <is>
          <t>Type TC-ER 600 V 3/C Cu XHHW-2 + ground, PVC jacket</t>
        </is>
      </c>
      <c r="K3481" s="12" t="inlineStr">
        <is>
          <t>LV|3/C+G|8</t>
        </is>
      </c>
      <c r="L3481" s="12" t="inlineStr">
        <is>
          <t>3/C+G</t>
        </is>
      </c>
      <c r="M3481" s="12" t="inlineStr">
        <is>
          <t>8</t>
        </is>
      </c>
      <c r="N3481" s="12" t="n">
        <v>1</v>
      </c>
      <c r="O3481" s="12" t="n">
        <v>1</v>
      </c>
      <c r="P3481" s="12" t="n">
        <v>480</v>
      </c>
      <c r="Q3481" s="12" t="n">
        <v>15</v>
      </c>
      <c r="R3481" s="12" t="n">
        <v>21.2</v>
      </c>
      <c r="S3481" s="12" t="inlineStr">
        <is>
          <t>Duct bank</t>
        </is>
      </c>
      <c r="T3481" s="15" t="n">
        <v>300</v>
      </c>
      <c r="U3481" s="15" t="n">
        <v>32</v>
      </c>
      <c r="V3481" s="15">
        <f>ROUNDUP((T3481+U3481+2*'Read Me'!$B$13)*(1+'Read Me'!$B$12),-1)</f>
        <v/>
      </c>
      <c r="W3481" s="15">
        <f>V3481*N3481*O3481</f>
        <v/>
      </c>
      <c r="X3481" s="12">
        <f>IF(LEFT(I3481,2)="MV",2*N3481*IF(L3481="1/C",O3481,1),0)</f>
        <v/>
      </c>
      <c r="Y3481" s="12">
        <f>IF(OR(LEFT(K3481,4)="LVAX",LEFT(K3481,6)="MV15AX",LEFT(K3481,4)="CTAX",LEFT(K3481,2)="W|"),2*N3481*O3481,0)</f>
        <v/>
      </c>
      <c r="Z3481" s="12" t="inlineStr">
        <is>
          <t>VD 2.1 %</t>
        </is>
      </c>
      <c r="AA3481" s="12">
        <f>N3481*O3481</f>
        <v/>
      </c>
    </row>
    <row r="3482">
      <c r="A3482" s="12" t="inlineStr">
        <is>
          <t>G-P-0071</t>
        </is>
      </c>
      <c r="B3482" s="12" t="inlineStr">
        <is>
          <t>G</t>
        </is>
      </c>
      <c r="C3482" s="12" t="inlineStr">
        <is>
          <t>Carbon capture</t>
        </is>
      </c>
      <c r="D3482" s="12" t="inlineStr">
        <is>
          <t>Motor 2 of 4, 15 kW</t>
        </is>
      </c>
      <c r="E3482" s="12" t="inlineStr"/>
      <c r="F3482" s="12" t="inlineStr">
        <is>
          <t>CCS MV switchgear building (VFDs)</t>
        </is>
      </c>
      <c r="G3482" s="12" t="inlineStr">
        <is>
          <t>BF-B</t>
        </is>
      </c>
      <c r="H3482" s="12" t="inlineStr">
        <is>
          <t>BF-B: booster fan (~16 MW)</t>
        </is>
      </c>
      <c r="I3482" s="12" t="inlineStr">
        <is>
          <t>LV 600 V</t>
        </is>
      </c>
      <c r="J3482" s="12" t="inlineStr">
        <is>
          <t>Type TC-ER 600 V 3/C Cu XHHW-2 + ground, PVC jacket</t>
        </is>
      </c>
      <c r="K3482" s="12" t="inlineStr">
        <is>
          <t>LV|3/C+G|8</t>
        </is>
      </c>
      <c r="L3482" s="12" t="inlineStr">
        <is>
          <t>3/C+G</t>
        </is>
      </c>
      <c r="M3482" s="12" t="inlineStr">
        <is>
          <t>8</t>
        </is>
      </c>
      <c r="N3482" s="12" t="n">
        <v>1</v>
      </c>
      <c r="O3482" s="12" t="n">
        <v>1</v>
      </c>
      <c r="P3482" s="12" t="n">
        <v>480</v>
      </c>
      <c r="Q3482" s="12" t="n">
        <v>15</v>
      </c>
      <c r="R3482" s="12" t="n">
        <v>21.2</v>
      </c>
      <c r="S3482" s="12" t="inlineStr">
        <is>
          <t>Duct bank</t>
        </is>
      </c>
      <c r="T3482" s="15" t="n">
        <v>300</v>
      </c>
      <c r="U3482" s="15" t="n">
        <v>32</v>
      </c>
      <c r="V3482" s="15">
        <f>ROUNDUP((T3482+U3482+2*'Read Me'!$B$13)*(1+'Read Me'!$B$12),-1)</f>
        <v/>
      </c>
      <c r="W3482" s="15">
        <f>V3482*N3482*O3482</f>
        <v/>
      </c>
      <c r="X3482" s="12">
        <f>IF(LEFT(I3482,2)="MV",2*N3482*IF(L3482="1/C",O3482,1),0)</f>
        <v/>
      </c>
      <c r="Y3482" s="12">
        <f>IF(OR(LEFT(K3482,4)="LVAX",LEFT(K3482,6)="MV15AX",LEFT(K3482,4)="CTAX",LEFT(K3482,2)="W|"),2*N3482*O3482,0)</f>
        <v/>
      </c>
      <c r="Z3482" s="12" t="inlineStr">
        <is>
          <t>VD 2.1 %</t>
        </is>
      </c>
      <c r="AA3482" s="12">
        <f>N3482*O3482</f>
        <v/>
      </c>
    </row>
    <row r="3483">
      <c r="A3483" s="12" t="inlineStr">
        <is>
          <t>G-P-0072</t>
        </is>
      </c>
      <c r="B3483" s="12" t="inlineStr">
        <is>
          <t>G</t>
        </is>
      </c>
      <c r="C3483" s="12" t="inlineStr">
        <is>
          <t>Carbon capture</t>
        </is>
      </c>
      <c r="D3483" s="12" t="inlineStr">
        <is>
          <t>Motor 3 of 4, 15 kW</t>
        </is>
      </c>
      <c r="E3483" s="12" t="inlineStr"/>
      <c r="F3483" s="12" t="inlineStr">
        <is>
          <t>CCS MV switchgear building (VFDs)</t>
        </is>
      </c>
      <c r="G3483" s="12" t="inlineStr">
        <is>
          <t>BF-B</t>
        </is>
      </c>
      <c r="H3483" s="12" t="inlineStr">
        <is>
          <t>BF-B: booster fan (~16 MW)</t>
        </is>
      </c>
      <c r="I3483" s="12" t="inlineStr">
        <is>
          <t>LV 600 V</t>
        </is>
      </c>
      <c r="J3483" s="12" t="inlineStr">
        <is>
          <t>Type TC-ER 600 V 3/C Cu XHHW-2 + ground, PVC jacket</t>
        </is>
      </c>
      <c r="K3483" s="12" t="inlineStr">
        <is>
          <t>LV|3/C+G|8</t>
        </is>
      </c>
      <c r="L3483" s="12" t="inlineStr">
        <is>
          <t>3/C+G</t>
        </is>
      </c>
      <c r="M3483" s="12" t="inlineStr">
        <is>
          <t>8</t>
        </is>
      </c>
      <c r="N3483" s="12" t="n">
        <v>1</v>
      </c>
      <c r="O3483" s="12" t="n">
        <v>1</v>
      </c>
      <c r="P3483" s="12" t="n">
        <v>480</v>
      </c>
      <c r="Q3483" s="12" t="n">
        <v>15</v>
      </c>
      <c r="R3483" s="12" t="n">
        <v>21.2</v>
      </c>
      <c r="S3483" s="12" t="inlineStr">
        <is>
          <t>Duct bank</t>
        </is>
      </c>
      <c r="T3483" s="15" t="n">
        <v>300</v>
      </c>
      <c r="U3483" s="15" t="n">
        <v>32</v>
      </c>
      <c r="V3483" s="15">
        <f>ROUNDUP((T3483+U3483+2*'Read Me'!$B$13)*(1+'Read Me'!$B$12),-1)</f>
        <v/>
      </c>
      <c r="W3483" s="15">
        <f>V3483*N3483*O3483</f>
        <v/>
      </c>
      <c r="X3483" s="12">
        <f>IF(LEFT(I3483,2)="MV",2*N3483*IF(L3483="1/C",O3483,1),0)</f>
        <v/>
      </c>
      <c r="Y3483" s="12">
        <f>IF(OR(LEFT(K3483,4)="LVAX",LEFT(K3483,6)="MV15AX",LEFT(K3483,4)="CTAX",LEFT(K3483,2)="W|"),2*N3483*O3483,0)</f>
        <v/>
      </c>
      <c r="Z3483" s="12" t="inlineStr">
        <is>
          <t>VD 2.1 %</t>
        </is>
      </c>
      <c r="AA3483" s="12">
        <f>N3483*O3483</f>
        <v/>
      </c>
    </row>
    <row r="3484">
      <c r="A3484" s="12" t="inlineStr">
        <is>
          <t>G-P-0073</t>
        </is>
      </c>
      <c r="B3484" s="12" t="inlineStr">
        <is>
          <t>G</t>
        </is>
      </c>
      <c r="C3484" s="12" t="inlineStr">
        <is>
          <t>Carbon capture</t>
        </is>
      </c>
      <c r="D3484" s="12" t="inlineStr">
        <is>
          <t>Motor 4 of 4, 15 kW</t>
        </is>
      </c>
      <c r="E3484" s="12" t="inlineStr"/>
      <c r="F3484" s="12" t="inlineStr">
        <is>
          <t>CCS MV switchgear building (VFDs)</t>
        </is>
      </c>
      <c r="G3484" s="12" t="inlineStr">
        <is>
          <t>BF-B</t>
        </is>
      </c>
      <c r="H3484" s="12" t="inlineStr">
        <is>
          <t>BF-B: booster fan (~16 MW)</t>
        </is>
      </c>
      <c r="I3484" s="12" t="inlineStr">
        <is>
          <t>LV 600 V</t>
        </is>
      </c>
      <c r="J3484" s="12" t="inlineStr">
        <is>
          <t>Type TC-ER 600 V 3/C Cu XHHW-2 + ground, PVC jacket</t>
        </is>
      </c>
      <c r="K3484" s="12" t="inlineStr">
        <is>
          <t>LV|3/C+G|8</t>
        </is>
      </c>
      <c r="L3484" s="12" t="inlineStr">
        <is>
          <t>3/C+G</t>
        </is>
      </c>
      <c r="M3484" s="12" t="inlineStr">
        <is>
          <t>8</t>
        </is>
      </c>
      <c r="N3484" s="12" t="n">
        <v>1</v>
      </c>
      <c r="O3484" s="12" t="n">
        <v>1</v>
      </c>
      <c r="P3484" s="12" t="n">
        <v>480</v>
      </c>
      <c r="Q3484" s="12" t="n">
        <v>15</v>
      </c>
      <c r="R3484" s="12" t="n">
        <v>21.2</v>
      </c>
      <c r="S3484" s="12" t="inlineStr">
        <is>
          <t>Duct bank</t>
        </is>
      </c>
      <c r="T3484" s="15" t="n">
        <v>300</v>
      </c>
      <c r="U3484" s="15" t="n">
        <v>32</v>
      </c>
      <c r="V3484" s="15">
        <f>ROUNDUP((T3484+U3484+2*'Read Me'!$B$13)*(1+'Read Me'!$B$12),-1)</f>
        <v/>
      </c>
      <c r="W3484" s="15">
        <f>V3484*N3484*O3484</f>
        <v/>
      </c>
      <c r="X3484" s="12">
        <f>IF(LEFT(I3484,2)="MV",2*N3484*IF(L3484="1/C",O3484,1),0)</f>
        <v/>
      </c>
      <c r="Y3484" s="12">
        <f>IF(OR(LEFT(K3484,4)="LVAX",LEFT(K3484,6)="MV15AX",LEFT(K3484,4)="CTAX",LEFT(K3484,2)="W|"),2*N3484*O3484,0)</f>
        <v/>
      </c>
      <c r="Z3484" s="12" t="inlineStr">
        <is>
          <t>VD 2.1 %</t>
        </is>
      </c>
      <c r="AA3484" s="12">
        <f>N3484*O3484</f>
        <v/>
      </c>
    </row>
    <row r="3485">
      <c r="A3485" s="12" t="inlineStr">
        <is>
          <t>G-P-0074</t>
        </is>
      </c>
      <c r="B3485" s="12" t="inlineStr">
        <is>
          <t>G</t>
        </is>
      </c>
      <c r="C3485" s="12" t="inlineStr">
        <is>
          <t>Carbon capture</t>
        </is>
      </c>
      <c r="D3485" s="12" t="inlineStr">
        <is>
          <t>480 V welding receptacle 1</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5" t="n">
        <v>300</v>
      </c>
      <c r="U3485" s="15" t="n">
        <v>32</v>
      </c>
      <c r="V3485" s="15">
        <f>ROUNDUP((T3485+U3485+2*'Read Me'!$B$13)*(1+'Read Me'!$B$12),-1)</f>
        <v/>
      </c>
      <c r="W3485" s="15">
        <f>V3485*N3485*O3485</f>
        <v/>
      </c>
      <c r="X3485" s="12">
        <f>IF(LEFT(I3485,2)="MV",2*N3485*IF(L3485="1/C",O3485,1),0)</f>
        <v/>
      </c>
      <c r="Y3485" s="12">
        <f>IF(OR(LEFT(K3485,4)="LVAX",LEFT(K3485,6)="MV15AX",LEFT(K3485,4)="CTAX",LEFT(K3485,2)="W|"),2*N3485*O3485,0)</f>
        <v/>
      </c>
      <c r="Z3485" s="12" t="inlineStr">
        <is>
          <t>VD 1.9 %</t>
        </is>
      </c>
      <c r="AA3485" s="12">
        <f>N3485*O3485</f>
        <v/>
      </c>
    </row>
    <row r="3486">
      <c r="A3486" s="12" t="inlineStr">
        <is>
          <t>G-P-0075</t>
        </is>
      </c>
      <c r="B3486" s="12" t="inlineStr">
        <is>
          <t>G</t>
        </is>
      </c>
      <c r="C3486" s="12" t="inlineStr">
        <is>
          <t>Carbon capture</t>
        </is>
      </c>
      <c r="D3486" s="12" t="inlineStr">
        <is>
          <t>480 V welding receptacle 2</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5" t="n">
        <v>300</v>
      </c>
      <c r="U3486" s="15" t="n">
        <v>32</v>
      </c>
      <c r="V3486" s="15">
        <f>ROUNDUP((T3486+U3486+2*'Read Me'!$B$13)*(1+'Read Me'!$B$12),-1)</f>
        <v/>
      </c>
      <c r="W3486" s="15">
        <f>V3486*N3486*O3486</f>
        <v/>
      </c>
      <c r="X3486" s="12">
        <f>IF(LEFT(I3486,2)="MV",2*N3486*IF(L3486="1/C",O3486,1),0)</f>
        <v/>
      </c>
      <c r="Y3486" s="12">
        <f>IF(OR(LEFT(K3486,4)="LVAX",LEFT(K3486,6)="MV15AX",LEFT(K3486,4)="CTAX",LEFT(K3486,2)="W|"),2*N3486*O3486,0)</f>
        <v/>
      </c>
      <c r="Z3486" s="12" t="inlineStr">
        <is>
          <t>VD 1.9 %</t>
        </is>
      </c>
      <c r="AA3486" s="12">
        <f>N3486*O3486</f>
        <v/>
      </c>
    </row>
    <row r="3487">
      <c r="A3487" s="12" t="inlineStr">
        <is>
          <t>G-P-0076</t>
        </is>
      </c>
      <c r="B3487" s="12" t="inlineStr">
        <is>
          <t>G</t>
        </is>
      </c>
      <c r="C3487" s="12" t="inlineStr">
        <is>
          <t>Carbon capture</t>
        </is>
      </c>
      <c r="D3487" s="12" t="inlineStr">
        <is>
          <t>480 V welding receptacle 3</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LV|3/C+G|2</t>
        </is>
      </c>
      <c r="L3487" s="12" t="inlineStr">
        <is>
          <t>3/C+G</t>
        </is>
      </c>
      <c r="M3487" s="12" t="inlineStr">
        <is>
          <t>2</t>
        </is>
      </c>
      <c r="N3487" s="12" t="n">
        <v>1</v>
      </c>
      <c r="O3487" s="12" t="n">
        <v>1</v>
      </c>
      <c r="P3487" s="12" t="n">
        <v>480</v>
      </c>
      <c r="Q3487" s="12" t="n">
        <v>60</v>
      </c>
      <c r="R3487" s="12" t="n">
        <v>76</v>
      </c>
      <c r="S3487" s="12" t="inlineStr">
        <is>
          <t>Duct bank</t>
        </is>
      </c>
      <c r="T3487" s="15" t="n">
        <v>300</v>
      </c>
      <c r="U3487" s="15" t="n">
        <v>32</v>
      </c>
      <c r="V3487" s="15">
        <f>ROUNDUP((T3487+U3487+2*'Read Me'!$B$13)*(1+'Read Me'!$B$12),-1)</f>
        <v/>
      </c>
      <c r="W3487" s="15">
        <f>V3487*N3487*O3487</f>
        <v/>
      </c>
      <c r="X3487" s="12">
        <f>IF(LEFT(I3487,2)="MV",2*N3487*IF(L3487="1/C",O3487,1),0)</f>
        <v/>
      </c>
      <c r="Y3487" s="12">
        <f>IF(OR(LEFT(K3487,4)="LVAX",LEFT(K3487,6)="MV15AX",LEFT(K3487,4)="CTAX",LEFT(K3487,2)="W|"),2*N3487*O3487,0)</f>
        <v/>
      </c>
      <c r="Z3487" s="12" t="inlineStr">
        <is>
          <t>VD 1.9 %</t>
        </is>
      </c>
      <c r="AA3487" s="12">
        <f>N3487*O3487</f>
        <v/>
      </c>
    </row>
    <row r="3488">
      <c r="A3488" s="12" t="inlineStr">
        <is>
          <t>G-P-0077</t>
        </is>
      </c>
      <c r="B3488" s="12" t="inlineStr">
        <is>
          <t>G</t>
        </is>
      </c>
      <c r="C3488" s="12" t="inlineStr">
        <is>
          <t>Carbon capture</t>
        </is>
      </c>
      <c r="D3488" s="12" t="inlineStr">
        <is>
          <t>480 V welding receptacle 4</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Duct bank</t>
        </is>
      </c>
      <c r="T3488" s="15" t="n">
        <v>300</v>
      </c>
      <c r="U3488" s="15" t="n">
        <v>32</v>
      </c>
      <c r="V3488" s="15">
        <f>ROUNDUP((T3488+U3488+2*'Read Me'!$B$13)*(1+'Read Me'!$B$12),-1)</f>
        <v/>
      </c>
      <c r="W3488" s="15">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G-P-0078</t>
        </is>
      </c>
      <c r="B3489" s="12" t="inlineStr">
        <is>
          <t>G</t>
        </is>
      </c>
      <c r="C3489" s="12" t="inlineStr">
        <is>
          <t>Carbon capture</t>
        </is>
      </c>
      <c r="D3489" s="12" t="inlineStr">
        <is>
          <t>Motor 1 of 4, 15 kW</t>
        </is>
      </c>
      <c r="E3489" s="12" t="inlineStr"/>
      <c r="F3489" s="12" t="inlineStr">
        <is>
          <t>CCS MV switchgear building (VFDs)</t>
        </is>
      </c>
      <c r="G3489" s="12" t="inlineStr">
        <is>
          <t>BF-C</t>
        </is>
      </c>
      <c r="H3489" s="12" t="inlineStr">
        <is>
          <t>BF-C: booster fan (~16 MW)</t>
        </is>
      </c>
      <c r="I3489" s="12" t="inlineStr">
        <is>
          <t>LV 600 V</t>
        </is>
      </c>
      <c r="J3489" s="12" t="inlineStr">
        <is>
          <t>Type TC-ER 600 V 3/C Cu XHHW-2 + ground, PVC jacket</t>
        </is>
      </c>
      <c r="K3489" s="12" t="inlineStr">
        <is>
          <t>LV|3/C+G|10</t>
        </is>
      </c>
      <c r="L3489" s="12" t="inlineStr">
        <is>
          <t>3/C+G</t>
        </is>
      </c>
      <c r="M3489" s="12" t="inlineStr">
        <is>
          <t>10</t>
        </is>
      </c>
      <c r="N3489" s="12" t="n">
        <v>1</v>
      </c>
      <c r="O3489" s="12" t="n">
        <v>1</v>
      </c>
      <c r="P3489" s="12" t="n">
        <v>480</v>
      </c>
      <c r="Q3489" s="12" t="n">
        <v>15</v>
      </c>
      <c r="R3489" s="12" t="n">
        <v>21.2</v>
      </c>
      <c r="S3489" s="12" t="inlineStr">
        <is>
          <t>Duct bank</t>
        </is>
      </c>
      <c r="T3489" s="15" t="n">
        <v>140</v>
      </c>
      <c r="U3489" s="15" t="n">
        <v>32</v>
      </c>
      <c r="V3489" s="15">
        <f>ROUNDUP((T3489+U3489+2*'Read Me'!$B$13)*(1+'Read Me'!$B$12),-1)</f>
        <v/>
      </c>
      <c r="W3489" s="15">
        <f>V3489*N3489*O3489</f>
        <v/>
      </c>
      <c r="X3489" s="12">
        <f>IF(LEFT(I3489,2)="MV",2*N3489*IF(L3489="1/C",O3489,1),0)</f>
        <v/>
      </c>
      <c r="Y3489" s="12">
        <f>IF(OR(LEFT(K3489,4)="LVAX",LEFT(K3489,6)="MV15AX",LEFT(K3489,4)="CTAX",LEFT(K3489,2)="W|"),2*N3489*O3489,0)</f>
        <v/>
      </c>
      <c r="Z3489" s="12" t="inlineStr">
        <is>
          <t>VD 1.8 %</t>
        </is>
      </c>
      <c r="AA3489" s="12">
        <f>N3489*O3489</f>
        <v/>
      </c>
    </row>
    <row r="3490">
      <c r="A3490" s="12" t="inlineStr">
        <is>
          <t>G-P-0079</t>
        </is>
      </c>
      <c r="B3490" s="12" t="inlineStr">
        <is>
          <t>G</t>
        </is>
      </c>
      <c r="C3490" s="12" t="inlineStr">
        <is>
          <t>Carbon capture</t>
        </is>
      </c>
      <c r="D3490" s="12" t="inlineStr">
        <is>
          <t>Motor 2 of 4, 15 kW</t>
        </is>
      </c>
      <c r="E3490" s="12" t="inlineStr"/>
      <c r="F3490" s="12" t="inlineStr">
        <is>
          <t>CCS MV switchgear building (VFDs)</t>
        </is>
      </c>
      <c r="G3490" s="12" t="inlineStr">
        <is>
          <t>BF-C</t>
        </is>
      </c>
      <c r="H3490" s="12" t="inlineStr">
        <is>
          <t>BF-C: booster fan (~16 MW)</t>
        </is>
      </c>
      <c r="I3490" s="12" t="inlineStr">
        <is>
          <t>LV 600 V</t>
        </is>
      </c>
      <c r="J3490" s="12" t="inlineStr">
        <is>
          <t>Type TC-ER 600 V 3/C Cu XHHW-2 + ground, PVC jacket</t>
        </is>
      </c>
      <c r="K3490" s="12" t="inlineStr">
        <is>
          <t>LV|3/C+G|10</t>
        </is>
      </c>
      <c r="L3490" s="12" t="inlineStr">
        <is>
          <t>3/C+G</t>
        </is>
      </c>
      <c r="M3490" s="12" t="inlineStr">
        <is>
          <t>10</t>
        </is>
      </c>
      <c r="N3490" s="12" t="n">
        <v>1</v>
      </c>
      <c r="O3490" s="12" t="n">
        <v>1</v>
      </c>
      <c r="P3490" s="12" t="n">
        <v>480</v>
      </c>
      <c r="Q3490" s="12" t="n">
        <v>15</v>
      </c>
      <c r="R3490" s="12" t="n">
        <v>21.2</v>
      </c>
      <c r="S3490" s="12" t="inlineStr">
        <is>
          <t>Duct bank</t>
        </is>
      </c>
      <c r="T3490" s="15" t="n">
        <v>140</v>
      </c>
      <c r="U3490" s="15" t="n">
        <v>32</v>
      </c>
      <c r="V3490" s="15">
        <f>ROUNDUP((T3490+U3490+2*'Read Me'!$B$13)*(1+'Read Me'!$B$12),-1)</f>
        <v/>
      </c>
      <c r="W3490" s="15">
        <f>V3490*N3490*O3490</f>
        <v/>
      </c>
      <c r="X3490" s="12">
        <f>IF(LEFT(I3490,2)="MV",2*N3490*IF(L3490="1/C",O3490,1),0)</f>
        <v/>
      </c>
      <c r="Y3490" s="12">
        <f>IF(OR(LEFT(K3490,4)="LVAX",LEFT(K3490,6)="MV15AX",LEFT(K3490,4)="CTAX",LEFT(K3490,2)="W|"),2*N3490*O3490,0)</f>
        <v/>
      </c>
      <c r="Z3490" s="12" t="inlineStr">
        <is>
          <t>VD 1.8 %</t>
        </is>
      </c>
      <c r="AA3490" s="12">
        <f>N3490*O3490</f>
        <v/>
      </c>
    </row>
    <row r="3491">
      <c r="A3491" s="12" t="inlineStr">
        <is>
          <t>G-P-0080</t>
        </is>
      </c>
      <c r="B3491" s="12" t="inlineStr">
        <is>
          <t>G</t>
        </is>
      </c>
      <c r="C3491" s="12" t="inlineStr">
        <is>
          <t>Carbon capture</t>
        </is>
      </c>
      <c r="D3491" s="12" t="inlineStr">
        <is>
          <t>Motor 3 of 4, 15 kW</t>
        </is>
      </c>
      <c r="E3491" s="12" t="inlineStr"/>
      <c r="F3491" s="12" t="inlineStr">
        <is>
          <t>CCS MV switchgear building (VFDs)</t>
        </is>
      </c>
      <c r="G3491" s="12" t="inlineStr">
        <is>
          <t>BF-C</t>
        </is>
      </c>
      <c r="H3491" s="12" t="inlineStr">
        <is>
          <t>BF-C: booster fan (~16 MW)</t>
        </is>
      </c>
      <c r="I3491" s="12" t="inlineStr">
        <is>
          <t>LV 600 V</t>
        </is>
      </c>
      <c r="J3491" s="12" t="inlineStr">
        <is>
          <t>Type TC-ER 600 V 3/C Cu XHHW-2 + ground, PVC jacket</t>
        </is>
      </c>
      <c r="K3491" s="12" t="inlineStr">
        <is>
          <t>LV|3/C+G|10</t>
        </is>
      </c>
      <c r="L3491" s="12" t="inlineStr">
        <is>
          <t>3/C+G</t>
        </is>
      </c>
      <c r="M3491" s="12" t="inlineStr">
        <is>
          <t>10</t>
        </is>
      </c>
      <c r="N3491" s="12" t="n">
        <v>1</v>
      </c>
      <c r="O3491" s="12" t="n">
        <v>1</v>
      </c>
      <c r="P3491" s="12" t="n">
        <v>480</v>
      </c>
      <c r="Q3491" s="12" t="n">
        <v>15</v>
      </c>
      <c r="R3491" s="12" t="n">
        <v>21.2</v>
      </c>
      <c r="S3491" s="12" t="inlineStr">
        <is>
          <t>Duct bank</t>
        </is>
      </c>
      <c r="T3491" s="15" t="n">
        <v>140</v>
      </c>
      <c r="U3491" s="15" t="n">
        <v>32</v>
      </c>
      <c r="V3491" s="15">
        <f>ROUNDUP((T3491+U3491+2*'Read Me'!$B$13)*(1+'Read Me'!$B$12),-1)</f>
        <v/>
      </c>
      <c r="W3491" s="15">
        <f>V3491*N3491*O3491</f>
        <v/>
      </c>
      <c r="X3491" s="12">
        <f>IF(LEFT(I3491,2)="MV",2*N3491*IF(L3491="1/C",O3491,1),0)</f>
        <v/>
      </c>
      <c r="Y3491" s="12">
        <f>IF(OR(LEFT(K3491,4)="LVAX",LEFT(K3491,6)="MV15AX",LEFT(K3491,4)="CTAX",LEFT(K3491,2)="W|"),2*N3491*O3491,0)</f>
        <v/>
      </c>
      <c r="Z3491" s="12" t="inlineStr">
        <is>
          <t>VD 1.8 %</t>
        </is>
      </c>
      <c r="AA3491" s="12">
        <f>N3491*O3491</f>
        <v/>
      </c>
    </row>
    <row r="3492">
      <c r="A3492" s="12" t="inlineStr">
        <is>
          <t>G-P-0081</t>
        </is>
      </c>
      <c r="B3492" s="12" t="inlineStr">
        <is>
          <t>G</t>
        </is>
      </c>
      <c r="C3492" s="12" t="inlineStr">
        <is>
          <t>Carbon capture</t>
        </is>
      </c>
      <c r="D3492" s="12" t="inlineStr">
        <is>
          <t>Motor 4 of 4, 15 kW</t>
        </is>
      </c>
      <c r="E3492" s="12" t="inlineStr"/>
      <c r="F3492" s="12" t="inlineStr">
        <is>
          <t>CCS MV switchgear building (VFDs)</t>
        </is>
      </c>
      <c r="G3492" s="12" t="inlineStr">
        <is>
          <t>BF-C</t>
        </is>
      </c>
      <c r="H3492" s="12" t="inlineStr">
        <is>
          <t>BF-C: booster fan (~16 MW)</t>
        </is>
      </c>
      <c r="I3492" s="12" t="inlineStr">
        <is>
          <t>LV 600 V</t>
        </is>
      </c>
      <c r="J3492" s="12" t="inlineStr">
        <is>
          <t>Type TC-ER 600 V 3/C Cu XHHW-2 + ground, PVC jacket</t>
        </is>
      </c>
      <c r="K3492" s="12" t="inlineStr">
        <is>
          <t>LV|3/C+G|10</t>
        </is>
      </c>
      <c r="L3492" s="12" t="inlineStr">
        <is>
          <t>3/C+G</t>
        </is>
      </c>
      <c r="M3492" s="12" t="inlineStr">
        <is>
          <t>10</t>
        </is>
      </c>
      <c r="N3492" s="12" t="n">
        <v>1</v>
      </c>
      <c r="O3492" s="12" t="n">
        <v>1</v>
      </c>
      <c r="P3492" s="12" t="n">
        <v>480</v>
      </c>
      <c r="Q3492" s="12" t="n">
        <v>15</v>
      </c>
      <c r="R3492" s="12" t="n">
        <v>21.2</v>
      </c>
      <c r="S3492" s="12" t="inlineStr">
        <is>
          <t>Duct bank</t>
        </is>
      </c>
      <c r="T3492" s="15" t="n">
        <v>140</v>
      </c>
      <c r="U3492" s="15" t="n">
        <v>32</v>
      </c>
      <c r="V3492" s="15">
        <f>ROUNDUP((T3492+U3492+2*'Read Me'!$B$13)*(1+'Read Me'!$B$12),-1)</f>
        <v/>
      </c>
      <c r="W3492" s="15">
        <f>V3492*N3492*O3492</f>
        <v/>
      </c>
      <c r="X3492" s="12">
        <f>IF(LEFT(I3492,2)="MV",2*N3492*IF(L3492="1/C",O3492,1),0)</f>
        <v/>
      </c>
      <c r="Y3492" s="12">
        <f>IF(OR(LEFT(K3492,4)="LVAX",LEFT(K3492,6)="MV15AX",LEFT(K3492,4)="CTAX",LEFT(K3492,2)="W|"),2*N3492*O3492,0)</f>
        <v/>
      </c>
      <c r="Z3492" s="12" t="inlineStr">
        <is>
          <t>VD 1.8 %</t>
        </is>
      </c>
      <c r="AA3492" s="12">
        <f>N3492*O3492</f>
        <v/>
      </c>
    </row>
    <row r="3493">
      <c r="A3493" s="12" t="inlineStr">
        <is>
          <t>G-P-0082</t>
        </is>
      </c>
      <c r="B3493" s="12" t="inlineStr">
        <is>
          <t>G</t>
        </is>
      </c>
      <c r="C3493" s="12" t="inlineStr">
        <is>
          <t>Carbon capture</t>
        </is>
      </c>
      <c r="D3493" s="12" t="inlineStr">
        <is>
          <t>480 V welding receptacle 1</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5" t="n">
        <v>140</v>
      </c>
      <c r="U3493" s="15" t="n">
        <v>32</v>
      </c>
      <c r="V3493" s="15">
        <f>ROUNDUP((T3493+U3493+2*'Read Me'!$B$13)*(1+'Read Me'!$B$12),-1)</f>
        <v/>
      </c>
      <c r="W3493" s="15">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G-P-0083</t>
        </is>
      </c>
      <c r="B3494" s="12" t="inlineStr">
        <is>
          <t>G</t>
        </is>
      </c>
      <c r="C3494" s="12" t="inlineStr">
        <is>
          <t>Carbon capture</t>
        </is>
      </c>
      <c r="D3494" s="12" t="inlineStr">
        <is>
          <t>480 V welding receptacle 2</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5" t="n">
        <v>140</v>
      </c>
      <c r="U3494" s="15" t="n">
        <v>32</v>
      </c>
      <c r="V3494" s="15">
        <f>ROUNDUP((T3494+U3494+2*'Read Me'!$B$13)*(1+'Read Me'!$B$12),-1)</f>
        <v/>
      </c>
      <c r="W3494" s="15">
        <f>V3494*N3494*O3494</f>
        <v/>
      </c>
      <c r="X3494" s="12">
        <f>IF(LEFT(I3494,2)="MV",2*N3494*IF(L3494="1/C",O3494,1),0)</f>
        <v/>
      </c>
      <c r="Y3494" s="12">
        <f>IF(OR(LEFT(K3494,4)="LVAX",LEFT(K3494,6)="MV15AX",LEFT(K3494,4)="CTAX",LEFT(K3494,2)="W|"),2*N3494*O3494,0)</f>
        <v/>
      </c>
      <c r="Z3494" s="12" t="inlineStr">
        <is>
          <t>VD 1.0 %</t>
        </is>
      </c>
      <c r="AA3494" s="12">
        <f>N3494*O3494</f>
        <v/>
      </c>
    </row>
    <row r="3495">
      <c r="A3495" s="12" t="inlineStr">
        <is>
          <t>G-P-0084</t>
        </is>
      </c>
      <c r="B3495" s="12" t="inlineStr">
        <is>
          <t>G</t>
        </is>
      </c>
      <c r="C3495" s="12" t="inlineStr">
        <is>
          <t>Carbon capture</t>
        </is>
      </c>
      <c r="D3495" s="12" t="inlineStr">
        <is>
          <t>480 V welding receptacle 3</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LV|3/C+G|2</t>
        </is>
      </c>
      <c r="L3495" s="12" t="inlineStr">
        <is>
          <t>3/C+G</t>
        </is>
      </c>
      <c r="M3495" s="12" t="inlineStr">
        <is>
          <t>2</t>
        </is>
      </c>
      <c r="N3495" s="12" t="n">
        <v>1</v>
      </c>
      <c r="O3495" s="12" t="n">
        <v>1</v>
      </c>
      <c r="P3495" s="12" t="n">
        <v>480</v>
      </c>
      <c r="Q3495" s="12" t="n">
        <v>60</v>
      </c>
      <c r="R3495" s="12" t="n">
        <v>76</v>
      </c>
      <c r="S3495" s="12" t="inlineStr">
        <is>
          <t>Duct bank</t>
        </is>
      </c>
      <c r="T3495" s="15" t="n">
        <v>140</v>
      </c>
      <c r="U3495" s="15" t="n">
        <v>32</v>
      </c>
      <c r="V3495" s="15">
        <f>ROUNDUP((T3495+U3495+2*'Read Me'!$B$13)*(1+'Read Me'!$B$12),-1)</f>
        <v/>
      </c>
      <c r="W3495" s="15">
        <f>V3495*N3495*O3495</f>
        <v/>
      </c>
      <c r="X3495" s="12">
        <f>IF(LEFT(I3495,2)="MV",2*N3495*IF(L3495="1/C",O3495,1),0)</f>
        <v/>
      </c>
      <c r="Y3495" s="12">
        <f>IF(OR(LEFT(K3495,4)="LVAX",LEFT(K3495,6)="MV15AX",LEFT(K3495,4)="CTAX",LEFT(K3495,2)="W|"),2*N3495*O3495,0)</f>
        <v/>
      </c>
      <c r="Z3495" s="12" t="inlineStr">
        <is>
          <t>VD 1.0 %</t>
        </is>
      </c>
      <c r="AA3495" s="12">
        <f>N3495*O3495</f>
        <v/>
      </c>
    </row>
    <row r="3496">
      <c r="A3496" s="12" t="inlineStr">
        <is>
          <t>G-P-0085</t>
        </is>
      </c>
      <c r="B3496" s="12" t="inlineStr">
        <is>
          <t>G</t>
        </is>
      </c>
      <c r="C3496" s="12" t="inlineStr">
        <is>
          <t>Carbon capture</t>
        </is>
      </c>
      <c r="D3496" s="12" t="inlineStr">
        <is>
          <t>480 V welding receptacle 4</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LV|3/C+G|2</t>
        </is>
      </c>
      <c r="L3496" s="12" t="inlineStr">
        <is>
          <t>3/C+G</t>
        </is>
      </c>
      <c r="M3496" s="12" t="inlineStr">
        <is>
          <t>2</t>
        </is>
      </c>
      <c r="N3496" s="12" t="n">
        <v>1</v>
      </c>
      <c r="O3496" s="12" t="n">
        <v>1</v>
      </c>
      <c r="P3496" s="12" t="n">
        <v>480</v>
      </c>
      <c r="Q3496" s="12" t="n">
        <v>60</v>
      </c>
      <c r="R3496" s="12" t="n">
        <v>76</v>
      </c>
      <c r="S3496" s="12" t="inlineStr">
        <is>
          <t>Duct bank</t>
        </is>
      </c>
      <c r="T3496" s="15" t="n">
        <v>140</v>
      </c>
      <c r="U3496" s="15" t="n">
        <v>32</v>
      </c>
      <c r="V3496" s="15">
        <f>ROUNDUP((T3496+U3496+2*'Read Me'!$B$13)*(1+'Read Me'!$B$12),-1)</f>
        <v/>
      </c>
      <c r="W3496" s="15">
        <f>V3496*N3496*O3496</f>
        <v/>
      </c>
      <c r="X3496" s="12">
        <f>IF(LEFT(I3496,2)="MV",2*N3496*IF(L3496="1/C",O3496,1),0)</f>
        <v/>
      </c>
      <c r="Y3496" s="12">
        <f>IF(OR(LEFT(K3496,4)="LVAX",LEFT(K3496,6)="MV15AX",LEFT(K3496,4)="CTAX",LEFT(K3496,2)="W|"),2*N3496*O3496,0)</f>
        <v/>
      </c>
      <c r="Z3496" s="12" t="inlineStr">
        <is>
          <t>VD 1.0 %</t>
        </is>
      </c>
      <c r="AA3496" s="12">
        <f>N3496*O3496</f>
        <v/>
      </c>
    </row>
    <row r="3497">
      <c r="A3497" s="12" t="inlineStr">
        <is>
          <t>G-P-0086</t>
        </is>
      </c>
      <c r="B3497" s="12" t="inlineStr">
        <is>
          <t>G</t>
        </is>
      </c>
      <c r="C3497" s="12" t="inlineStr">
        <is>
          <t>Carbon capture</t>
        </is>
      </c>
      <c r="D3497" s="12" t="inlineStr">
        <is>
          <t>LV panel / distribution feeder</t>
        </is>
      </c>
      <c r="E3497" s="12" t="inlineStr"/>
      <c r="F3497" s="12" t="inlineStr">
        <is>
          <t>CCS MV switchgear building (VFDs)</t>
        </is>
      </c>
      <c r="G3497" s="12" t="inlineStr"/>
      <c r="H3497" s="12" t="inlineStr">
        <is>
          <t>CCS F&amp;G / control</t>
        </is>
      </c>
      <c r="I3497" s="12" t="inlineStr">
        <is>
          <t>LV 600 V</t>
        </is>
      </c>
      <c r="J3497" s="12" t="inlineStr">
        <is>
          <t>Type TC-ER 600 V 3/C Cu XHHW-2 + ground, PVC jacket</t>
        </is>
      </c>
      <c r="K3497" s="12" t="inlineStr">
        <is>
          <t>LV|3/C+G|4</t>
        </is>
      </c>
      <c r="L3497" s="12" t="inlineStr">
        <is>
          <t>3/C+G</t>
        </is>
      </c>
      <c r="M3497" s="12" t="inlineStr">
        <is>
          <t>4</t>
        </is>
      </c>
      <c r="N3497" s="12" t="n">
        <v>1</v>
      </c>
      <c r="O3497" s="12" t="n">
        <v>1</v>
      </c>
      <c r="P3497" s="12" t="n">
        <v>480</v>
      </c>
      <c r="Q3497" s="12" t="n">
        <v>40</v>
      </c>
      <c r="R3497" s="12" t="n">
        <v>56.6</v>
      </c>
      <c r="S3497" s="12" t="inlineStr">
        <is>
          <t>Duct bank</t>
        </is>
      </c>
      <c r="T3497" s="15" t="n">
        <v>206</v>
      </c>
      <c r="U3497" s="15" t="n">
        <v>101</v>
      </c>
      <c r="V3497" s="15">
        <f>ROUNDUP((T3497+U3497+2*'Read Me'!$B$13)*(1+'Read Me'!$B$12),-1)</f>
        <v/>
      </c>
      <c r="W3497" s="15">
        <f>V3497*N3497*O3497</f>
        <v/>
      </c>
      <c r="X3497" s="12">
        <f>IF(LEFT(I3497,2)="MV",2*N3497*IF(L3497="1/C",O3497,1),0)</f>
        <v/>
      </c>
      <c r="Y3497" s="12">
        <f>IF(OR(LEFT(K3497,4)="LVAX",LEFT(K3497,6)="MV15AX",LEFT(K3497,4)="CTAX",LEFT(K3497,2)="W|"),2*N3497*O3497,0)</f>
        <v/>
      </c>
      <c r="Z3497" s="12" t="inlineStr">
        <is>
          <t>VD 2.1 %</t>
        </is>
      </c>
      <c r="AA3497" s="12">
        <f>N3497*O3497</f>
        <v/>
      </c>
    </row>
    <row r="3498">
      <c r="A3498" s="12" t="inlineStr">
        <is>
          <t>G-P-0087</t>
        </is>
      </c>
      <c r="B3498" s="12" t="inlineStr">
        <is>
          <t>G</t>
        </is>
      </c>
      <c r="C3498" s="12" t="inlineStr">
        <is>
          <t>Carbon capture</t>
        </is>
      </c>
      <c r="D3498" s="12" t="inlineStr">
        <is>
          <t>LV panel / distribution feeder</t>
        </is>
      </c>
      <c r="E3498" s="12" t="inlineStr"/>
      <c r="F3498" s="12" t="inlineStr">
        <is>
          <t>CCS MV switchgear building (VFDs)</t>
        </is>
      </c>
      <c r="G3498" s="12" t="inlineStr"/>
      <c r="H3498" s="12" t="inlineStr">
        <is>
          <t>CCS MV switchgear building (VFDs)</t>
        </is>
      </c>
      <c r="I3498" s="12" t="inlineStr">
        <is>
          <t>LV 600 V</t>
        </is>
      </c>
      <c r="J3498" s="12" t="inlineStr">
        <is>
          <t>Type TC-ER 600 V 3/C Cu XHHW-2 + ground, PVC jacket</t>
        </is>
      </c>
      <c r="K3498" s="12" t="inlineStr">
        <is>
          <t>LV|3/C+G|3/0</t>
        </is>
      </c>
      <c r="L3498" s="12" t="inlineStr">
        <is>
          <t>3/C+G</t>
        </is>
      </c>
      <c r="M3498" s="12" t="inlineStr">
        <is>
          <t>3/0</t>
        </is>
      </c>
      <c r="N3498" s="12" t="n">
        <v>1</v>
      </c>
      <c r="O3498" s="12" t="n">
        <v>1</v>
      </c>
      <c r="P3498" s="12" t="n">
        <v>480</v>
      </c>
      <c r="Q3498" s="12" t="n">
        <v>109</v>
      </c>
      <c r="R3498" s="12" t="n">
        <v>154.2</v>
      </c>
      <c r="S3498" s="12" t="inlineStr">
        <is>
          <t>Tray</t>
        </is>
      </c>
      <c r="T3498" s="15" t="n">
        <v>0</v>
      </c>
      <c r="U3498" s="15" t="n">
        <v>32</v>
      </c>
      <c r="V3498" s="15">
        <f>ROUNDUP((T3498+U3498+2*'Read Me'!$B$13)*(1+'Read Me'!$B$12),-1)</f>
        <v/>
      </c>
      <c r="W3498" s="15">
        <f>V3498*N3498*O3498</f>
        <v/>
      </c>
      <c r="X3498" s="12">
        <f>IF(LEFT(I3498,2)="MV",2*N3498*IF(L3498="1/C",O3498,1),0)</f>
        <v/>
      </c>
      <c r="Y3498" s="12">
        <f>IF(OR(LEFT(K3498,4)="LVAX",LEFT(K3498,6)="MV15AX",LEFT(K3498,4)="CTAX",LEFT(K3498,2)="W|"),2*N3498*O3498,0)</f>
        <v/>
      </c>
      <c r="Z3498" s="12" t="inlineStr">
        <is>
          <t>VD 0.2 %</t>
        </is>
      </c>
      <c r="AA3498" s="12">
        <f>N3498*O3498</f>
        <v/>
      </c>
    </row>
    <row r="3499">
      <c r="A3499" s="12" t="inlineStr">
        <is>
          <t>G-P-0088</t>
        </is>
      </c>
      <c r="B3499" s="12" t="inlineStr">
        <is>
          <t>G</t>
        </is>
      </c>
      <c r="C3499" s="12" t="inlineStr">
        <is>
          <t>Carbon capture</t>
        </is>
      </c>
      <c r="D3499" s="12" t="inlineStr">
        <is>
          <t>Motor 1 of 6, 2 kW</t>
        </is>
      </c>
      <c r="E3499" s="12" t="inlineStr"/>
      <c r="F3499" s="12" t="inlineStr">
        <is>
          <t>CCS MV switchgear building (VFDs)</t>
        </is>
      </c>
      <c r="G3499" s="12" t="inlineStr">
        <is>
          <t>CCS T-1</t>
        </is>
      </c>
      <c r="H3499" s="12" t="inlineStr">
        <is>
          <t>CCS T-1: 230/13.8 kV</t>
        </is>
      </c>
      <c r="I3499" s="12" t="inlineStr">
        <is>
          <t>LV 600 V</t>
        </is>
      </c>
      <c r="J3499" s="12" t="inlineStr">
        <is>
          <t>Type TC-ER 600 V 3/C Cu XHHW-2 + ground, PVC jacket</t>
        </is>
      </c>
      <c r="K3499" s="12" t="inlineStr">
        <is>
          <t>LV|3/C+G|10</t>
        </is>
      </c>
      <c r="L3499" s="12" t="inlineStr">
        <is>
          <t>3/C+G</t>
        </is>
      </c>
      <c r="M3499" s="12" t="inlineStr">
        <is>
          <t>10</t>
        </is>
      </c>
      <c r="N3499" s="12" t="n">
        <v>1</v>
      </c>
      <c r="O3499" s="12" t="n">
        <v>1</v>
      </c>
      <c r="P3499" s="12" t="n">
        <v>480</v>
      </c>
      <c r="Q3499" s="12" t="n">
        <v>2</v>
      </c>
      <c r="R3499" s="12" t="n">
        <v>2.8</v>
      </c>
      <c r="S3499" s="12" t="inlineStr">
        <is>
          <t>Duct bank</t>
        </is>
      </c>
      <c r="T3499" s="15" t="n">
        <v>360</v>
      </c>
      <c r="U3499" s="15" t="n">
        <v>34</v>
      </c>
      <c r="V3499" s="15">
        <f>ROUNDUP((T3499+U3499+2*'Read Me'!$B$13)*(1+'Read Me'!$B$12),-1)</f>
        <v/>
      </c>
      <c r="W3499" s="15">
        <f>V3499*N3499*O3499</f>
        <v/>
      </c>
      <c r="X3499" s="12">
        <f>IF(LEFT(I3499,2)="MV",2*N3499*IF(L3499="1/C",O3499,1),0)</f>
        <v/>
      </c>
      <c r="Y3499" s="12">
        <f>IF(OR(LEFT(K3499,4)="LVAX",LEFT(K3499,6)="MV15AX",LEFT(K3499,4)="CTAX",LEFT(K3499,2)="W|"),2*N3499*O3499,0)</f>
        <v/>
      </c>
      <c r="Z3499" s="12" t="inlineStr">
        <is>
          <t>VD 0.5 %</t>
        </is>
      </c>
      <c r="AA3499" s="12">
        <f>N3499*O3499</f>
        <v/>
      </c>
    </row>
    <row r="3500">
      <c r="A3500" s="12" t="inlineStr">
        <is>
          <t>G-P-0089</t>
        </is>
      </c>
      <c r="B3500" s="12" t="inlineStr">
        <is>
          <t>G</t>
        </is>
      </c>
      <c r="C3500" s="12" t="inlineStr">
        <is>
          <t>Carbon capture</t>
        </is>
      </c>
      <c r="D3500" s="12" t="inlineStr">
        <is>
          <t>Motor 2 of 6, 2 kW</t>
        </is>
      </c>
      <c r="E3500" s="12" t="inlineStr"/>
      <c r="F3500" s="12" t="inlineStr">
        <is>
          <t>CCS MV switchgear building (VFDs)</t>
        </is>
      </c>
      <c r="G3500" s="12" t="inlineStr">
        <is>
          <t>CCS T-1</t>
        </is>
      </c>
      <c r="H3500" s="12" t="inlineStr">
        <is>
          <t>CCS T-1: 230/13.8 kV</t>
        </is>
      </c>
      <c r="I3500" s="12" t="inlineStr">
        <is>
          <t>LV 600 V</t>
        </is>
      </c>
      <c r="J3500" s="12" t="inlineStr">
        <is>
          <t>Type TC-ER 600 V 3/C Cu XHHW-2 + ground, PVC jacket</t>
        </is>
      </c>
      <c r="K3500" s="12" t="inlineStr">
        <is>
          <t>LV|3/C+G|10</t>
        </is>
      </c>
      <c r="L3500" s="12" t="inlineStr">
        <is>
          <t>3/C+G</t>
        </is>
      </c>
      <c r="M3500" s="12" t="inlineStr">
        <is>
          <t>10</t>
        </is>
      </c>
      <c r="N3500" s="12" t="n">
        <v>1</v>
      </c>
      <c r="O3500" s="12" t="n">
        <v>1</v>
      </c>
      <c r="P3500" s="12" t="n">
        <v>480</v>
      </c>
      <c r="Q3500" s="12" t="n">
        <v>2</v>
      </c>
      <c r="R3500" s="12" t="n">
        <v>2.8</v>
      </c>
      <c r="S3500" s="12" t="inlineStr">
        <is>
          <t>Duct bank</t>
        </is>
      </c>
      <c r="T3500" s="15" t="n">
        <v>360</v>
      </c>
      <c r="U3500" s="15" t="n">
        <v>34</v>
      </c>
      <c r="V3500" s="15">
        <f>ROUNDUP((T3500+U3500+2*'Read Me'!$B$13)*(1+'Read Me'!$B$12),-1)</f>
        <v/>
      </c>
      <c r="W3500" s="15">
        <f>V3500*N3500*O3500</f>
        <v/>
      </c>
      <c r="X3500" s="12">
        <f>IF(LEFT(I3500,2)="MV",2*N3500*IF(L3500="1/C",O3500,1),0)</f>
        <v/>
      </c>
      <c r="Y3500" s="12">
        <f>IF(OR(LEFT(K3500,4)="LVAX",LEFT(K3500,6)="MV15AX",LEFT(K3500,4)="CTAX",LEFT(K3500,2)="W|"),2*N3500*O3500,0)</f>
        <v/>
      </c>
      <c r="Z3500" s="12" t="inlineStr">
        <is>
          <t>VD 0.5 %</t>
        </is>
      </c>
      <c r="AA3500" s="12">
        <f>N3500*O3500</f>
        <v/>
      </c>
    </row>
    <row r="3501">
      <c r="A3501" s="12" t="inlineStr">
        <is>
          <t>G-P-0090</t>
        </is>
      </c>
      <c r="B3501" s="12" t="inlineStr">
        <is>
          <t>G</t>
        </is>
      </c>
      <c r="C3501" s="12" t="inlineStr">
        <is>
          <t>Carbon capture</t>
        </is>
      </c>
      <c r="D3501" s="12" t="inlineStr">
        <is>
          <t>Motor 3 of 6, 2 kW</t>
        </is>
      </c>
      <c r="E3501" s="12" t="inlineStr"/>
      <c r="F3501" s="12" t="inlineStr">
        <is>
          <t>CCS MV switchgear building (VFDs)</t>
        </is>
      </c>
      <c r="G3501" s="12" t="inlineStr">
        <is>
          <t>CCS T-1</t>
        </is>
      </c>
      <c r="H3501" s="12" t="inlineStr">
        <is>
          <t>CCS T-1: 230/13.8 kV</t>
        </is>
      </c>
      <c r="I3501" s="12" t="inlineStr">
        <is>
          <t>LV 600 V</t>
        </is>
      </c>
      <c r="J3501" s="12" t="inlineStr">
        <is>
          <t>Type TC-ER 600 V 3/C Cu XHHW-2 + ground, PVC jacket</t>
        </is>
      </c>
      <c r="K3501" s="12" t="inlineStr">
        <is>
          <t>LV|3/C+G|10</t>
        </is>
      </c>
      <c r="L3501" s="12" t="inlineStr">
        <is>
          <t>3/C+G</t>
        </is>
      </c>
      <c r="M3501" s="12" t="inlineStr">
        <is>
          <t>10</t>
        </is>
      </c>
      <c r="N3501" s="12" t="n">
        <v>1</v>
      </c>
      <c r="O3501" s="12" t="n">
        <v>1</v>
      </c>
      <c r="P3501" s="12" t="n">
        <v>480</v>
      </c>
      <c r="Q3501" s="12" t="n">
        <v>2</v>
      </c>
      <c r="R3501" s="12" t="n">
        <v>2.8</v>
      </c>
      <c r="S3501" s="12" t="inlineStr">
        <is>
          <t>Duct bank</t>
        </is>
      </c>
      <c r="T3501" s="15" t="n">
        <v>360</v>
      </c>
      <c r="U3501" s="15" t="n">
        <v>34</v>
      </c>
      <c r="V3501" s="15">
        <f>ROUNDUP((T3501+U3501+2*'Read Me'!$B$13)*(1+'Read Me'!$B$12),-1)</f>
        <v/>
      </c>
      <c r="W3501" s="15">
        <f>V3501*N3501*O3501</f>
        <v/>
      </c>
      <c r="X3501" s="12">
        <f>IF(LEFT(I3501,2)="MV",2*N3501*IF(L3501="1/C",O3501,1),0)</f>
        <v/>
      </c>
      <c r="Y3501" s="12">
        <f>IF(OR(LEFT(K3501,4)="LVAX",LEFT(K3501,6)="MV15AX",LEFT(K3501,4)="CTAX",LEFT(K3501,2)="W|"),2*N3501*O3501,0)</f>
        <v/>
      </c>
      <c r="Z3501" s="12" t="inlineStr">
        <is>
          <t>VD 0.5 %</t>
        </is>
      </c>
      <c r="AA3501" s="12">
        <f>N3501*O3501</f>
        <v/>
      </c>
    </row>
    <row r="3502">
      <c r="A3502" s="12" t="inlineStr">
        <is>
          <t>G-P-0091</t>
        </is>
      </c>
      <c r="B3502" s="12" t="inlineStr">
        <is>
          <t>G</t>
        </is>
      </c>
      <c r="C3502" s="12" t="inlineStr">
        <is>
          <t>Carbon capture</t>
        </is>
      </c>
      <c r="D3502" s="12" t="inlineStr">
        <is>
          <t>Motor 4 of 6, 2 kW</t>
        </is>
      </c>
      <c r="E3502" s="12" t="inlineStr"/>
      <c r="F3502" s="12" t="inlineStr">
        <is>
          <t>CCS MV switchgear building (VFDs)</t>
        </is>
      </c>
      <c r="G3502" s="12" t="inlineStr">
        <is>
          <t>CCS T-1</t>
        </is>
      </c>
      <c r="H3502" s="12" t="inlineStr">
        <is>
          <t>CCS T-1: 230/13.8 kV</t>
        </is>
      </c>
      <c r="I3502" s="12" t="inlineStr">
        <is>
          <t>LV 600 V</t>
        </is>
      </c>
      <c r="J3502" s="12" t="inlineStr">
        <is>
          <t>Type TC-ER 600 V 3/C Cu XHHW-2 + ground, PVC jacket</t>
        </is>
      </c>
      <c r="K3502" s="12" t="inlineStr">
        <is>
          <t>LV|3/C+G|10</t>
        </is>
      </c>
      <c r="L3502" s="12" t="inlineStr">
        <is>
          <t>3/C+G</t>
        </is>
      </c>
      <c r="M3502" s="12" t="inlineStr">
        <is>
          <t>10</t>
        </is>
      </c>
      <c r="N3502" s="12" t="n">
        <v>1</v>
      </c>
      <c r="O3502" s="12" t="n">
        <v>1</v>
      </c>
      <c r="P3502" s="12" t="n">
        <v>480</v>
      </c>
      <c r="Q3502" s="12" t="n">
        <v>2</v>
      </c>
      <c r="R3502" s="12" t="n">
        <v>2.8</v>
      </c>
      <c r="S3502" s="12" t="inlineStr">
        <is>
          <t>Duct bank</t>
        </is>
      </c>
      <c r="T3502" s="15" t="n">
        <v>360</v>
      </c>
      <c r="U3502" s="15" t="n">
        <v>34</v>
      </c>
      <c r="V3502" s="15">
        <f>ROUNDUP((T3502+U3502+2*'Read Me'!$B$13)*(1+'Read Me'!$B$12),-1)</f>
        <v/>
      </c>
      <c r="W3502" s="15">
        <f>V3502*N3502*O3502</f>
        <v/>
      </c>
      <c r="X3502" s="12">
        <f>IF(LEFT(I3502,2)="MV",2*N3502*IF(L3502="1/C",O3502,1),0)</f>
        <v/>
      </c>
      <c r="Y3502" s="12">
        <f>IF(OR(LEFT(K3502,4)="LVAX",LEFT(K3502,6)="MV15AX",LEFT(K3502,4)="CTAX",LEFT(K3502,2)="W|"),2*N3502*O3502,0)</f>
        <v/>
      </c>
      <c r="Z3502" s="12" t="inlineStr">
        <is>
          <t>VD 0.5 %</t>
        </is>
      </c>
      <c r="AA3502" s="12">
        <f>N3502*O3502</f>
        <v/>
      </c>
    </row>
    <row r="3503">
      <c r="A3503" s="12" t="inlineStr">
        <is>
          <t>G-P-0092</t>
        </is>
      </c>
      <c r="B3503" s="12" t="inlineStr">
        <is>
          <t>G</t>
        </is>
      </c>
      <c r="C3503" s="12" t="inlineStr">
        <is>
          <t>Carbon capture</t>
        </is>
      </c>
      <c r="D3503" s="12" t="inlineStr">
        <is>
          <t>Motor 5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5" t="n">
        <v>360</v>
      </c>
      <c r="U3503" s="15" t="n">
        <v>34</v>
      </c>
      <c r="V3503" s="15">
        <f>ROUNDUP((T3503+U3503+2*'Read Me'!$B$13)*(1+'Read Me'!$B$12),-1)</f>
        <v/>
      </c>
      <c r="W3503" s="15">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G-P-0093</t>
        </is>
      </c>
      <c r="B3504" s="12" t="inlineStr">
        <is>
          <t>G</t>
        </is>
      </c>
      <c r="C3504" s="12" t="inlineStr">
        <is>
          <t>Carbon capture</t>
        </is>
      </c>
      <c r="D3504" s="12" t="inlineStr">
        <is>
          <t>Motor 6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5" t="n">
        <v>360</v>
      </c>
      <c r="U3504" s="15" t="n">
        <v>34</v>
      </c>
      <c r="V3504" s="15">
        <f>ROUNDUP((T3504+U3504+2*'Read Me'!$B$13)*(1+'Read Me'!$B$12),-1)</f>
        <v/>
      </c>
      <c r="W3504" s="15">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G-P-0094</t>
        </is>
      </c>
      <c r="B3505" s="12" t="inlineStr">
        <is>
          <t>G</t>
        </is>
      </c>
      <c r="C3505" s="12" t="inlineStr">
        <is>
          <t>Carbon capture</t>
        </is>
      </c>
      <c r="D3505" s="12" t="inlineStr">
        <is>
          <t>Motor 1 of 6, 2 kW</t>
        </is>
      </c>
      <c r="E3505" s="12" t="inlineStr"/>
      <c r="F3505" s="12" t="inlineStr">
        <is>
          <t>CCS MV switchgear building (VFDs)</t>
        </is>
      </c>
      <c r="G3505" s="12" t="inlineStr">
        <is>
          <t>CCS T-2</t>
        </is>
      </c>
      <c r="H3505" s="12" t="inlineStr">
        <is>
          <t>CCS T-2: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5" t="n">
        <v>410</v>
      </c>
      <c r="U3505" s="15" t="n">
        <v>32</v>
      </c>
      <c r="V3505" s="15">
        <f>ROUNDUP((T3505+U3505+2*'Read Me'!$B$13)*(1+'Read Me'!$B$12),-1)</f>
        <v/>
      </c>
      <c r="W3505" s="15">
        <f>V3505*N3505*O3505</f>
        <v/>
      </c>
      <c r="X3505" s="12">
        <f>IF(LEFT(I3505,2)="MV",2*N3505*IF(L3505="1/C",O3505,1),0)</f>
        <v/>
      </c>
      <c r="Y3505" s="12">
        <f>IF(OR(LEFT(K3505,4)="LVAX",LEFT(K3505,6)="MV15AX",LEFT(K3505,4)="CTAX",LEFT(K3505,2)="W|"),2*N3505*O3505,0)</f>
        <v/>
      </c>
      <c r="Z3505" s="12" t="inlineStr">
        <is>
          <t>VD 0.6 %</t>
        </is>
      </c>
      <c r="AA3505" s="12">
        <f>N3505*O3505</f>
        <v/>
      </c>
    </row>
    <row r="3506">
      <c r="A3506" s="12" t="inlineStr">
        <is>
          <t>G-P-0095</t>
        </is>
      </c>
      <c r="B3506" s="12" t="inlineStr">
        <is>
          <t>G</t>
        </is>
      </c>
      <c r="C3506" s="12" t="inlineStr">
        <is>
          <t>Carbon capture</t>
        </is>
      </c>
      <c r="D3506" s="12" t="inlineStr">
        <is>
          <t>Motor 2 of 6, 2 kW</t>
        </is>
      </c>
      <c r="E3506" s="12" t="inlineStr"/>
      <c r="F3506" s="12" t="inlineStr">
        <is>
          <t>CCS MV switchgear building (VFDs)</t>
        </is>
      </c>
      <c r="G3506" s="12" t="inlineStr">
        <is>
          <t>CCS T-2</t>
        </is>
      </c>
      <c r="H3506" s="12" t="inlineStr">
        <is>
          <t>CCS T-2: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5" t="n">
        <v>410</v>
      </c>
      <c r="U3506" s="15" t="n">
        <v>32</v>
      </c>
      <c r="V3506" s="15">
        <f>ROUNDUP((T3506+U3506+2*'Read Me'!$B$13)*(1+'Read Me'!$B$12),-1)</f>
        <v/>
      </c>
      <c r="W3506" s="15">
        <f>V3506*N3506*O3506</f>
        <v/>
      </c>
      <c r="X3506" s="12">
        <f>IF(LEFT(I3506,2)="MV",2*N3506*IF(L3506="1/C",O3506,1),0)</f>
        <v/>
      </c>
      <c r="Y3506" s="12">
        <f>IF(OR(LEFT(K3506,4)="LVAX",LEFT(K3506,6)="MV15AX",LEFT(K3506,4)="CTAX",LEFT(K3506,2)="W|"),2*N3506*O3506,0)</f>
        <v/>
      </c>
      <c r="Z3506" s="12" t="inlineStr">
        <is>
          <t>VD 0.6 %</t>
        </is>
      </c>
      <c r="AA3506" s="12">
        <f>N3506*O3506</f>
        <v/>
      </c>
    </row>
    <row r="3507">
      <c r="A3507" s="12" t="inlineStr">
        <is>
          <t>G-P-0096</t>
        </is>
      </c>
      <c r="B3507" s="12" t="inlineStr">
        <is>
          <t>G</t>
        </is>
      </c>
      <c r="C3507" s="12" t="inlineStr">
        <is>
          <t>Carbon capture</t>
        </is>
      </c>
      <c r="D3507" s="12" t="inlineStr">
        <is>
          <t>Motor 3 of 6, 2 kW</t>
        </is>
      </c>
      <c r="E3507" s="12" t="inlineStr"/>
      <c r="F3507" s="12" t="inlineStr">
        <is>
          <t>CCS MV switchgear building (VFDs)</t>
        </is>
      </c>
      <c r="G3507" s="12" t="inlineStr">
        <is>
          <t>CCS T-2</t>
        </is>
      </c>
      <c r="H3507" s="12" t="inlineStr">
        <is>
          <t>CCS T-2: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5" t="n">
        <v>410</v>
      </c>
      <c r="U3507" s="15" t="n">
        <v>32</v>
      </c>
      <c r="V3507" s="15">
        <f>ROUNDUP((T3507+U3507+2*'Read Me'!$B$13)*(1+'Read Me'!$B$12),-1)</f>
        <v/>
      </c>
      <c r="W3507" s="15">
        <f>V3507*N3507*O3507</f>
        <v/>
      </c>
      <c r="X3507" s="12">
        <f>IF(LEFT(I3507,2)="MV",2*N3507*IF(L3507="1/C",O3507,1),0)</f>
        <v/>
      </c>
      <c r="Y3507" s="12">
        <f>IF(OR(LEFT(K3507,4)="LVAX",LEFT(K3507,6)="MV15AX",LEFT(K3507,4)="CTAX",LEFT(K3507,2)="W|"),2*N3507*O3507,0)</f>
        <v/>
      </c>
      <c r="Z3507" s="12" t="inlineStr">
        <is>
          <t>VD 0.6 %</t>
        </is>
      </c>
      <c r="AA3507" s="12">
        <f>N3507*O3507</f>
        <v/>
      </c>
    </row>
    <row r="3508">
      <c r="A3508" s="12" t="inlineStr">
        <is>
          <t>G-P-0097</t>
        </is>
      </c>
      <c r="B3508" s="12" t="inlineStr">
        <is>
          <t>G</t>
        </is>
      </c>
      <c r="C3508" s="12" t="inlineStr">
        <is>
          <t>Carbon capture</t>
        </is>
      </c>
      <c r="D3508" s="12" t="inlineStr">
        <is>
          <t>Motor 4 of 6, 2 kW</t>
        </is>
      </c>
      <c r="E3508" s="12" t="inlineStr"/>
      <c r="F3508" s="12" t="inlineStr">
        <is>
          <t>CCS MV switchgear building (VFDs)</t>
        </is>
      </c>
      <c r="G3508" s="12" t="inlineStr">
        <is>
          <t>CCS T-2</t>
        </is>
      </c>
      <c r="H3508" s="12" t="inlineStr">
        <is>
          <t>CCS T-2: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5" t="n">
        <v>410</v>
      </c>
      <c r="U3508" s="15" t="n">
        <v>32</v>
      </c>
      <c r="V3508" s="15">
        <f>ROUNDUP((T3508+U3508+2*'Read Me'!$B$13)*(1+'Read Me'!$B$12),-1)</f>
        <v/>
      </c>
      <c r="W3508" s="15">
        <f>V3508*N3508*O3508</f>
        <v/>
      </c>
      <c r="X3508" s="12">
        <f>IF(LEFT(I3508,2)="MV",2*N3508*IF(L3508="1/C",O3508,1),0)</f>
        <v/>
      </c>
      <c r="Y3508" s="12">
        <f>IF(OR(LEFT(K3508,4)="LVAX",LEFT(K3508,6)="MV15AX",LEFT(K3508,4)="CTAX",LEFT(K3508,2)="W|"),2*N3508*O3508,0)</f>
        <v/>
      </c>
      <c r="Z3508" s="12" t="inlineStr">
        <is>
          <t>VD 0.6 %</t>
        </is>
      </c>
      <c r="AA3508" s="12">
        <f>N3508*O3508</f>
        <v/>
      </c>
    </row>
    <row r="3509">
      <c r="A3509" s="12" t="inlineStr">
        <is>
          <t>G-P-0098</t>
        </is>
      </c>
      <c r="B3509" s="12" t="inlineStr">
        <is>
          <t>G</t>
        </is>
      </c>
      <c r="C3509" s="12" t="inlineStr">
        <is>
          <t>Carbon capture</t>
        </is>
      </c>
      <c r="D3509" s="12" t="inlineStr">
        <is>
          <t>Motor 5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5" t="n">
        <v>410</v>
      </c>
      <c r="U3509" s="15" t="n">
        <v>32</v>
      </c>
      <c r="V3509" s="15">
        <f>ROUNDUP((T3509+U3509+2*'Read Me'!$B$13)*(1+'Read Me'!$B$12),-1)</f>
        <v/>
      </c>
      <c r="W3509" s="15">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G-P-0099</t>
        </is>
      </c>
      <c r="B3510" s="12" t="inlineStr">
        <is>
          <t>G</t>
        </is>
      </c>
      <c r="C3510" s="12" t="inlineStr">
        <is>
          <t>Carbon capture</t>
        </is>
      </c>
      <c r="D3510" s="12" t="inlineStr">
        <is>
          <t>Motor 6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5" t="n">
        <v>410</v>
      </c>
      <c r="U3510" s="15" t="n">
        <v>32</v>
      </c>
      <c r="V3510" s="15">
        <f>ROUNDUP((T3510+U3510+2*'Read Me'!$B$13)*(1+'Read Me'!$B$12),-1)</f>
        <v/>
      </c>
      <c r="W3510" s="15">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G-P-0100</t>
        </is>
      </c>
      <c r="B3511" s="12" t="inlineStr">
        <is>
          <t>G</t>
        </is>
      </c>
      <c r="C3511" s="12" t="inlineStr">
        <is>
          <t>Carbon capture</t>
        </is>
      </c>
      <c r="D3511" s="12" t="inlineStr">
        <is>
          <t>Motor 1 of 30, 110 kW (VFD output)</t>
        </is>
      </c>
      <c r="E3511" s="12" t="inlineStr"/>
      <c r="F3511" s="12" t="inlineStr">
        <is>
          <t>CT MCC / VFD e-house</t>
        </is>
      </c>
      <c r="G3511" s="12" t="inlineStr">
        <is>
          <t>CCS-CT</t>
        </is>
      </c>
      <c r="H3511" s="12" t="inlineStr">
        <is>
          <t>CCS cooling tower (~30 cells): CCS process cooling only</t>
        </is>
      </c>
      <c r="I3511" s="12" t="inlineStr">
        <is>
          <t>LV 600 V</t>
        </is>
      </c>
      <c r="J3511" s="12" t="inlineStr">
        <is>
          <t>VFD cable 600 V 3/C Cu XHHW-2, 3 symmetrical grounds, overall Cu tape shield, TC-ER</t>
        </is>
      </c>
      <c r="K3511" s="12" t="inlineStr">
        <is>
          <t>VFD|3/C+3G|3/0</t>
        </is>
      </c>
      <c r="L3511" s="12" t="inlineStr">
        <is>
          <t>3/C+3G</t>
        </is>
      </c>
      <c r="M3511" s="12" t="inlineStr">
        <is>
          <t>3/0</t>
        </is>
      </c>
      <c r="N3511" s="12" t="n">
        <v>1</v>
      </c>
      <c r="O3511" s="12" t="n">
        <v>1</v>
      </c>
      <c r="P3511" s="12" t="n">
        <v>480</v>
      </c>
      <c r="Q3511" s="12" t="n">
        <v>110</v>
      </c>
      <c r="R3511" s="12" t="n">
        <v>156</v>
      </c>
      <c r="S3511" s="12" t="inlineStr">
        <is>
          <t>Tray</t>
        </is>
      </c>
      <c r="T3511" s="15" t="n">
        <v>250</v>
      </c>
      <c r="U3511" s="15" t="n">
        <v>48</v>
      </c>
      <c r="V3511" s="15">
        <f>ROUNDUP((T3511+U3511+2*'Read Me'!$B$13)*(1+'Read Me'!$B$12),-1)</f>
        <v/>
      </c>
      <c r="W3511" s="15">
        <f>V3511*N3511*O3511</f>
        <v/>
      </c>
      <c r="X3511" s="12">
        <f>IF(LEFT(I3511,2)="MV",2*N3511*IF(L3511="1/C",O3511,1),0)</f>
        <v/>
      </c>
      <c r="Y3511" s="12">
        <f>IF(OR(LEFT(K3511,4)="LVAX",LEFT(K3511,6)="MV15AX",LEFT(K3511,4)="CTAX",LEFT(K3511,2)="W|"),2*N3511*O3511,0)</f>
        <v/>
      </c>
      <c r="Z3511" s="12" t="inlineStr">
        <is>
          <t>VD 1.4 %</t>
        </is>
      </c>
      <c r="AA3511" s="12">
        <f>N3511*O3511</f>
        <v/>
      </c>
    </row>
    <row r="3512">
      <c r="A3512" s="12" t="inlineStr">
        <is>
          <t>G-P-0101</t>
        </is>
      </c>
      <c r="B3512" s="12" t="inlineStr">
        <is>
          <t>G</t>
        </is>
      </c>
      <c r="C3512" s="12" t="inlineStr">
        <is>
          <t>Carbon capture</t>
        </is>
      </c>
      <c r="D3512" s="12" t="inlineStr">
        <is>
          <t>Motor 2 of 30, 110 kW (VFD output)</t>
        </is>
      </c>
      <c r="E3512" s="12" t="inlineStr"/>
      <c r="F3512" s="12" t="inlineStr">
        <is>
          <t>CT MCC / VFD e-house</t>
        </is>
      </c>
      <c r="G3512" s="12" t="inlineStr">
        <is>
          <t>CCS-CT</t>
        </is>
      </c>
      <c r="H3512" s="12" t="inlineStr">
        <is>
          <t>CCS cooling tower (~30 cells): CCS process cooling only</t>
        </is>
      </c>
      <c r="I3512" s="12" t="inlineStr">
        <is>
          <t>LV 600 V</t>
        </is>
      </c>
      <c r="J3512" s="12" t="inlineStr">
        <is>
          <t>VFD cable 600 V 3/C Cu XHHW-2, 3 symmetrical grounds, overall Cu tape shield, TC-ER</t>
        </is>
      </c>
      <c r="K3512" s="12" t="inlineStr">
        <is>
          <t>VFD|3/C+3G|3/0</t>
        </is>
      </c>
      <c r="L3512" s="12" t="inlineStr">
        <is>
          <t>3/C+3G</t>
        </is>
      </c>
      <c r="M3512" s="12" t="inlineStr">
        <is>
          <t>3/0</t>
        </is>
      </c>
      <c r="N3512" s="12" t="n">
        <v>1</v>
      </c>
      <c r="O3512" s="12" t="n">
        <v>1</v>
      </c>
      <c r="P3512" s="12" t="n">
        <v>480</v>
      </c>
      <c r="Q3512" s="12" t="n">
        <v>110</v>
      </c>
      <c r="R3512" s="12" t="n">
        <v>156</v>
      </c>
      <c r="S3512" s="12" t="inlineStr">
        <is>
          <t>Tray</t>
        </is>
      </c>
      <c r="T3512" s="15" t="n">
        <v>250</v>
      </c>
      <c r="U3512" s="15" t="n">
        <v>48</v>
      </c>
      <c r="V3512" s="15">
        <f>ROUNDUP((T3512+U3512+2*'Read Me'!$B$13)*(1+'Read Me'!$B$12),-1)</f>
        <v/>
      </c>
      <c r="W3512" s="15">
        <f>V3512*N3512*O3512</f>
        <v/>
      </c>
      <c r="X3512" s="12">
        <f>IF(LEFT(I3512,2)="MV",2*N3512*IF(L3512="1/C",O3512,1),0)</f>
        <v/>
      </c>
      <c r="Y3512" s="12">
        <f>IF(OR(LEFT(K3512,4)="LVAX",LEFT(K3512,6)="MV15AX",LEFT(K3512,4)="CTAX",LEFT(K3512,2)="W|"),2*N3512*O3512,0)</f>
        <v/>
      </c>
      <c r="Z3512" s="12" t="inlineStr">
        <is>
          <t>VD 1.4 %</t>
        </is>
      </c>
      <c r="AA3512" s="12">
        <f>N3512*O3512</f>
        <v/>
      </c>
    </row>
    <row r="3513">
      <c r="A3513" s="12" t="inlineStr">
        <is>
          <t>G-P-0102</t>
        </is>
      </c>
      <c r="B3513" s="12" t="inlineStr">
        <is>
          <t>G</t>
        </is>
      </c>
      <c r="C3513" s="12" t="inlineStr">
        <is>
          <t>Carbon capture</t>
        </is>
      </c>
      <c r="D3513" s="12" t="inlineStr">
        <is>
          <t>Motor 3 of 30, 110 kW (VFD output)</t>
        </is>
      </c>
      <c r="E3513" s="12" t="inlineStr"/>
      <c r="F3513" s="12" t="inlineStr">
        <is>
          <t>CT MCC / VFD e-house</t>
        </is>
      </c>
      <c r="G3513" s="12" t="inlineStr">
        <is>
          <t>CCS-CT</t>
        </is>
      </c>
      <c r="H3513" s="12" t="inlineStr">
        <is>
          <t>CCS cooling tower (~30 cells): CCS process cooling only</t>
        </is>
      </c>
      <c r="I3513" s="12" t="inlineStr">
        <is>
          <t>LV 600 V</t>
        </is>
      </c>
      <c r="J3513" s="12" t="inlineStr">
        <is>
          <t>VFD cable 600 V 3/C Cu XHHW-2, 3 symmetrical grounds, overall Cu tape shield, TC-ER</t>
        </is>
      </c>
      <c r="K3513" s="12" t="inlineStr">
        <is>
          <t>VFD|3/C+3G|3/0</t>
        </is>
      </c>
      <c r="L3513" s="12" t="inlineStr">
        <is>
          <t>3/C+3G</t>
        </is>
      </c>
      <c r="M3513" s="12" t="inlineStr">
        <is>
          <t>3/0</t>
        </is>
      </c>
      <c r="N3513" s="12" t="n">
        <v>1</v>
      </c>
      <c r="O3513" s="12" t="n">
        <v>1</v>
      </c>
      <c r="P3513" s="12" t="n">
        <v>480</v>
      </c>
      <c r="Q3513" s="12" t="n">
        <v>110</v>
      </c>
      <c r="R3513" s="12" t="n">
        <v>156</v>
      </c>
      <c r="S3513" s="12" t="inlineStr">
        <is>
          <t>Tray</t>
        </is>
      </c>
      <c r="T3513" s="15" t="n">
        <v>250</v>
      </c>
      <c r="U3513" s="15" t="n">
        <v>48</v>
      </c>
      <c r="V3513" s="15">
        <f>ROUNDUP((T3513+U3513+2*'Read Me'!$B$13)*(1+'Read Me'!$B$12),-1)</f>
        <v/>
      </c>
      <c r="W3513" s="15">
        <f>V3513*N3513*O3513</f>
        <v/>
      </c>
      <c r="X3513" s="12">
        <f>IF(LEFT(I3513,2)="MV",2*N3513*IF(L3513="1/C",O3513,1),0)</f>
        <v/>
      </c>
      <c r="Y3513" s="12">
        <f>IF(OR(LEFT(K3513,4)="LVAX",LEFT(K3513,6)="MV15AX",LEFT(K3513,4)="CTAX",LEFT(K3513,2)="W|"),2*N3513*O3513,0)</f>
        <v/>
      </c>
      <c r="Z3513" s="12" t="inlineStr">
        <is>
          <t>VD 1.4 %</t>
        </is>
      </c>
      <c r="AA3513" s="12">
        <f>N3513*O3513</f>
        <v/>
      </c>
    </row>
    <row r="3514">
      <c r="A3514" s="12" t="inlineStr">
        <is>
          <t>G-P-0103</t>
        </is>
      </c>
      <c r="B3514" s="12" t="inlineStr">
        <is>
          <t>G</t>
        </is>
      </c>
      <c r="C3514" s="12" t="inlineStr">
        <is>
          <t>Carbon capture</t>
        </is>
      </c>
      <c r="D3514" s="12" t="inlineStr">
        <is>
          <t>Motor 4 of 30, 110 kW (VFD output)</t>
        </is>
      </c>
      <c r="E3514" s="12" t="inlineStr"/>
      <c r="F3514" s="12" t="inlineStr">
        <is>
          <t>CT MCC / VFD e-house</t>
        </is>
      </c>
      <c r="G3514" s="12" t="inlineStr">
        <is>
          <t>CCS-CT</t>
        </is>
      </c>
      <c r="H3514" s="12" t="inlineStr">
        <is>
          <t>CCS cooling tower (~30 cells): CCS process cooling only</t>
        </is>
      </c>
      <c r="I3514" s="12" t="inlineStr">
        <is>
          <t>LV 600 V</t>
        </is>
      </c>
      <c r="J3514" s="12" t="inlineStr">
        <is>
          <t>VFD cable 600 V 3/C Cu XHHW-2, 3 symmetrical grounds, overall Cu tape shield, TC-ER</t>
        </is>
      </c>
      <c r="K3514" s="12" t="inlineStr">
        <is>
          <t>VFD|3/C+3G|3/0</t>
        </is>
      </c>
      <c r="L3514" s="12" t="inlineStr">
        <is>
          <t>3/C+3G</t>
        </is>
      </c>
      <c r="M3514" s="12" t="inlineStr">
        <is>
          <t>3/0</t>
        </is>
      </c>
      <c r="N3514" s="12" t="n">
        <v>1</v>
      </c>
      <c r="O3514" s="12" t="n">
        <v>1</v>
      </c>
      <c r="P3514" s="12" t="n">
        <v>480</v>
      </c>
      <c r="Q3514" s="12" t="n">
        <v>110</v>
      </c>
      <c r="R3514" s="12" t="n">
        <v>156</v>
      </c>
      <c r="S3514" s="12" t="inlineStr">
        <is>
          <t>Tray</t>
        </is>
      </c>
      <c r="T3514" s="15" t="n">
        <v>250</v>
      </c>
      <c r="U3514" s="15" t="n">
        <v>48</v>
      </c>
      <c r="V3514" s="15">
        <f>ROUNDUP((T3514+U3514+2*'Read Me'!$B$13)*(1+'Read Me'!$B$12),-1)</f>
        <v/>
      </c>
      <c r="W3514" s="15">
        <f>V3514*N3514*O3514</f>
        <v/>
      </c>
      <c r="X3514" s="12">
        <f>IF(LEFT(I3514,2)="MV",2*N3514*IF(L3514="1/C",O3514,1),0)</f>
        <v/>
      </c>
      <c r="Y3514" s="12">
        <f>IF(OR(LEFT(K3514,4)="LVAX",LEFT(K3514,6)="MV15AX",LEFT(K3514,4)="CTAX",LEFT(K3514,2)="W|"),2*N3514*O3514,0)</f>
        <v/>
      </c>
      <c r="Z3514" s="12" t="inlineStr">
        <is>
          <t>VD 1.4 %</t>
        </is>
      </c>
      <c r="AA3514" s="12">
        <f>N3514*O3514</f>
        <v/>
      </c>
    </row>
    <row r="3515">
      <c r="A3515" s="12" t="inlineStr">
        <is>
          <t>G-P-0104</t>
        </is>
      </c>
      <c r="B3515" s="12" t="inlineStr">
        <is>
          <t>G</t>
        </is>
      </c>
      <c r="C3515" s="12" t="inlineStr">
        <is>
          <t>Carbon capture</t>
        </is>
      </c>
      <c r="D3515" s="12" t="inlineStr">
        <is>
          <t>Motor 5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5" t="n">
        <v>250</v>
      </c>
      <c r="U3515" s="15" t="n">
        <v>48</v>
      </c>
      <c r="V3515" s="15">
        <f>ROUNDUP((T3515+U3515+2*'Read Me'!$B$13)*(1+'Read Me'!$B$12),-1)</f>
        <v/>
      </c>
      <c r="W3515" s="15">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G-P-0105</t>
        </is>
      </c>
      <c r="B3516" s="12" t="inlineStr">
        <is>
          <t>G</t>
        </is>
      </c>
      <c r="C3516" s="12" t="inlineStr">
        <is>
          <t>Carbon capture</t>
        </is>
      </c>
      <c r="D3516" s="12" t="inlineStr">
        <is>
          <t>Motor 6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5" t="n">
        <v>250</v>
      </c>
      <c r="U3516" s="15" t="n">
        <v>48</v>
      </c>
      <c r="V3516" s="15">
        <f>ROUNDUP((T3516+U3516+2*'Read Me'!$B$13)*(1+'Read Me'!$B$12),-1)</f>
        <v/>
      </c>
      <c r="W3516" s="15">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G-P-0106</t>
        </is>
      </c>
      <c r="B3517" s="12" t="inlineStr">
        <is>
          <t>G</t>
        </is>
      </c>
      <c r="C3517" s="12" t="inlineStr">
        <is>
          <t>Carbon capture</t>
        </is>
      </c>
      <c r="D3517" s="12" t="inlineStr">
        <is>
          <t>Motor 7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5" t="n">
        <v>250</v>
      </c>
      <c r="U3517" s="15" t="n">
        <v>48</v>
      </c>
      <c r="V3517" s="15">
        <f>ROUNDUP((T3517+U3517+2*'Read Me'!$B$13)*(1+'Read Me'!$B$12),-1)</f>
        <v/>
      </c>
      <c r="W3517" s="15">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G-P-0107</t>
        </is>
      </c>
      <c r="B3518" s="12" t="inlineStr">
        <is>
          <t>G</t>
        </is>
      </c>
      <c r="C3518" s="12" t="inlineStr">
        <is>
          <t>Carbon capture</t>
        </is>
      </c>
      <c r="D3518" s="12" t="inlineStr">
        <is>
          <t>Motor 8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5" t="n">
        <v>250</v>
      </c>
      <c r="U3518" s="15" t="n">
        <v>48</v>
      </c>
      <c r="V3518" s="15">
        <f>ROUNDUP((T3518+U3518+2*'Read Me'!$B$13)*(1+'Read Me'!$B$12),-1)</f>
        <v/>
      </c>
      <c r="W3518" s="15">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G-P-0108</t>
        </is>
      </c>
      <c r="B3519" s="12" t="inlineStr">
        <is>
          <t>G</t>
        </is>
      </c>
      <c r="C3519" s="12" t="inlineStr">
        <is>
          <t>Carbon capture</t>
        </is>
      </c>
      <c r="D3519" s="12" t="inlineStr">
        <is>
          <t>Motor 9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5" t="n">
        <v>250</v>
      </c>
      <c r="U3519" s="15" t="n">
        <v>48</v>
      </c>
      <c r="V3519" s="15">
        <f>ROUNDUP((T3519+U3519+2*'Read Me'!$B$13)*(1+'Read Me'!$B$12),-1)</f>
        <v/>
      </c>
      <c r="W3519" s="15">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G-P-0109</t>
        </is>
      </c>
      <c r="B3520" s="12" t="inlineStr">
        <is>
          <t>G</t>
        </is>
      </c>
      <c r="C3520" s="12" t="inlineStr">
        <is>
          <t>Carbon capture</t>
        </is>
      </c>
      <c r="D3520" s="12" t="inlineStr">
        <is>
          <t>Motor 10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5" t="n">
        <v>250</v>
      </c>
      <c r="U3520" s="15" t="n">
        <v>48</v>
      </c>
      <c r="V3520" s="15">
        <f>ROUNDUP((T3520+U3520+2*'Read Me'!$B$13)*(1+'Read Me'!$B$12),-1)</f>
        <v/>
      </c>
      <c r="W3520" s="15">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G-P-0110</t>
        </is>
      </c>
      <c r="B3521" s="12" t="inlineStr">
        <is>
          <t>G</t>
        </is>
      </c>
      <c r="C3521" s="12" t="inlineStr">
        <is>
          <t>Carbon capture</t>
        </is>
      </c>
      <c r="D3521" s="12" t="inlineStr">
        <is>
          <t>Motor 11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5" t="n">
        <v>250</v>
      </c>
      <c r="U3521" s="15" t="n">
        <v>48</v>
      </c>
      <c r="V3521" s="15">
        <f>ROUNDUP((T3521+U3521+2*'Read Me'!$B$13)*(1+'Read Me'!$B$12),-1)</f>
        <v/>
      </c>
      <c r="W3521" s="15">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G-P-0111</t>
        </is>
      </c>
      <c r="B3522" s="12" t="inlineStr">
        <is>
          <t>G</t>
        </is>
      </c>
      <c r="C3522" s="12" t="inlineStr">
        <is>
          <t>Carbon capture</t>
        </is>
      </c>
      <c r="D3522" s="12" t="inlineStr">
        <is>
          <t>Motor 12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5" t="n">
        <v>250</v>
      </c>
      <c r="U3522" s="15" t="n">
        <v>48</v>
      </c>
      <c r="V3522" s="15">
        <f>ROUNDUP((T3522+U3522+2*'Read Me'!$B$13)*(1+'Read Me'!$B$12),-1)</f>
        <v/>
      </c>
      <c r="W3522" s="15">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G-P-0112</t>
        </is>
      </c>
      <c r="B3523" s="12" t="inlineStr">
        <is>
          <t>G</t>
        </is>
      </c>
      <c r="C3523" s="12" t="inlineStr">
        <is>
          <t>Carbon capture</t>
        </is>
      </c>
      <c r="D3523" s="12" t="inlineStr">
        <is>
          <t>Motor 13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5" t="n">
        <v>250</v>
      </c>
      <c r="U3523" s="15" t="n">
        <v>48</v>
      </c>
      <c r="V3523" s="15">
        <f>ROUNDUP((T3523+U3523+2*'Read Me'!$B$13)*(1+'Read Me'!$B$12),-1)</f>
        <v/>
      </c>
      <c r="W3523" s="15">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G-P-0113</t>
        </is>
      </c>
      <c r="B3524" s="12" t="inlineStr">
        <is>
          <t>G</t>
        </is>
      </c>
      <c r="C3524" s="12" t="inlineStr">
        <is>
          <t>Carbon capture</t>
        </is>
      </c>
      <c r="D3524" s="12" t="inlineStr">
        <is>
          <t>Motor 14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5" t="n">
        <v>250</v>
      </c>
      <c r="U3524" s="15" t="n">
        <v>48</v>
      </c>
      <c r="V3524" s="15">
        <f>ROUNDUP((T3524+U3524+2*'Read Me'!$B$13)*(1+'Read Me'!$B$12),-1)</f>
        <v/>
      </c>
      <c r="W3524" s="15">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G-P-0114</t>
        </is>
      </c>
      <c r="B3525" s="12" t="inlineStr">
        <is>
          <t>G</t>
        </is>
      </c>
      <c r="C3525" s="12" t="inlineStr">
        <is>
          <t>Carbon capture</t>
        </is>
      </c>
      <c r="D3525" s="12" t="inlineStr">
        <is>
          <t>Motor 15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5" t="n">
        <v>250</v>
      </c>
      <c r="U3525" s="15" t="n">
        <v>48</v>
      </c>
      <c r="V3525" s="15">
        <f>ROUNDUP((T3525+U3525+2*'Read Me'!$B$13)*(1+'Read Me'!$B$12),-1)</f>
        <v/>
      </c>
      <c r="W3525" s="15">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G-P-0115</t>
        </is>
      </c>
      <c r="B3526" s="12" t="inlineStr">
        <is>
          <t>G</t>
        </is>
      </c>
      <c r="C3526" s="12" t="inlineStr">
        <is>
          <t>Carbon capture</t>
        </is>
      </c>
      <c r="D3526" s="12" t="inlineStr">
        <is>
          <t>Motor 16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5" t="n">
        <v>250</v>
      </c>
      <c r="U3526" s="15" t="n">
        <v>48</v>
      </c>
      <c r="V3526" s="15">
        <f>ROUNDUP((T3526+U3526+2*'Read Me'!$B$13)*(1+'Read Me'!$B$12),-1)</f>
        <v/>
      </c>
      <c r="W3526" s="15">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G-P-0116</t>
        </is>
      </c>
      <c r="B3527" s="12" t="inlineStr">
        <is>
          <t>G</t>
        </is>
      </c>
      <c r="C3527" s="12" t="inlineStr">
        <is>
          <t>Carbon capture</t>
        </is>
      </c>
      <c r="D3527" s="12" t="inlineStr">
        <is>
          <t>Motor 17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5" t="n">
        <v>250</v>
      </c>
      <c r="U3527" s="15" t="n">
        <v>48</v>
      </c>
      <c r="V3527" s="15">
        <f>ROUNDUP((T3527+U3527+2*'Read Me'!$B$13)*(1+'Read Me'!$B$12),-1)</f>
        <v/>
      </c>
      <c r="W3527" s="15">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G-P-0117</t>
        </is>
      </c>
      <c r="B3528" s="12" t="inlineStr">
        <is>
          <t>G</t>
        </is>
      </c>
      <c r="C3528" s="12" t="inlineStr">
        <is>
          <t>Carbon capture</t>
        </is>
      </c>
      <c r="D3528" s="12" t="inlineStr">
        <is>
          <t>Motor 18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5" t="n">
        <v>250</v>
      </c>
      <c r="U3528" s="15" t="n">
        <v>48</v>
      </c>
      <c r="V3528" s="15">
        <f>ROUNDUP((T3528+U3528+2*'Read Me'!$B$13)*(1+'Read Me'!$B$12),-1)</f>
        <v/>
      </c>
      <c r="W3528" s="15">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G-P-0118</t>
        </is>
      </c>
      <c r="B3529" s="12" t="inlineStr">
        <is>
          <t>G</t>
        </is>
      </c>
      <c r="C3529" s="12" t="inlineStr">
        <is>
          <t>Carbon capture</t>
        </is>
      </c>
      <c r="D3529" s="12" t="inlineStr">
        <is>
          <t>Motor 19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5" t="n">
        <v>250</v>
      </c>
      <c r="U3529" s="15" t="n">
        <v>48</v>
      </c>
      <c r="V3529" s="15">
        <f>ROUNDUP((T3529+U3529+2*'Read Me'!$B$13)*(1+'Read Me'!$B$12),-1)</f>
        <v/>
      </c>
      <c r="W3529" s="15">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G-P-0119</t>
        </is>
      </c>
      <c r="B3530" s="12" t="inlineStr">
        <is>
          <t>G</t>
        </is>
      </c>
      <c r="C3530" s="12" t="inlineStr">
        <is>
          <t>Carbon capture</t>
        </is>
      </c>
      <c r="D3530" s="12" t="inlineStr">
        <is>
          <t>Motor 20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5" t="n">
        <v>250</v>
      </c>
      <c r="U3530" s="15" t="n">
        <v>48</v>
      </c>
      <c r="V3530" s="15">
        <f>ROUNDUP((T3530+U3530+2*'Read Me'!$B$13)*(1+'Read Me'!$B$12),-1)</f>
        <v/>
      </c>
      <c r="W3530" s="15">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G-P-0120</t>
        </is>
      </c>
      <c r="B3531" s="12" t="inlineStr">
        <is>
          <t>G</t>
        </is>
      </c>
      <c r="C3531" s="12" t="inlineStr">
        <is>
          <t>Carbon capture</t>
        </is>
      </c>
      <c r="D3531" s="12" t="inlineStr">
        <is>
          <t>Motor 21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5" t="n">
        <v>250</v>
      </c>
      <c r="U3531" s="15" t="n">
        <v>48</v>
      </c>
      <c r="V3531" s="15">
        <f>ROUNDUP((T3531+U3531+2*'Read Me'!$B$13)*(1+'Read Me'!$B$12),-1)</f>
        <v/>
      </c>
      <c r="W3531" s="15">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G-P-0121</t>
        </is>
      </c>
      <c r="B3532" s="12" t="inlineStr">
        <is>
          <t>G</t>
        </is>
      </c>
      <c r="C3532" s="12" t="inlineStr">
        <is>
          <t>Carbon capture</t>
        </is>
      </c>
      <c r="D3532" s="12" t="inlineStr">
        <is>
          <t>Motor 22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5" t="n">
        <v>250</v>
      </c>
      <c r="U3532" s="15" t="n">
        <v>48</v>
      </c>
      <c r="V3532" s="15">
        <f>ROUNDUP((T3532+U3532+2*'Read Me'!$B$13)*(1+'Read Me'!$B$12),-1)</f>
        <v/>
      </c>
      <c r="W3532" s="15">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G-P-0122</t>
        </is>
      </c>
      <c r="B3533" s="12" t="inlineStr">
        <is>
          <t>G</t>
        </is>
      </c>
      <c r="C3533" s="12" t="inlineStr">
        <is>
          <t>Carbon capture</t>
        </is>
      </c>
      <c r="D3533" s="12" t="inlineStr">
        <is>
          <t>Motor 23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5" t="n">
        <v>250</v>
      </c>
      <c r="U3533" s="15" t="n">
        <v>48</v>
      </c>
      <c r="V3533" s="15">
        <f>ROUNDUP((T3533+U3533+2*'Read Me'!$B$13)*(1+'Read Me'!$B$12),-1)</f>
        <v/>
      </c>
      <c r="W3533" s="15">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G-P-0123</t>
        </is>
      </c>
      <c r="B3534" s="12" t="inlineStr">
        <is>
          <t>G</t>
        </is>
      </c>
      <c r="C3534" s="12" t="inlineStr">
        <is>
          <t>Carbon capture</t>
        </is>
      </c>
      <c r="D3534" s="12" t="inlineStr">
        <is>
          <t>Motor 24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5" t="n">
        <v>250</v>
      </c>
      <c r="U3534" s="15" t="n">
        <v>48</v>
      </c>
      <c r="V3534" s="15">
        <f>ROUNDUP((T3534+U3534+2*'Read Me'!$B$13)*(1+'Read Me'!$B$12),-1)</f>
        <v/>
      </c>
      <c r="W3534" s="15">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G-P-0124</t>
        </is>
      </c>
      <c r="B3535" s="12" t="inlineStr">
        <is>
          <t>G</t>
        </is>
      </c>
      <c r="C3535" s="12" t="inlineStr">
        <is>
          <t>Carbon capture</t>
        </is>
      </c>
      <c r="D3535" s="12" t="inlineStr">
        <is>
          <t>Motor 25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5" t="n">
        <v>250</v>
      </c>
      <c r="U3535" s="15" t="n">
        <v>48</v>
      </c>
      <c r="V3535" s="15">
        <f>ROUNDUP((T3535+U3535+2*'Read Me'!$B$13)*(1+'Read Me'!$B$12),-1)</f>
        <v/>
      </c>
      <c r="W3535" s="15">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G-P-0125</t>
        </is>
      </c>
      <c r="B3536" s="12" t="inlineStr">
        <is>
          <t>G</t>
        </is>
      </c>
      <c r="C3536" s="12" t="inlineStr">
        <is>
          <t>Carbon capture</t>
        </is>
      </c>
      <c r="D3536" s="12" t="inlineStr">
        <is>
          <t>Motor 26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5" t="n">
        <v>250</v>
      </c>
      <c r="U3536" s="15" t="n">
        <v>48</v>
      </c>
      <c r="V3536" s="15">
        <f>ROUNDUP((T3536+U3536+2*'Read Me'!$B$13)*(1+'Read Me'!$B$12),-1)</f>
        <v/>
      </c>
      <c r="W3536" s="15">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G-P-0126</t>
        </is>
      </c>
      <c r="B3537" s="12" t="inlineStr">
        <is>
          <t>G</t>
        </is>
      </c>
      <c r="C3537" s="12" t="inlineStr">
        <is>
          <t>Carbon capture</t>
        </is>
      </c>
      <c r="D3537" s="12" t="inlineStr">
        <is>
          <t>Motor 27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5" t="n">
        <v>250</v>
      </c>
      <c r="U3537" s="15" t="n">
        <v>48</v>
      </c>
      <c r="V3537" s="15">
        <f>ROUNDUP((T3537+U3537+2*'Read Me'!$B$13)*(1+'Read Me'!$B$12),-1)</f>
        <v/>
      </c>
      <c r="W3537" s="15">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G-P-0127</t>
        </is>
      </c>
      <c r="B3538" s="12" t="inlineStr">
        <is>
          <t>G</t>
        </is>
      </c>
      <c r="C3538" s="12" t="inlineStr">
        <is>
          <t>Carbon capture</t>
        </is>
      </c>
      <c r="D3538" s="12" t="inlineStr">
        <is>
          <t>Motor 28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5" t="n">
        <v>250</v>
      </c>
      <c r="U3538" s="15" t="n">
        <v>48</v>
      </c>
      <c r="V3538" s="15">
        <f>ROUNDUP((T3538+U3538+2*'Read Me'!$B$13)*(1+'Read Me'!$B$12),-1)</f>
        <v/>
      </c>
      <c r="W3538" s="15">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G-P-0128</t>
        </is>
      </c>
      <c r="B3539" s="12" t="inlineStr">
        <is>
          <t>G</t>
        </is>
      </c>
      <c r="C3539" s="12" t="inlineStr">
        <is>
          <t>Carbon capture</t>
        </is>
      </c>
      <c r="D3539" s="12" t="inlineStr">
        <is>
          <t>Motor 29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5" t="n">
        <v>250</v>
      </c>
      <c r="U3539" s="15" t="n">
        <v>48</v>
      </c>
      <c r="V3539" s="15">
        <f>ROUNDUP((T3539+U3539+2*'Read Me'!$B$13)*(1+'Read Me'!$B$12),-1)</f>
        <v/>
      </c>
      <c r="W3539" s="15">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G-P-0129</t>
        </is>
      </c>
      <c r="B3540" s="12" t="inlineStr">
        <is>
          <t>G</t>
        </is>
      </c>
      <c r="C3540" s="12" t="inlineStr">
        <is>
          <t>Carbon capture</t>
        </is>
      </c>
      <c r="D3540" s="12" t="inlineStr">
        <is>
          <t>Motor 30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5" t="n">
        <v>250</v>
      </c>
      <c r="U3540" s="15" t="n">
        <v>48</v>
      </c>
      <c r="V3540" s="15">
        <f>ROUNDUP((T3540+U3540+2*'Read Me'!$B$13)*(1+'Read Me'!$B$12),-1)</f>
        <v/>
      </c>
      <c r="W3540" s="15">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G-P-0130</t>
        </is>
      </c>
      <c r="B3541" s="12" t="inlineStr">
        <is>
          <t>G</t>
        </is>
      </c>
      <c r="C3541" s="12" t="inlineStr">
        <is>
          <t>Carbon capture</t>
        </is>
      </c>
      <c r="D3541" s="12" t="inlineStr">
        <is>
          <t>Area / platform lighting circuit 1 (12 fixtures)</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3</v>
      </c>
      <c r="R3541" s="12" t="n">
        <v>5</v>
      </c>
      <c r="S3541" s="12" t="inlineStr">
        <is>
          <t>Tray</t>
        </is>
      </c>
      <c r="T3541" s="15" t="n">
        <v>300</v>
      </c>
      <c r="U3541" s="15" t="n">
        <v>48</v>
      </c>
      <c r="V3541" s="15">
        <f>ROUNDUP((T3541+U3541+2*'Read Me'!$B$13)*(1+'Read Me'!$B$12),-1)</f>
        <v/>
      </c>
      <c r="W3541" s="15">
        <f>V3541*N3541*O3541</f>
        <v/>
      </c>
      <c r="X3541" s="12">
        <f>IF(LEFT(I3541,2)="MV",2*N3541*IF(L3541="1/C",O3541,1),0)</f>
        <v/>
      </c>
      <c r="Y3541" s="12">
        <f>IF(OR(LEFT(K3541,4)="LVAX",LEFT(K3541,6)="MV15AX",LEFT(K3541,4)="CTAX",LEFT(K3541,2)="W|"),2*N3541*O3541,0)</f>
        <v/>
      </c>
      <c r="Z3541" s="12" t="inlineStr">
        <is>
          <t>fixture-to-fixture run included</t>
        </is>
      </c>
      <c r="AA3541" s="12">
        <f>N3541*O3541</f>
        <v/>
      </c>
    </row>
    <row r="3542">
      <c r="A3542" s="12" t="inlineStr">
        <is>
          <t>G-P-0131</t>
        </is>
      </c>
      <c r="B3542" s="12" t="inlineStr">
        <is>
          <t>G</t>
        </is>
      </c>
      <c r="C3542" s="12" t="inlineStr">
        <is>
          <t>Carbon capture</t>
        </is>
      </c>
      <c r="D3542" s="12" t="inlineStr">
        <is>
          <t>Area / platform lighting circuit 2 (12 fixtures)</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3</v>
      </c>
      <c r="R3542" s="12" t="n">
        <v>5</v>
      </c>
      <c r="S3542" s="12" t="inlineStr">
        <is>
          <t>Tray</t>
        </is>
      </c>
      <c r="T3542" s="15" t="n">
        <v>300</v>
      </c>
      <c r="U3542" s="15" t="n">
        <v>48</v>
      </c>
      <c r="V3542" s="15">
        <f>ROUNDUP((T3542+U3542+2*'Read Me'!$B$13)*(1+'Read Me'!$B$12),-1)</f>
        <v/>
      </c>
      <c r="W3542" s="15">
        <f>V3542*N3542*O3542</f>
        <v/>
      </c>
      <c r="X3542" s="12">
        <f>IF(LEFT(I3542,2)="MV",2*N3542*IF(L3542="1/C",O3542,1),0)</f>
        <v/>
      </c>
      <c r="Y3542" s="12">
        <f>IF(OR(LEFT(K3542,4)="LVAX",LEFT(K3542,6)="MV15AX",LEFT(K3542,4)="CTAX",LEFT(K3542,2)="W|"),2*N3542*O3542,0)</f>
        <v/>
      </c>
      <c r="Z3542" s="12" t="inlineStr">
        <is>
          <t>fixture-to-fixture run included</t>
        </is>
      </c>
      <c r="AA3542" s="12">
        <f>N3542*O3542</f>
        <v/>
      </c>
    </row>
    <row r="3543">
      <c r="A3543" s="12" t="inlineStr">
        <is>
          <t>G-P-0132</t>
        </is>
      </c>
      <c r="B3543" s="12" t="inlineStr">
        <is>
          <t>G</t>
        </is>
      </c>
      <c r="C3543" s="12" t="inlineStr">
        <is>
          <t>Carbon capture</t>
        </is>
      </c>
      <c r="D3543" s="12" t="inlineStr">
        <is>
          <t>Area / platform lighting circuit 3 (6 fixtures)</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3</v>
      </c>
      <c r="R3543" s="12" t="n">
        <v>5</v>
      </c>
      <c r="S3543" s="12" t="inlineStr">
        <is>
          <t>Tray</t>
        </is>
      </c>
      <c r="T3543" s="15" t="n">
        <v>300</v>
      </c>
      <c r="U3543" s="15" t="n">
        <v>48</v>
      </c>
      <c r="V3543" s="15">
        <f>ROUNDUP((T3543+U3543+2*'Read Me'!$B$13)*(1+'Read Me'!$B$12),-1)</f>
        <v/>
      </c>
      <c r="W3543" s="15">
        <f>V3543*N3543*O3543</f>
        <v/>
      </c>
      <c r="X3543" s="12">
        <f>IF(LEFT(I3543,2)="MV",2*N3543*IF(L3543="1/C",O3543,1),0)</f>
        <v/>
      </c>
      <c r="Y3543" s="12">
        <f>IF(OR(LEFT(K3543,4)="LVAX",LEFT(K3543,6)="MV15AX",LEFT(K3543,4)="CTAX",LEFT(K3543,2)="W|"),2*N3543*O3543,0)</f>
        <v/>
      </c>
      <c r="Z3543" s="12" t="inlineStr">
        <is>
          <t>fixture-to-fixture run included</t>
        </is>
      </c>
      <c r="AA3543" s="12">
        <f>N3543*O3543</f>
        <v/>
      </c>
    </row>
    <row r="3544">
      <c r="A3544" s="12" t="inlineStr">
        <is>
          <t>G-P-0133</t>
        </is>
      </c>
      <c r="B3544" s="12" t="inlineStr">
        <is>
          <t>G</t>
        </is>
      </c>
      <c r="C3544" s="12" t="inlineStr">
        <is>
          <t>Carbon capture</t>
        </is>
      </c>
      <c r="D3544" s="12" t="inlineStr">
        <is>
          <t>Motor 1 of 2, 250 kW</t>
        </is>
      </c>
      <c r="E3544" s="12" t="inlineStr"/>
      <c r="F3544" s="12" t="inlineStr">
        <is>
          <t>CCS MV switchgear building (VFDs)</t>
        </is>
      </c>
      <c r="G3544" s="12" t="inlineStr"/>
      <c r="H3544" s="12" t="inlineStr">
        <is>
          <t>CCS instrument air</t>
        </is>
      </c>
      <c r="I3544" s="12" t="inlineStr">
        <is>
          <t>LV 600 V</t>
        </is>
      </c>
      <c r="J3544" s="12" t="inlineStr">
        <is>
          <t>Type TC-ER 600 V 3/C Cu XHHW-2 + ground, PVC jacket</t>
        </is>
      </c>
      <c r="K3544" s="12" t="inlineStr">
        <is>
          <t>LV|3/C+G|4/0</t>
        </is>
      </c>
      <c r="L3544" s="12" t="inlineStr">
        <is>
          <t>3/C+G</t>
        </is>
      </c>
      <c r="M3544" s="12" t="inlineStr">
        <is>
          <t>4/0</t>
        </is>
      </c>
      <c r="N3544" s="12" t="n">
        <v>2</v>
      </c>
      <c r="O3544" s="12" t="n">
        <v>1</v>
      </c>
      <c r="P3544" s="12" t="n">
        <v>480</v>
      </c>
      <c r="Q3544" s="12" t="n">
        <v>250</v>
      </c>
      <c r="R3544" s="12" t="n">
        <v>353.8</v>
      </c>
      <c r="S3544" s="12" t="inlineStr">
        <is>
          <t>Duct bank</t>
        </is>
      </c>
      <c r="T3544" s="15" t="n">
        <v>206</v>
      </c>
      <c r="U3544" s="15" t="n">
        <v>51</v>
      </c>
      <c r="V3544" s="15">
        <f>ROUNDUP((T3544+U3544+2*'Read Me'!$B$13)*(1+'Read Me'!$B$12),-1)</f>
        <v/>
      </c>
      <c r="W3544" s="15">
        <f>V3544*N3544*O3544</f>
        <v/>
      </c>
      <c r="X3544" s="12">
        <f>IF(LEFT(I3544,2)="MV",2*N3544*IF(L3544="1/C",O3544,1),0)</f>
        <v/>
      </c>
      <c r="Y3544" s="12">
        <f>IF(OR(LEFT(K3544,4)="LVAX",LEFT(K3544,6)="MV15AX",LEFT(K3544,4)="CTAX",LEFT(K3544,2)="W|"),2*N3544*O3544,0)</f>
        <v/>
      </c>
      <c r="Z3544" s="12" t="inlineStr">
        <is>
          <t>VD 1.1 %</t>
        </is>
      </c>
      <c r="AA3544" s="12">
        <f>N3544*O3544</f>
        <v/>
      </c>
    </row>
    <row r="3545">
      <c r="A3545" s="12" t="inlineStr">
        <is>
          <t>G-P-0134</t>
        </is>
      </c>
      <c r="B3545" s="12" t="inlineStr">
        <is>
          <t>G</t>
        </is>
      </c>
      <c r="C3545" s="12" t="inlineStr">
        <is>
          <t>Carbon capture</t>
        </is>
      </c>
      <c r="D3545" s="12" t="inlineStr">
        <is>
          <t>Motor 2 of 2, 250 kW</t>
        </is>
      </c>
      <c r="E3545" s="12" t="inlineStr"/>
      <c r="F3545" s="12" t="inlineStr">
        <is>
          <t>CCS MV switchgear building (VFDs)</t>
        </is>
      </c>
      <c r="G3545" s="12" t="inlineStr"/>
      <c r="H3545" s="12" t="inlineStr">
        <is>
          <t>CCS instrument air</t>
        </is>
      </c>
      <c r="I3545" s="12" t="inlineStr">
        <is>
          <t>LV 600 V</t>
        </is>
      </c>
      <c r="J3545" s="12" t="inlineStr">
        <is>
          <t>Type TC-ER 600 V 3/C Cu XHHW-2 + ground, PVC jacket</t>
        </is>
      </c>
      <c r="K3545" s="12" t="inlineStr">
        <is>
          <t>LV|3/C+G|4/0</t>
        </is>
      </c>
      <c r="L3545" s="12" t="inlineStr">
        <is>
          <t>3/C+G</t>
        </is>
      </c>
      <c r="M3545" s="12" t="inlineStr">
        <is>
          <t>4/0</t>
        </is>
      </c>
      <c r="N3545" s="12" t="n">
        <v>2</v>
      </c>
      <c r="O3545" s="12" t="n">
        <v>1</v>
      </c>
      <c r="P3545" s="12" t="n">
        <v>480</v>
      </c>
      <c r="Q3545" s="12" t="n">
        <v>250</v>
      </c>
      <c r="R3545" s="12" t="n">
        <v>353.8</v>
      </c>
      <c r="S3545" s="12" t="inlineStr">
        <is>
          <t>Duct bank</t>
        </is>
      </c>
      <c r="T3545" s="15" t="n">
        <v>206</v>
      </c>
      <c r="U3545" s="15" t="n">
        <v>51</v>
      </c>
      <c r="V3545" s="15">
        <f>ROUNDUP((T3545+U3545+2*'Read Me'!$B$13)*(1+'Read Me'!$B$12),-1)</f>
        <v/>
      </c>
      <c r="W3545" s="15">
        <f>V3545*N3545*O3545</f>
        <v/>
      </c>
      <c r="X3545" s="12">
        <f>IF(LEFT(I3545,2)="MV",2*N3545*IF(L3545="1/C",O3545,1),0)</f>
        <v/>
      </c>
      <c r="Y3545" s="12">
        <f>IF(OR(LEFT(K3545,4)="LVAX",LEFT(K3545,6)="MV15AX",LEFT(K3545,4)="CTAX",LEFT(K3545,2)="W|"),2*N3545*O3545,0)</f>
        <v/>
      </c>
      <c r="Z3545" s="12" t="inlineStr">
        <is>
          <t>VD 1.1 %</t>
        </is>
      </c>
      <c r="AA3545" s="12">
        <f>N3545*O3545</f>
        <v/>
      </c>
    </row>
    <row r="3546">
      <c r="A3546" s="12" t="inlineStr">
        <is>
          <t>G-P-0135</t>
        </is>
      </c>
      <c r="B3546" s="12" t="inlineStr">
        <is>
          <t>G</t>
        </is>
      </c>
      <c r="C3546" s="12" t="inlineStr">
        <is>
          <t>Carbon capture</t>
        </is>
      </c>
      <c r="D3546" s="12" t="inlineStr">
        <is>
          <t>Motor 1 of 6, 15 kW</t>
        </is>
      </c>
      <c r="E3546" s="12" t="inlineStr"/>
      <c r="F3546" s="12" t="inlineStr">
        <is>
          <t>CT MCC / VFD e-house</t>
        </is>
      </c>
      <c r="G3546" s="12" t="inlineStr"/>
      <c r="H3546" s="12" t="inlineStr">
        <is>
          <t>CCS wastewater (DCC + tower blowdown)</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15</v>
      </c>
      <c r="R3546" s="12" t="n">
        <v>21.2</v>
      </c>
      <c r="S3546" s="12" t="inlineStr">
        <is>
          <t>Conduit link</t>
        </is>
      </c>
      <c r="T3546" s="15" t="n">
        <v>5</v>
      </c>
      <c r="U3546" s="15" t="n">
        <v>87</v>
      </c>
      <c r="V3546" s="15">
        <f>ROUNDUP((T3546+U3546+2*'Read Me'!$B$13)*(1+'Read Me'!$B$12),-1)</f>
        <v/>
      </c>
      <c r="W3546" s="15">
        <f>V3546*N3546*O3546</f>
        <v/>
      </c>
      <c r="X3546" s="12">
        <f>IF(LEFT(I3546,2)="MV",2*N3546*IF(L3546="1/C",O3546,1),0)</f>
        <v/>
      </c>
      <c r="Y3546" s="12">
        <f>IF(OR(LEFT(K3546,4)="LVAX",LEFT(K3546,6)="MV15AX",LEFT(K3546,4)="CTAX",LEFT(K3546,2)="W|"),2*N3546*O3546,0)</f>
        <v/>
      </c>
      <c r="Z3546" s="12" t="inlineStr">
        <is>
          <t>VD 0.9 %</t>
        </is>
      </c>
      <c r="AA3546" s="12">
        <f>N3546*O3546</f>
        <v/>
      </c>
    </row>
    <row r="3547">
      <c r="A3547" s="12" t="inlineStr">
        <is>
          <t>G-P-0136</t>
        </is>
      </c>
      <c r="B3547" s="12" t="inlineStr">
        <is>
          <t>G</t>
        </is>
      </c>
      <c r="C3547" s="12" t="inlineStr">
        <is>
          <t>Carbon capture</t>
        </is>
      </c>
      <c r="D3547" s="12" t="inlineStr">
        <is>
          <t>Motor 2 of 6, 15 kW</t>
        </is>
      </c>
      <c r="E3547" s="12" t="inlineStr"/>
      <c r="F3547" s="12" t="inlineStr">
        <is>
          <t>CT MCC / VFD e-house</t>
        </is>
      </c>
      <c r="G3547" s="12" t="inlineStr"/>
      <c r="H3547" s="12" t="inlineStr">
        <is>
          <t>CCS wastewater (DCC + tower blowdown)</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15</v>
      </c>
      <c r="R3547" s="12" t="n">
        <v>21.2</v>
      </c>
      <c r="S3547" s="12" t="inlineStr">
        <is>
          <t>Conduit link</t>
        </is>
      </c>
      <c r="T3547" s="15" t="n">
        <v>5</v>
      </c>
      <c r="U3547" s="15" t="n">
        <v>87</v>
      </c>
      <c r="V3547" s="15">
        <f>ROUNDUP((T3547+U3547+2*'Read Me'!$B$13)*(1+'Read Me'!$B$12),-1)</f>
        <v/>
      </c>
      <c r="W3547" s="15">
        <f>V3547*N3547*O3547</f>
        <v/>
      </c>
      <c r="X3547" s="12">
        <f>IF(LEFT(I3547,2)="MV",2*N3547*IF(L3547="1/C",O3547,1),0)</f>
        <v/>
      </c>
      <c r="Y3547" s="12">
        <f>IF(OR(LEFT(K3547,4)="LVAX",LEFT(K3547,6)="MV15AX",LEFT(K3547,4)="CTAX",LEFT(K3547,2)="W|"),2*N3547*O3547,0)</f>
        <v/>
      </c>
      <c r="Z3547" s="12" t="inlineStr">
        <is>
          <t>VD 0.9 %</t>
        </is>
      </c>
      <c r="AA3547" s="12">
        <f>N3547*O3547</f>
        <v/>
      </c>
    </row>
    <row r="3548">
      <c r="A3548" s="12" t="inlineStr">
        <is>
          <t>G-P-0137</t>
        </is>
      </c>
      <c r="B3548" s="12" t="inlineStr">
        <is>
          <t>G</t>
        </is>
      </c>
      <c r="C3548" s="12" t="inlineStr">
        <is>
          <t>Carbon capture</t>
        </is>
      </c>
      <c r="D3548" s="12" t="inlineStr">
        <is>
          <t>Motor 3 of 6, 15 kW</t>
        </is>
      </c>
      <c r="E3548" s="12" t="inlineStr"/>
      <c r="F3548" s="12" t="inlineStr">
        <is>
          <t>CT MCC / VFD e-house</t>
        </is>
      </c>
      <c r="G3548" s="12" t="inlineStr"/>
      <c r="H3548" s="12" t="inlineStr">
        <is>
          <t>CCS wastewater (DCC + tower blowdown)</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15</v>
      </c>
      <c r="R3548" s="12" t="n">
        <v>21.2</v>
      </c>
      <c r="S3548" s="12" t="inlineStr">
        <is>
          <t>Conduit link</t>
        </is>
      </c>
      <c r="T3548" s="15" t="n">
        <v>5</v>
      </c>
      <c r="U3548" s="15" t="n">
        <v>87</v>
      </c>
      <c r="V3548" s="15">
        <f>ROUNDUP((T3548+U3548+2*'Read Me'!$B$13)*(1+'Read Me'!$B$12),-1)</f>
        <v/>
      </c>
      <c r="W3548" s="15">
        <f>V3548*N3548*O3548</f>
        <v/>
      </c>
      <c r="X3548" s="12">
        <f>IF(LEFT(I3548,2)="MV",2*N3548*IF(L3548="1/C",O3548,1),0)</f>
        <v/>
      </c>
      <c r="Y3548" s="12">
        <f>IF(OR(LEFT(K3548,4)="LVAX",LEFT(K3548,6)="MV15AX",LEFT(K3548,4)="CTAX",LEFT(K3548,2)="W|"),2*N3548*O3548,0)</f>
        <v/>
      </c>
      <c r="Z3548" s="12" t="inlineStr">
        <is>
          <t>VD 0.9 %</t>
        </is>
      </c>
      <c r="AA3548" s="12">
        <f>N3548*O3548</f>
        <v/>
      </c>
    </row>
    <row r="3549">
      <c r="A3549" s="12" t="inlineStr">
        <is>
          <t>G-P-0138</t>
        </is>
      </c>
      <c r="B3549" s="12" t="inlineStr">
        <is>
          <t>G</t>
        </is>
      </c>
      <c r="C3549" s="12" t="inlineStr">
        <is>
          <t>Carbon capture</t>
        </is>
      </c>
      <c r="D3549" s="12" t="inlineStr">
        <is>
          <t>Motor 4 of 6, 15 kW</t>
        </is>
      </c>
      <c r="E3549" s="12" t="inlineStr"/>
      <c r="F3549" s="12" t="inlineStr">
        <is>
          <t>CT MCC / VFD e-house</t>
        </is>
      </c>
      <c r="G3549" s="12" t="inlineStr"/>
      <c r="H3549" s="12" t="inlineStr">
        <is>
          <t>CCS wastewater (DCC + tower blowdown)</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15</v>
      </c>
      <c r="R3549" s="12" t="n">
        <v>21.2</v>
      </c>
      <c r="S3549" s="12" t="inlineStr">
        <is>
          <t>Conduit link</t>
        </is>
      </c>
      <c r="T3549" s="15" t="n">
        <v>5</v>
      </c>
      <c r="U3549" s="15" t="n">
        <v>87</v>
      </c>
      <c r="V3549" s="15">
        <f>ROUNDUP((T3549+U3549+2*'Read Me'!$B$13)*(1+'Read Me'!$B$12),-1)</f>
        <v/>
      </c>
      <c r="W3549" s="15">
        <f>V3549*N3549*O3549</f>
        <v/>
      </c>
      <c r="X3549" s="12">
        <f>IF(LEFT(I3549,2)="MV",2*N3549*IF(L3549="1/C",O3549,1),0)</f>
        <v/>
      </c>
      <c r="Y3549" s="12">
        <f>IF(OR(LEFT(K3549,4)="LVAX",LEFT(K3549,6)="MV15AX",LEFT(K3549,4)="CTAX",LEFT(K3549,2)="W|"),2*N3549*O3549,0)</f>
        <v/>
      </c>
      <c r="Z3549" s="12" t="inlineStr">
        <is>
          <t>VD 0.9 %</t>
        </is>
      </c>
      <c r="AA3549" s="12">
        <f>N3549*O3549</f>
        <v/>
      </c>
    </row>
    <row r="3550">
      <c r="A3550" s="12" t="inlineStr">
        <is>
          <t>G-P-0139</t>
        </is>
      </c>
      <c r="B3550" s="12" t="inlineStr">
        <is>
          <t>G</t>
        </is>
      </c>
      <c r="C3550" s="12" t="inlineStr">
        <is>
          <t>Carbon capture</t>
        </is>
      </c>
      <c r="D3550" s="12" t="inlineStr">
        <is>
          <t>Motor 5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Conduit link</t>
        </is>
      </c>
      <c r="T3550" s="15" t="n">
        <v>5</v>
      </c>
      <c r="U3550" s="15" t="n">
        <v>87</v>
      </c>
      <c r="V3550" s="15">
        <f>ROUNDUP((T3550+U3550+2*'Read Me'!$B$13)*(1+'Read Me'!$B$12),-1)</f>
        <v/>
      </c>
      <c r="W3550" s="15">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G-P-0140</t>
        </is>
      </c>
      <c r="B3551" s="12" t="inlineStr">
        <is>
          <t>G</t>
        </is>
      </c>
      <c r="C3551" s="12" t="inlineStr">
        <is>
          <t>Carbon capture</t>
        </is>
      </c>
      <c r="D3551" s="12" t="inlineStr">
        <is>
          <t>Motor 6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Conduit link</t>
        </is>
      </c>
      <c r="T3551" s="15" t="n">
        <v>5</v>
      </c>
      <c r="U3551" s="15" t="n">
        <v>87</v>
      </c>
      <c r="V3551" s="15">
        <f>ROUNDUP((T3551+U3551+2*'Read Me'!$B$13)*(1+'Read Me'!$B$12),-1)</f>
        <v/>
      </c>
      <c r="W3551" s="15">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G-P-0141</t>
        </is>
      </c>
      <c r="B3552" s="12" t="inlineStr">
        <is>
          <t>G</t>
        </is>
      </c>
      <c r="C3552" s="12" t="inlineStr">
        <is>
          <t>Carbon capture</t>
        </is>
      </c>
      <c r="D3552" s="12" t="inlineStr">
        <is>
          <t>Motor 1 of 10, 30 kW</t>
        </is>
      </c>
      <c r="E3552" s="12" t="inlineStr"/>
      <c r="F3552" s="12" t="inlineStr">
        <is>
          <t>CCS MV switchgear building (VFDs)</t>
        </is>
      </c>
      <c r="G3552" s="12" t="inlineStr"/>
      <c r="H3552" s="12" t="inlineStr">
        <is>
          <t>CO2 compression 3 x ~19 MW + dehydration</t>
        </is>
      </c>
      <c r="I3552" s="12" t="inlineStr">
        <is>
          <t>LV 600 V</t>
        </is>
      </c>
      <c r="J3552" s="12" t="inlineStr">
        <is>
          <t>Type TC-ER 600 V 3/C Cu XHHW-2 + ground, PVC jacket</t>
        </is>
      </c>
      <c r="K3552" s="12" t="inlineStr">
        <is>
          <t>LV|3/C+G|6</t>
        </is>
      </c>
      <c r="L3552" s="12" t="inlineStr">
        <is>
          <t>3/C+G</t>
        </is>
      </c>
      <c r="M3552" s="12" t="inlineStr">
        <is>
          <t>6</t>
        </is>
      </c>
      <c r="N3552" s="12" t="n">
        <v>1</v>
      </c>
      <c r="O3552" s="12" t="n">
        <v>1</v>
      </c>
      <c r="P3552" s="12" t="n">
        <v>480</v>
      </c>
      <c r="Q3552" s="12" t="n">
        <v>30</v>
      </c>
      <c r="R3552" s="12" t="n">
        <v>42.5</v>
      </c>
      <c r="S3552" s="12" t="inlineStr">
        <is>
          <t>Duct bank</t>
        </is>
      </c>
      <c r="T3552" s="15" t="n">
        <v>291</v>
      </c>
      <c r="U3552" s="15" t="n">
        <v>36</v>
      </c>
      <c r="V3552" s="15">
        <f>ROUNDUP((T3552+U3552+2*'Read Me'!$B$13)*(1+'Read Me'!$B$12),-1)</f>
        <v/>
      </c>
      <c r="W3552" s="15">
        <f>V3552*N3552*O3552</f>
        <v/>
      </c>
      <c r="X3552" s="12">
        <f>IF(LEFT(I3552,2)="MV",2*N3552*IF(L3552="1/C",O3552,1),0)</f>
        <v/>
      </c>
      <c r="Y3552" s="12">
        <f>IF(OR(LEFT(K3552,4)="LVAX",LEFT(K3552,6)="MV15AX",LEFT(K3552,4)="CTAX",LEFT(K3552,2)="W|"),2*N3552*O3552,0)</f>
        <v/>
      </c>
      <c r="Z3552" s="12" t="inlineStr">
        <is>
          <t>VD 2.7 %</t>
        </is>
      </c>
      <c r="AA3552" s="12">
        <f>N3552*O3552</f>
        <v/>
      </c>
    </row>
    <row r="3553">
      <c r="A3553" s="12" t="inlineStr">
        <is>
          <t>G-P-0142</t>
        </is>
      </c>
      <c r="B3553" s="12" t="inlineStr">
        <is>
          <t>G</t>
        </is>
      </c>
      <c r="C3553" s="12" t="inlineStr">
        <is>
          <t>Carbon capture</t>
        </is>
      </c>
      <c r="D3553" s="12" t="inlineStr">
        <is>
          <t>Motor 2 of 10, 30 kW</t>
        </is>
      </c>
      <c r="E3553" s="12" t="inlineStr"/>
      <c r="F3553" s="12" t="inlineStr">
        <is>
          <t>CCS MV switchgear building (VFDs)</t>
        </is>
      </c>
      <c r="G3553" s="12" t="inlineStr"/>
      <c r="H3553" s="12" t="inlineStr">
        <is>
          <t>CO2 compression 3 x ~19 MW + dehydration</t>
        </is>
      </c>
      <c r="I3553" s="12" t="inlineStr">
        <is>
          <t>LV 600 V</t>
        </is>
      </c>
      <c r="J3553" s="12" t="inlineStr">
        <is>
          <t>Type TC-ER 600 V 3/C Cu XHHW-2 + ground, PVC jacket</t>
        </is>
      </c>
      <c r="K3553" s="12" t="inlineStr">
        <is>
          <t>LV|3/C+G|6</t>
        </is>
      </c>
      <c r="L3553" s="12" t="inlineStr">
        <is>
          <t>3/C+G</t>
        </is>
      </c>
      <c r="M3553" s="12" t="inlineStr">
        <is>
          <t>6</t>
        </is>
      </c>
      <c r="N3553" s="12" t="n">
        <v>1</v>
      </c>
      <c r="O3553" s="12" t="n">
        <v>1</v>
      </c>
      <c r="P3553" s="12" t="n">
        <v>480</v>
      </c>
      <c r="Q3553" s="12" t="n">
        <v>30</v>
      </c>
      <c r="R3553" s="12" t="n">
        <v>42.5</v>
      </c>
      <c r="S3553" s="12" t="inlineStr">
        <is>
          <t>Duct bank</t>
        </is>
      </c>
      <c r="T3553" s="15" t="n">
        <v>291</v>
      </c>
      <c r="U3553" s="15" t="n">
        <v>36</v>
      </c>
      <c r="V3553" s="15">
        <f>ROUNDUP((T3553+U3553+2*'Read Me'!$B$13)*(1+'Read Me'!$B$12),-1)</f>
        <v/>
      </c>
      <c r="W3553" s="15">
        <f>V3553*N3553*O3553</f>
        <v/>
      </c>
      <c r="X3553" s="12">
        <f>IF(LEFT(I3553,2)="MV",2*N3553*IF(L3553="1/C",O3553,1),0)</f>
        <v/>
      </c>
      <c r="Y3553" s="12">
        <f>IF(OR(LEFT(K3553,4)="LVAX",LEFT(K3553,6)="MV15AX",LEFT(K3553,4)="CTAX",LEFT(K3553,2)="W|"),2*N3553*O3553,0)</f>
        <v/>
      </c>
      <c r="Z3553" s="12" t="inlineStr">
        <is>
          <t>VD 2.7 %</t>
        </is>
      </c>
      <c r="AA3553" s="12">
        <f>N3553*O3553</f>
        <v/>
      </c>
    </row>
    <row r="3554">
      <c r="A3554" s="12" t="inlineStr">
        <is>
          <t>G-P-0143</t>
        </is>
      </c>
      <c r="B3554" s="12" t="inlineStr">
        <is>
          <t>G</t>
        </is>
      </c>
      <c r="C3554" s="12" t="inlineStr">
        <is>
          <t>Carbon capture</t>
        </is>
      </c>
      <c r="D3554" s="12" t="inlineStr">
        <is>
          <t>Motor 3 of 10, 30 kW</t>
        </is>
      </c>
      <c r="E3554" s="12" t="inlineStr"/>
      <c r="F3554" s="12" t="inlineStr">
        <is>
          <t>CCS MV switchgear building (VFDs)</t>
        </is>
      </c>
      <c r="G3554" s="12" t="inlineStr"/>
      <c r="H3554" s="12" t="inlineStr">
        <is>
          <t>CO2 compression 3 x ~19 MW + dehydration</t>
        </is>
      </c>
      <c r="I3554" s="12" t="inlineStr">
        <is>
          <t>LV 600 V</t>
        </is>
      </c>
      <c r="J3554" s="12" t="inlineStr">
        <is>
          <t>Type TC-ER 600 V 3/C Cu XHHW-2 + ground, PVC jacket</t>
        </is>
      </c>
      <c r="K3554" s="12" t="inlineStr">
        <is>
          <t>LV|3/C+G|6</t>
        </is>
      </c>
      <c r="L3554" s="12" t="inlineStr">
        <is>
          <t>3/C+G</t>
        </is>
      </c>
      <c r="M3554" s="12" t="inlineStr">
        <is>
          <t>6</t>
        </is>
      </c>
      <c r="N3554" s="12" t="n">
        <v>1</v>
      </c>
      <c r="O3554" s="12" t="n">
        <v>1</v>
      </c>
      <c r="P3554" s="12" t="n">
        <v>480</v>
      </c>
      <c r="Q3554" s="12" t="n">
        <v>30</v>
      </c>
      <c r="R3554" s="12" t="n">
        <v>42.5</v>
      </c>
      <c r="S3554" s="12" t="inlineStr">
        <is>
          <t>Duct bank</t>
        </is>
      </c>
      <c r="T3554" s="15" t="n">
        <v>291</v>
      </c>
      <c r="U3554" s="15" t="n">
        <v>36</v>
      </c>
      <c r="V3554" s="15">
        <f>ROUNDUP((T3554+U3554+2*'Read Me'!$B$13)*(1+'Read Me'!$B$12),-1)</f>
        <v/>
      </c>
      <c r="W3554" s="15">
        <f>V3554*N3554*O3554</f>
        <v/>
      </c>
      <c r="X3554" s="12">
        <f>IF(LEFT(I3554,2)="MV",2*N3554*IF(L3554="1/C",O3554,1),0)</f>
        <v/>
      </c>
      <c r="Y3554" s="12">
        <f>IF(OR(LEFT(K3554,4)="LVAX",LEFT(K3554,6)="MV15AX",LEFT(K3554,4)="CTAX",LEFT(K3554,2)="W|"),2*N3554*O3554,0)</f>
        <v/>
      </c>
      <c r="Z3554" s="12" t="inlineStr">
        <is>
          <t>VD 2.7 %</t>
        </is>
      </c>
      <c r="AA3554" s="12">
        <f>N3554*O3554</f>
        <v/>
      </c>
    </row>
    <row r="3555">
      <c r="A3555" s="12" t="inlineStr">
        <is>
          <t>G-P-0144</t>
        </is>
      </c>
      <c r="B3555" s="12" t="inlineStr">
        <is>
          <t>G</t>
        </is>
      </c>
      <c r="C3555" s="12" t="inlineStr">
        <is>
          <t>Carbon capture</t>
        </is>
      </c>
      <c r="D3555" s="12" t="inlineStr">
        <is>
          <t>Motor 4 of 10, 30 kW</t>
        </is>
      </c>
      <c r="E3555" s="12" t="inlineStr"/>
      <c r="F3555" s="12" t="inlineStr">
        <is>
          <t>CCS MV switchgear building (VFDs)</t>
        </is>
      </c>
      <c r="G3555" s="12" t="inlineStr"/>
      <c r="H3555" s="12" t="inlineStr">
        <is>
          <t>CO2 compression 3 x ~19 MW + dehydration</t>
        </is>
      </c>
      <c r="I3555" s="12" t="inlineStr">
        <is>
          <t>LV 600 V</t>
        </is>
      </c>
      <c r="J3555" s="12" t="inlineStr">
        <is>
          <t>Type TC-ER 600 V 3/C Cu XHHW-2 + ground, PVC jacket</t>
        </is>
      </c>
      <c r="K3555" s="12" t="inlineStr">
        <is>
          <t>LV|3/C+G|6</t>
        </is>
      </c>
      <c r="L3555" s="12" t="inlineStr">
        <is>
          <t>3/C+G</t>
        </is>
      </c>
      <c r="M3555" s="12" t="inlineStr">
        <is>
          <t>6</t>
        </is>
      </c>
      <c r="N3555" s="12" t="n">
        <v>1</v>
      </c>
      <c r="O3555" s="12" t="n">
        <v>1</v>
      </c>
      <c r="P3555" s="12" t="n">
        <v>480</v>
      </c>
      <c r="Q3555" s="12" t="n">
        <v>30</v>
      </c>
      <c r="R3555" s="12" t="n">
        <v>42.5</v>
      </c>
      <c r="S3555" s="12" t="inlineStr">
        <is>
          <t>Duct bank</t>
        </is>
      </c>
      <c r="T3555" s="15" t="n">
        <v>291</v>
      </c>
      <c r="U3555" s="15" t="n">
        <v>36</v>
      </c>
      <c r="V3555" s="15">
        <f>ROUNDUP((T3555+U3555+2*'Read Me'!$B$13)*(1+'Read Me'!$B$12),-1)</f>
        <v/>
      </c>
      <c r="W3555" s="15">
        <f>V3555*N3555*O3555</f>
        <v/>
      </c>
      <c r="X3555" s="12">
        <f>IF(LEFT(I3555,2)="MV",2*N3555*IF(L3555="1/C",O3555,1),0)</f>
        <v/>
      </c>
      <c r="Y3555" s="12">
        <f>IF(OR(LEFT(K3555,4)="LVAX",LEFT(K3555,6)="MV15AX",LEFT(K3555,4)="CTAX",LEFT(K3555,2)="W|"),2*N3555*O3555,0)</f>
        <v/>
      </c>
      <c r="Z3555" s="12" t="inlineStr">
        <is>
          <t>VD 2.7 %</t>
        </is>
      </c>
      <c r="AA3555" s="12">
        <f>N3555*O3555</f>
        <v/>
      </c>
    </row>
    <row r="3556">
      <c r="A3556" s="12" t="inlineStr">
        <is>
          <t>G-P-0145</t>
        </is>
      </c>
      <c r="B3556" s="12" t="inlineStr">
        <is>
          <t>G</t>
        </is>
      </c>
      <c r="C3556" s="12" t="inlineStr">
        <is>
          <t>Carbon capture</t>
        </is>
      </c>
      <c r="D3556" s="12" t="inlineStr">
        <is>
          <t>Motor 5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5" t="n">
        <v>291</v>
      </c>
      <c r="U3556" s="15" t="n">
        <v>36</v>
      </c>
      <c r="V3556" s="15">
        <f>ROUNDUP((T3556+U3556+2*'Read Me'!$B$13)*(1+'Read Me'!$B$12),-1)</f>
        <v/>
      </c>
      <c r="W3556" s="15">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G-P-0146</t>
        </is>
      </c>
      <c r="B3557" s="12" t="inlineStr">
        <is>
          <t>G</t>
        </is>
      </c>
      <c r="C3557" s="12" t="inlineStr">
        <is>
          <t>Carbon capture</t>
        </is>
      </c>
      <c r="D3557" s="12" t="inlineStr">
        <is>
          <t>Motor 6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5" t="n">
        <v>291</v>
      </c>
      <c r="U3557" s="15" t="n">
        <v>36</v>
      </c>
      <c r="V3557" s="15">
        <f>ROUNDUP((T3557+U3557+2*'Read Me'!$B$13)*(1+'Read Me'!$B$12),-1)</f>
        <v/>
      </c>
      <c r="W3557" s="15">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G-P-0147</t>
        </is>
      </c>
      <c r="B3558" s="12" t="inlineStr">
        <is>
          <t>G</t>
        </is>
      </c>
      <c r="C3558" s="12" t="inlineStr">
        <is>
          <t>Carbon capture</t>
        </is>
      </c>
      <c r="D3558" s="12" t="inlineStr">
        <is>
          <t>Motor 7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5" t="n">
        <v>291</v>
      </c>
      <c r="U3558" s="15" t="n">
        <v>36</v>
      </c>
      <c r="V3558" s="15">
        <f>ROUNDUP((T3558+U3558+2*'Read Me'!$B$13)*(1+'Read Me'!$B$12),-1)</f>
        <v/>
      </c>
      <c r="W3558" s="15">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G-P-0148</t>
        </is>
      </c>
      <c r="B3559" s="12" t="inlineStr">
        <is>
          <t>G</t>
        </is>
      </c>
      <c r="C3559" s="12" t="inlineStr">
        <is>
          <t>Carbon capture</t>
        </is>
      </c>
      <c r="D3559" s="12" t="inlineStr">
        <is>
          <t>Motor 8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5" t="n">
        <v>291</v>
      </c>
      <c r="U3559" s="15" t="n">
        <v>36</v>
      </c>
      <c r="V3559" s="15">
        <f>ROUNDUP((T3559+U3559+2*'Read Me'!$B$13)*(1+'Read Me'!$B$12),-1)</f>
        <v/>
      </c>
      <c r="W3559" s="15">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G-P-0149</t>
        </is>
      </c>
      <c r="B3560" s="12" t="inlineStr">
        <is>
          <t>G</t>
        </is>
      </c>
      <c r="C3560" s="12" t="inlineStr">
        <is>
          <t>Carbon capture</t>
        </is>
      </c>
      <c r="D3560" s="12" t="inlineStr">
        <is>
          <t>Motor 9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5" t="n">
        <v>291</v>
      </c>
      <c r="U3560" s="15" t="n">
        <v>36</v>
      </c>
      <c r="V3560" s="15">
        <f>ROUNDUP((T3560+U3560+2*'Read Me'!$B$13)*(1+'Read Me'!$B$12),-1)</f>
        <v/>
      </c>
      <c r="W3560" s="15">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G-P-0150</t>
        </is>
      </c>
      <c r="B3561" s="12" t="inlineStr">
        <is>
          <t>G</t>
        </is>
      </c>
      <c r="C3561" s="12" t="inlineStr">
        <is>
          <t>Carbon capture</t>
        </is>
      </c>
      <c r="D3561" s="12" t="inlineStr">
        <is>
          <t>Motor 10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5" t="n">
        <v>291</v>
      </c>
      <c r="U3561" s="15" t="n">
        <v>36</v>
      </c>
      <c r="V3561" s="15">
        <f>ROUNDUP((T3561+U3561+2*'Read Me'!$B$13)*(1+'Read Me'!$B$12),-1)</f>
        <v/>
      </c>
      <c r="W3561" s="15">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G-P-0151</t>
        </is>
      </c>
      <c r="B3562" s="12" t="inlineStr">
        <is>
          <t>G</t>
        </is>
      </c>
      <c r="C3562" s="12" t="inlineStr">
        <is>
          <t>Carbon capture</t>
        </is>
      </c>
      <c r="D3562" s="12" t="inlineStr">
        <is>
          <t>480 V welding receptacle 1</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Duct bank</t>
        </is>
      </c>
      <c r="T3562" s="15" t="n">
        <v>291</v>
      </c>
      <c r="U3562" s="15" t="n">
        <v>36</v>
      </c>
      <c r="V3562" s="15">
        <f>ROUNDUP((T3562+U3562+2*'Read Me'!$B$13)*(1+'Read Me'!$B$12),-1)</f>
        <v/>
      </c>
      <c r="W3562" s="15">
        <f>V3562*N3562*O3562</f>
        <v/>
      </c>
      <c r="X3562" s="12">
        <f>IF(LEFT(I3562,2)="MV",2*N3562*IF(L3562="1/C",O3562,1),0)</f>
        <v/>
      </c>
      <c r="Y3562" s="12">
        <f>IF(OR(LEFT(K3562,4)="LVAX",LEFT(K3562,6)="MV15AX",LEFT(K3562,4)="CTAX",LEFT(K3562,2)="W|"),2*N3562*O3562,0)</f>
        <v/>
      </c>
      <c r="Z3562" s="12" t="inlineStr">
        <is>
          <t>VD 1.9 %</t>
        </is>
      </c>
      <c r="AA3562" s="12">
        <f>N3562*O3562</f>
        <v/>
      </c>
    </row>
    <row r="3563">
      <c r="A3563" s="12" t="inlineStr">
        <is>
          <t>G-P-0152</t>
        </is>
      </c>
      <c r="B3563" s="12" t="inlineStr">
        <is>
          <t>G</t>
        </is>
      </c>
      <c r="C3563" s="12" t="inlineStr">
        <is>
          <t>Carbon capture</t>
        </is>
      </c>
      <c r="D3563" s="12" t="inlineStr">
        <is>
          <t>480 V welding receptacle 2</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Duct bank</t>
        </is>
      </c>
      <c r="T3563" s="15" t="n">
        <v>291</v>
      </c>
      <c r="U3563" s="15" t="n">
        <v>36</v>
      </c>
      <c r="V3563" s="15">
        <f>ROUNDUP((T3563+U3563+2*'Read Me'!$B$13)*(1+'Read Me'!$B$12),-1)</f>
        <v/>
      </c>
      <c r="W3563" s="15">
        <f>V3563*N3563*O3563</f>
        <v/>
      </c>
      <c r="X3563" s="12">
        <f>IF(LEFT(I3563,2)="MV",2*N3563*IF(L3563="1/C",O3563,1),0)</f>
        <v/>
      </c>
      <c r="Y3563" s="12">
        <f>IF(OR(LEFT(K3563,4)="LVAX",LEFT(K3563,6)="MV15AX",LEFT(K3563,4)="CTAX",LEFT(K3563,2)="W|"),2*N3563*O3563,0)</f>
        <v/>
      </c>
      <c r="Z3563" s="12" t="inlineStr">
        <is>
          <t>VD 1.9 %</t>
        </is>
      </c>
      <c r="AA3563" s="12">
        <f>N3563*O3563</f>
        <v/>
      </c>
    </row>
    <row r="3564">
      <c r="A3564" s="12" t="inlineStr">
        <is>
          <t>G-P-0153</t>
        </is>
      </c>
      <c r="B3564" s="12" t="inlineStr">
        <is>
          <t>G</t>
        </is>
      </c>
      <c r="C3564" s="12" t="inlineStr">
        <is>
          <t>Carbon capture</t>
        </is>
      </c>
      <c r="D3564" s="12" t="inlineStr">
        <is>
          <t>480 V welding receptacle 3</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60</v>
      </c>
      <c r="R3564" s="12" t="n">
        <v>76</v>
      </c>
      <c r="S3564" s="12" t="inlineStr">
        <is>
          <t>Duct bank</t>
        </is>
      </c>
      <c r="T3564" s="15" t="n">
        <v>291</v>
      </c>
      <c r="U3564" s="15" t="n">
        <v>36</v>
      </c>
      <c r="V3564" s="15">
        <f>ROUNDUP((T3564+U3564+2*'Read Me'!$B$13)*(1+'Read Me'!$B$12),-1)</f>
        <v/>
      </c>
      <c r="W3564" s="15">
        <f>V3564*N3564*O3564</f>
        <v/>
      </c>
      <c r="X3564" s="12">
        <f>IF(LEFT(I3564,2)="MV",2*N3564*IF(L3564="1/C",O3564,1),0)</f>
        <v/>
      </c>
      <c r="Y3564" s="12">
        <f>IF(OR(LEFT(K3564,4)="LVAX",LEFT(K3564,6)="MV15AX",LEFT(K3564,4)="CTAX",LEFT(K3564,2)="W|"),2*N3564*O3564,0)</f>
        <v/>
      </c>
      <c r="Z3564" s="12" t="inlineStr">
        <is>
          <t>VD 1.9 %</t>
        </is>
      </c>
      <c r="AA3564" s="12">
        <f>N3564*O3564</f>
        <v/>
      </c>
    </row>
    <row r="3565">
      <c r="A3565" s="12" t="inlineStr">
        <is>
          <t>G-P-0154</t>
        </is>
      </c>
      <c r="B3565" s="12" t="inlineStr">
        <is>
          <t>G</t>
        </is>
      </c>
      <c r="C3565" s="12" t="inlineStr">
        <is>
          <t>Carbon capture</t>
        </is>
      </c>
      <c r="D3565" s="12" t="inlineStr">
        <is>
          <t>480 V welding receptacle 4</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LV|3/C+G|2</t>
        </is>
      </c>
      <c r="L3565" s="12" t="inlineStr">
        <is>
          <t>3/C+G</t>
        </is>
      </c>
      <c r="M3565" s="12" t="inlineStr">
        <is>
          <t>2</t>
        </is>
      </c>
      <c r="N3565" s="12" t="n">
        <v>1</v>
      </c>
      <c r="O3565" s="12" t="n">
        <v>1</v>
      </c>
      <c r="P3565" s="12" t="n">
        <v>480</v>
      </c>
      <c r="Q3565" s="12" t="n">
        <v>60</v>
      </c>
      <c r="R3565" s="12" t="n">
        <v>76</v>
      </c>
      <c r="S3565" s="12" t="inlineStr">
        <is>
          <t>Duct bank</t>
        </is>
      </c>
      <c r="T3565" s="15" t="n">
        <v>291</v>
      </c>
      <c r="U3565" s="15" t="n">
        <v>36</v>
      </c>
      <c r="V3565" s="15">
        <f>ROUNDUP((T3565+U3565+2*'Read Me'!$B$13)*(1+'Read Me'!$B$12),-1)</f>
        <v/>
      </c>
      <c r="W3565" s="15">
        <f>V3565*N3565*O3565</f>
        <v/>
      </c>
      <c r="X3565" s="12">
        <f>IF(LEFT(I3565,2)="MV",2*N3565*IF(L3565="1/C",O3565,1),0)</f>
        <v/>
      </c>
      <c r="Y3565" s="12">
        <f>IF(OR(LEFT(K3565,4)="LVAX",LEFT(K3565,6)="MV15AX",LEFT(K3565,4)="CTAX",LEFT(K3565,2)="W|"),2*N3565*O3565,0)</f>
        <v/>
      </c>
      <c r="Z3565" s="12" t="inlineStr">
        <is>
          <t>VD 1.9 %</t>
        </is>
      </c>
      <c r="AA3565" s="12">
        <f>N3565*O3565</f>
        <v/>
      </c>
    </row>
    <row r="3566">
      <c r="A3566" s="12" t="inlineStr">
        <is>
          <t>G-P-0155</t>
        </is>
      </c>
      <c r="B3566" s="12" t="inlineStr">
        <is>
          <t>G</t>
        </is>
      </c>
      <c r="C3566" s="12" t="inlineStr">
        <is>
          <t>Carbon capture</t>
        </is>
      </c>
      <c r="D3566" s="12" t="inlineStr">
        <is>
          <t>Motor 1 of 2, 20 kW</t>
        </is>
      </c>
      <c r="E3566" s="12" t="inlineStr"/>
      <c r="F3566" s="12" t="inlineStr">
        <is>
          <t>CCS MV switchgear building (VFDs)</t>
        </is>
      </c>
      <c r="G3566" s="12" t="inlineStr"/>
      <c r="H3566" s="12" t="inlineStr">
        <is>
          <t>CO2 dehydration: molecular-sieve towers and regeneration heater</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20</v>
      </c>
      <c r="R3566" s="12" t="n">
        <v>28.3</v>
      </c>
      <c r="S3566" s="12" t="inlineStr">
        <is>
          <t>Duct bank</t>
        </is>
      </c>
      <c r="T3566" s="15" t="n">
        <v>305</v>
      </c>
      <c r="U3566" s="15" t="n">
        <v>160</v>
      </c>
      <c r="V3566" s="15">
        <f>ROUNDUP((T3566+U3566+2*'Read Me'!$B$13)*(1+'Read Me'!$B$12),-1)</f>
        <v/>
      </c>
      <c r="W3566" s="15">
        <f>V3566*N3566*O3566</f>
        <v/>
      </c>
      <c r="X3566" s="12">
        <f>IF(LEFT(I3566,2)="MV",2*N3566*IF(L3566="1/C",O3566,1),0)</f>
        <v/>
      </c>
      <c r="Y3566" s="12">
        <f>IF(OR(LEFT(K3566,4)="LVAX",LEFT(K3566,6)="MV15AX",LEFT(K3566,4)="CTAX",LEFT(K3566,2)="W|"),2*N3566*O3566,0)</f>
        <v/>
      </c>
      <c r="Z3566" s="12" t="inlineStr">
        <is>
          <t>VD 2.6 %</t>
        </is>
      </c>
      <c r="AA3566" s="12">
        <f>N3566*O3566</f>
        <v/>
      </c>
    </row>
    <row r="3567">
      <c r="A3567" s="12" t="inlineStr">
        <is>
          <t>G-P-0156</t>
        </is>
      </c>
      <c r="B3567" s="12" t="inlineStr">
        <is>
          <t>G</t>
        </is>
      </c>
      <c r="C3567" s="12" t="inlineStr">
        <is>
          <t>Carbon capture</t>
        </is>
      </c>
      <c r="D3567" s="12" t="inlineStr">
        <is>
          <t>Motor 2 of 2, 20 kW</t>
        </is>
      </c>
      <c r="E3567" s="12" t="inlineStr"/>
      <c r="F3567" s="12" t="inlineStr">
        <is>
          <t>CCS MV switchgear building (VFDs)</t>
        </is>
      </c>
      <c r="G3567" s="12" t="inlineStr"/>
      <c r="H3567" s="12" t="inlineStr">
        <is>
          <t>CO2 dehydration: molecular-sieve towers and regeneration heater</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20</v>
      </c>
      <c r="R3567" s="12" t="n">
        <v>28.3</v>
      </c>
      <c r="S3567" s="12" t="inlineStr">
        <is>
          <t>Duct bank</t>
        </is>
      </c>
      <c r="T3567" s="15" t="n">
        <v>305</v>
      </c>
      <c r="U3567" s="15" t="n">
        <v>160</v>
      </c>
      <c r="V3567" s="15">
        <f>ROUNDUP((T3567+U3567+2*'Read Me'!$B$13)*(1+'Read Me'!$B$12),-1)</f>
        <v/>
      </c>
      <c r="W3567" s="15">
        <f>V3567*N3567*O3567</f>
        <v/>
      </c>
      <c r="X3567" s="12">
        <f>IF(LEFT(I3567,2)="MV",2*N3567*IF(L3567="1/C",O3567,1),0)</f>
        <v/>
      </c>
      <c r="Y3567" s="12">
        <f>IF(OR(LEFT(K3567,4)="LVAX",LEFT(K3567,6)="MV15AX",LEFT(K3567,4)="CTAX",LEFT(K3567,2)="W|"),2*N3567*O3567,0)</f>
        <v/>
      </c>
      <c r="Z3567" s="12" t="inlineStr">
        <is>
          <t>VD 2.6 %</t>
        </is>
      </c>
      <c r="AA3567" s="12">
        <f>N3567*O3567</f>
        <v/>
      </c>
    </row>
    <row r="3568">
      <c r="A3568" s="12" t="inlineStr">
        <is>
          <t>G-P-0157</t>
        </is>
      </c>
      <c r="B3568" s="12" t="inlineStr">
        <is>
          <t>G</t>
        </is>
      </c>
      <c r="C3568" s="12" t="inlineStr">
        <is>
          <t>Carbon capture</t>
        </is>
      </c>
      <c r="D3568" s="12" t="inlineStr">
        <is>
          <t>Motor 1 of 1, 200 kW</t>
        </is>
      </c>
      <c r="E3568" s="12" t="inlineStr"/>
      <c r="F3568" s="12" t="inlineStr">
        <is>
          <t>CCS MV switchgear building (VFDs)</t>
        </is>
      </c>
      <c r="G3568" s="12" t="inlineStr"/>
      <c r="H3568" s="12" t="inlineStr">
        <is>
          <t>CO2 dehydration: molecular-sieve towers and regeneration heater</t>
        </is>
      </c>
      <c r="I3568" s="12" t="inlineStr">
        <is>
          <t>LV 600 V</t>
        </is>
      </c>
      <c r="J3568" s="12" t="inlineStr">
        <is>
          <t>Type TC-ER 600 V 3/C Cu XHHW-2 + ground, PVC jacket</t>
        </is>
      </c>
      <c r="K3568" s="12" t="inlineStr">
        <is>
          <t>LV|3/C+G|500</t>
        </is>
      </c>
      <c r="L3568" s="12" t="inlineStr">
        <is>
          <t>3/C+G</t>
        </is>
      </c>
      <c r="M3568" s="12" t="inlineStr">
        <is>
          <t>500 kcmil</t>
        </is>
      </c>
      <c r="N3568" s="12" t="n">
        <v>1</v>
      </c>
      <c r="O3568" s="12" t="n">
        <v>1</v>
      </c>
      <c r="P3568" s="12" t="n">
        <v>480</v>
      </c>
      <c r="Q3568" s="12" t="n">
        <v>200</v>
      </c>
      <c r="R3568" s="12" t="n">
        <v>283</v>
      </c>
      <c r="S3568" s="12" t="inlineStr">
        <is>
          <t>Duct bank</t>
        </is>
      </c>
      <c r="T3568" s="15" t="n">
        <v>305</v>
      </c>
      <c r="U3568" s="15" t="n">
        <v>160</v>
      </c>
      <c r="V3568" s="15">
        <f>ROUNDUP((T3568+U3568+2*'Read Me'!$B$13)*(1+'Read Me'!$B$12),-1)</f>
        <v/>
      </c>
      <c r="W3568" s="15">
        <f>V3568*N3568*O3568</f>
        <v/>
      </c>
      <c r="X3568" s="12">
        <f>IF(LEFT(I3568,2)="MV",2*N3568*IF(L3568="1/C",O3568,1),0)</f>
        <v/>
      </c>
      <c r="Y3568" s="12">
        <f>IF(OR(LEFT(K3568,4)="LVAX",LEFT(K3568,6)="MV15AX",LEFT(K3568,4)="CTAX",LEFT(K3568,2)="W|"),2*N3568*O3568,0)</f>
        <v/>
      </c>
      <c r="Z3568" s="12" t="inlineStr">
        <is>
          <t>VD 1.3 %</t>
        </is>
      </c>
      <c r="AA3568" s="12">
        <f>N3568*O3568</f>
        <v/>
      </c>
    </row>
    <row r="3569">
      <c r="A3569" s="12" t="inlineStr">
        <is>
          <t>G-P-0158</t>
        </is>
      </c>
      <c r="B3569" s="12" t="inlineStr">
        <is>
          <t>G</t>
        </is>
      </c>
      <c r="C3569" s="12" t="inlineStr">
        <is>
          <t>Carbon capture</t>
        </is>
      </c>
      <c r="D3569" s="12" t="inlineStr">
        <is>
          <t>MOV 1: power</t>
        </is>
      </c>
      <c r="E3569" s="12" t="inlineStr"/>
      <c r="F3569" s="12" t="inlineStr">
        <is>
          <t>CCS MV switchgear building (VFDs)</t>
        </is>
      </c>
      <c r="G3569" s="12" t="inlineStr"/>
      <c r="H3569" s="12" t="inlineStr">
        <is>
          <t>CO2 dehydration: molecular-sieve towers and regeneration heater</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Duct bank</t>
        </is>
      </c>
      <c r="T3569" s="15" t="n">
        <v>305</v>
      </c>
      <c r="U3569" s="15" t="n">
        <v>160</v>
      </c>
      <c r="V3569" s="15">
        <f>ROUNDUP((T3569+U3569+2*'Read Me'!$B$13)*(1+'Read Me'!$B$12),-1)</f>
        <v/>
      </c>
      <c r="W3569" s="15">
        <f>V3569*N3569*O3569</f>
        <v/>
      </c>
      <c r="X3569" s="12">
        <f>IF(LEFT(I3569,2)="MV",2*N3569*IF(L3569="1/C",O3569,1),0)</f>
        <v/>
      </c>
      <c r="Y3569" s="12">
        <f>IF(OR(LEFT(K3569,4)="LVAX",LEFT(K3569,6)="MV15AX",LEFT(K3569,4)="CTAX",LEFT(K3569,2)="W|"),2*N3569*O3569,0)</f>
        <v/>
      </c>
      <c r="Z3569" s="12" t="inlineStr">
        <is>
          <t>VD 0.8 %</t>
        </is>
      </c>
      <c r="AA3569" s="12">
        <f>N3569*O3569</f>
        <v/>
      </c>
    </row>
    <row r="3570">
      <c r="A3570" s="12" t="inlineStr">
        <is>
          <t>G-P-0159</t>
        </is>
      </c>
      <c r="B3570" s="12" t="inlineStr">
        <is>
          <t>G</t>
        </is>
      </c>
      <c r="C3570" s="12" t="inlineStr">
        <is>
          <t>Carbon capture</t>
        </is>
      </c>
      <c r="D3570" s="12" t="inlineStr">
        <is>
          <t>MOV 2: power</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Duct bank</t>
        </is>
      </c>
      <c r="T3570" s="15" t="n">
        <v>305</v>
      </c>
      <c r="U3570" s="15" t="n">
        <v>160</v>
      </c>
      <c r="V3570" s="15">
        <f>ROUNDUP((T3570+U3570+2*'Read Me'!$B$13)*(1+'Read Me'!$B$12),-1)</f>
        <v/>
      </c>
      <c r="W3570" s="15">
        <f>V3570*N3570*O3570</f>
        <v/>
      </c>
      <c r="X3570" s="12">
        <f>IF(LEFT(I3570,2)="MV",2*N3570*IF(L3570="1/C",O3570,1),0)</f>
        <v/>
      </c>
      <c r="Y3570" s="12">
        <f>IF(OR(LEFT(K3570,4)="LVAX",LEFT(K3570,6)="MV15AX",LEFT(K3570,4)="CTAX",LEFT(K3570,2)="W|"),2*N3570*O3570,0)</f>
        <v/>
      </c>
      <c r="Z3570" s="12" t="inlineStr">
        <is>
          <t>VD 0.8 %</t>
        </is>
      </c>
      <c r="AA3570" s="12">
        <f>N3570*O3570</f>
        <v/>
      </c>
    </row>
    <row r="3571">
      <c r="A3571" s="12" t="inlineStr">
        <is>
          <t>G-P-0160</t>
        </is>
      </c>
      <c r="B3571" s="12" t="inlineStr">
        <is>
          <t>G</t>
        </is>
      </c>
      <c r="C3571" s="12" t="inlineStr">
        <is>
          <t>Carbon capture</t>
        </is>
      </c>
      <c r="D3571" s="12" t="inlineStr">
        <is>
          <t>MOV 3: power</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Duct bank</t>
        </is>
      </c>
      <c r="T3571" s="15" t="n">
        <v>305</v>
      </c>
      <c r="U3571" s="15" t="n">
        <v>160</v>
      </c>
      <c r="V3571" s="15">
        <f>ROUNDUP((T3571+U3571+2*'Read Me'!$B$13)*(1+'Read Me'!$B$12),-1)</f>
        <v/>
      </c>
      <c r="W3571" s="15">
        <f>V3571*N3571*O3571</f>
        <v/>
      </c>
      <c r="X3571" s="12">
        <f>IF(LEFT(I3571,2)="MV",2*N3571*IF(L3571="1/C",O3571,1),0)</f>
        <v/>
      </c>
      <c r="Y3571" s="12">
        <f>IF(OR(LEFT(K3571,4)="LVAX",LEFT(K3571,6)="MV15AX",LEFT(K3571,4)="CTAX",LEFT(K3571,2)="W|"),2*N3571*O3571,0)</f>
        <v/>
      </c>
      <c r="Z3571" s="12" t="inlineStr">
        <is>
          <t>VD 0.8 %</t>
        </is>
      </c>
      <c r="AA3571" s="12">
        <f>N3571*O3571</f>
        <v/>
      </c>
    </row>
    <row r="3572">
      <c r="A3572" s="12" t="inlineStr">
        <is>
          <t>G-P-0161</t>
        </is>
      </c>
      <c r="B3572" s="12" t="inlineStr">
        <is>
          <t>G</t>
        </is>
      </c>
      <c r="C3572" s="12" t="inlineStr">
        <is>
          <t>Carbon capture</t>
        </is>
      </c>
      <c r="D3572" s="12" t="inlineStr">
        <is>
          <t>MOV 4: power</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Duct bank</t>
        </is>
      </c>
      <c r="T3572" s="15" t="n">
        <v>305</v>
      </c>
      <c r="U3572" s="15" t="n">
        <v>160</v>
      </c>
      <c r="V3572" s="15">
        <f>ROUNDUP((T3572+U3572+2*'Read Me'!$B$13)*(1+'Read Me'!$B$12),-1)</f>
        <v/>
      </c>
      <c r="W3572" s="15">
        <f>V3572*N3572*O3572</f>
        <v/>
      </c>
      <c r="X3572" s="12">
        <f>IF(LEFT(I3572,2)="MV",2*N3572*IF(L3572="1/C",O3572,1),0)</f>
        <v/>
      </c>
      <c r="Y3572" s="12">
        <f>IF(OR(LEFT(K3572,4)="LVAX",LEFT(K3572,6)="MV15AX",LEFT(K3572,4)="CTAX",LEFT(K3572,2)="W|"),2*N3572*O3572,0)</f>
        <v/>
      </c>
      <c r="Z3572" s="12" t="inlineStr">
        <is>
          <t>VD 0.8 %</t>
        </is>
      </c>
      <c r="AA3572" s="12">
        <f>N3572*O3572</f>
        <v/>
      </c>
    </row>
    <row r="3573">
      <c r="A3573" s="12" t="inlineStr">
        <is>
          <t>G-P-0162</t>
        </is>
      </c>
      <c r="B3573" s="12" t="inlineStr">
        <is>
          <t>G</t>
        </is>
      </c>
      <c r="C3573" s="12" t="inlineStr">
        <is>
          <t>Carbon capture</t>
        </is>
      </c>
      <c r="D3573" s="12" t="inlineStr">
        <is>
          <t>MOV 5: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5" t="n">
        <v>305</v>
      </c>
      <c r="U3573" s="15" t="n">
        <v>160</v>
      </c>
      <c r="V3573" s="15">
        <f>ROUNDUP((T3573+U3573+2*'Read Me'!$B$13)*(1+'Read Me'!$B$12),-1)</f>
        <v/>
      </c>
      <c r="W3573" s="15">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G-P-0163</t>
        </is>
      </c>
      <c r="B3574" s="12" t="inlineStr">
        <is>
          <t>G</t>
        </is>
      </c>
      <c r="C3574" s="12" t="inlineStr">
        <is>
          <t>Carbon capture</t>
        </is>
      </c>
      <c r="D3574" s="12" t="inlineStr">
        <is>
          <t>MOV 6: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5" t="n">
        <v>305</v>
      </c>
      <c r="U3574" s="15" t="n">
        <v>160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G-P-0164</t>
        </is>
      </c>
      <c r="B3575" s="12" t="inlineStr">
        <is>
          <t>G</t>
        </is>
      </c>
      <c r="C3575" s="12" t="inlineStr">
        <is>
          <t>Carbon capture</t>
        </is>
      </c>
      <c r="D3575" s="12" t="inlineStr">
        <is>
          <t>MOV 7: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5" t="n">
        <v>305</v>
      </c>
      <c r="U3575" s="15" t="n">
        <v>160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G-P-0165</t>
        </is>
      </c>
      <c r="B3576" s="12" t="inlineStr">
        <is>
          <t>G</t>
        </is>
      </c>
      <c r="C3576" s="12" t="inlineStr">
        <is>
          <t>Carbon capture</t>
        </is>
      </c>
      <c r="D3576" s="12" t="inlineStr">
        <is>
          <t>MOV 8: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5" t="n">
        <v>305</v>
      </c>
      <c r="U3576" s="15" t="n">
        <v>160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G-P-0166</t>
        </is>
      </c>
      <c r="B3577" s="12" t="inlineStr">
        <is>
          <t>G</t>
        </is>
      </c>
      <c r="C3577" s="12" t="inlineStr">
        <is>
          <t>Carbon capture</t>
        </is>
      </c>
      <c r="D3577" s="12" t="inlineStr">
        <is>
          <t>MOV 9: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5" t="n">
        <v>305</v>
      </c>
      <c r="U3577" s="15" t="n">
        <v>160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G-P-0167</t>
        </is>
      </c>
      <c r="B3578" s="12" t="inlineStr">
        <is>
          <t>G</t>
        </is>
      </c>
      <c r="C3578" s="12" t="inlineStr">
        <is>
          <t>Carbon capture</t>
        </is>
      </c>
      <c r="D3578" s="12" t="inlineStr">
        <is>
          <t>MOV 10: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5" t="n">
        <v>305</v>
      </c>
      <c r="U3578" s="15" t="n">
        <v>160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G-P-0168</t>
        </is>
      </c>
      <c r="B3579" s="12" t="inlineStr">
        <is>
          <t>G</t>
        </is>
      </c>
      <c r="C3579" s="12" t="inlineStr">
        <is>
          <t>Carbon capture</t>
        </is>
      </c>
      <c r="D3579" s="12" t="inlineStr">
        <is>
          <t>MOV 11: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5" t="n">
        <v>305</v>
      </c>
      <c r="U3579" s="15" t="n">
        <v>160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G-P-0169</t>
        </is>
      </c>
      <c r="B3580" s="12" t="inlineStr">
        <is>
          <t>G</t>
        </is>
      </c>
      <c r="C3580" s="12" t="inlineStr">
        <is>
          <t>Carbon capture</t>
        </is>
      </c>
      <c r="D3580" s="12" t="inlineStr">
        <is>
          <t>MOV 12: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5" t="n">
        <v>305</v>
      </c>
      <c r="U3580" s="15" t="n">
        <v>160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G-P-0170</t>
        </is>
      </c>
      <c r="B3581" s="12" t="inlineStr">
        <is>
          <t>G</t>
        </is>
      </c>
      <c r="C3581" s="12" t="inlineStr">
        <is>
          <t>Carbon capture</t>
        </is>
      </c>
      <c r="D3581" s="12" t="inlineStr">
        <is>
          <t>Motor 1 of 4, 30 kW</t>
        </is>
      </c>
      <c r="E3581" s="12" t="inlineStr"/>
      <c r="F3581" s="12" t="inlineStr">
        <is>
          <t>CCS MV switchgear building (VFDs)</t>
        </is>
      </c>
      <c r="G3581" s="12" t="inlineStr"/>
      <c r="H3581" s="12" t="inlineStr">
        <is>
          <t>CONDITIONAL: HP export compressor + metering</t>
        </is>
      </c>
      <c r="I3581" s="12" t="inlineStr">
        <is>
          <t>LV 600 V</t>
        </is>
      </c>
      <c r="J3581" s="12" t="inlineStr">
        <is>
          <t>ARMOR-X MC-HL 600 V 3/C Cu XHHW-2 + ground, CWA, black PVC (Class I Div 2)</t>
        </is>
      </c>
      <c r="K3581" s="12" t="inlineStr">
        <is>
          <t>LVAX|3/C+G|6</t>
        </is>
      </c>
      <c r="L3581" s="12" t="inlineStr">
        <is>
          <t>3/C+G</t>
        </is>
      </c>
      <c r="M3581" s="12" t="inlineStr">
        <is>
          <t>6</t>
        </is>
      </c>
      <c r="N3581" s="12" t="n">
        <v>1</v>
      </c>
      <c r="O3581" s="12" t="n">
        <v>1</v>
      </c>
      <c r="P3581" s="12" t="n">
        <v>480</v>
      </c>
      <c r="Q3581" s="12" t="n">
        <v>30</v>
      </c>
      <c r="R3581" s="12" t="n">
        <v>42.5</v>
      </c>
      <c r="S3581" s="12" t="inlineStr">
        <is>
          <t>Duct bank</t>
        </is>
      </c>
      <c r="T3581" s="15" t="n">
        <v>303</v>
      </c>
      <c r="U3581" s="15" t="n">
        <v>34</v>
      </c>
      <c r="V3581" s="15">
        <f>ROUNDUP((T3581+U3581+2*'Read Me'!$B$13)*(1+'Read Me'!$B$12),-1)</f>
        <v/>
      </c>
      <c r="W3581" s="15">
        <f>V3581*N3581*O3581</f>
        <v/>
      </c>
      <c r="X3581" s="12">
        <f>IF(LEFT(I3581,2)="MV",2*N3581*IF(L3581="1/C",O3581,1),0)</f>
        <v/>
      </c>
      <c r="Y3581" s="12">
        <f>IF(OR(LEFT(K3581,4)="LVAX",LEFT(K3581,6)="MV15AX",LEFT(K3581,4)="CTAX",LEFT(K3581,2)="W|"),2*N3581*O3581,0)</f>
        <v/>
      </c>
      <c r="Z3581" s="12" t="inlineStr">
        <is>
          <t>VD 2.8 %</t>
        </is>
      </c>
      <c r="AA3581" s="12">
        <f>N3581*O3581</f>
        <v/>
      </c>
    </row>
    <row r="3582">
      <c r="A3582" s="12" t="inlineStr">
        <is>
          <t>G-P-0171</t>
        </is>
      </c>
      <c r="B3582" s="12" t="inlineStr">
        <is>
          <t>G</t>
        </is>
      </c>
      <c r="C3582" s="12" t="inlineStr">
        <is>
          <t>Carbon capture</t>
        </is>
      </c>
      <c r="D3582" s="12" t="inlineStr">
        <is>
          <t>Motor 2 of 4, 30 kW</t>
        </is>
      </c>
      <c r="E3582" s="12" t="inlineStr"/>
      <c r="F3582" s="12" t="inlineStr">
        <is>
          <t>CCS MV switchgear building (VFDs)</t>
        </is>
      </c>
      <c r="G3582" s="12" t="inlineStr"/>
      <c r="H3582" s="12" t="inlineStr">
        <is>
          <t>CONDITIONAL: HP export compressor + metering</t>
        </is>
      </c>
      <c r="I3582" s="12" t="inlineStr">
        <is>
          <t>LV 600 V</t>
        </is>
      </c>
      <c r="J3582" s="12" t="inlineStr">
        <is>
          <t>ARMOR-X MC-HL 600 V 3/C Cu XHHW-2 + ground, CWA, black PVC (Class I Div 2)</t>
        </is>
      </c>
      <c r="K3582" s="12" t="inlineStr">
        <is>
          <t>LVAX|3/C+G|6</t>
        </is>
      </c>
      <c r="L3582" s="12" t="inlineStr">
        <is>
          <t>3/C+G</t>
        </is>
      </c>
      <c r="M3582" s="12" t="inlineStr">
        <is>
          <t>6</t>
        </is>
      </c>
      <c r="N3582" s="12" t="n">
        <v>1</v>
      </c>
      <c r="O3582" s="12" t="n">
        <v>1</v>
      </c>
      <c r="P3582" s="12" t="n">
        <v>480</v>
      </c>
      <c r="Q3582" s="12" t="n">
        <v>30</v>
      </c>
      <c r="R3582" s="12" t="n">
        <v>42.5</v>
      </c>
      <c r="S3582" s="12" t="inlineStr">
        <is>
          <t>Duct bank</t>
        </is>
      </c>
      <c r="T3582" s="15" t="n">
        <v>303</v>
      </c>
      <c r="U3582" s="15" t="n">
        <v>34</v>
      </c>
      <c r="V3582" s="15">
        <f>ROUNDUP((T3582+U3582+2*'Read Me'!$B$13)*(1+'Read Me'!$B$12),-1)</f>
        <v/>
      </c>
      <c r="W3582" s="15">
        <f>V3582*N3582*O3582</f>
        <v/>
      </c>
      <c r="X3582" s="12">
        <f>IF(LEFT(I3582,2)="MV",2*N3582*IF(L3582="1/C",O3582,1),0)</f>
        <v/>
      </c>
      <c r="Y3582" s="12">
        <f>IF(OR(LEFT(K3582,4)="LVAX",LEFT(K3582,6)="MV15AX",LEFT(K3582,4)="CTAX",LEFT(K3582,2)="W|"),2*N3582*O3582,0)</f>
        <v/>
      </c>
      <c r="Z3582" s="12" t="inlineStr">
        <is>
          <t>VD 2.8 %</t>
        </is>
      </c>
      <c r="AA3582" s="12">
        <f>N3582*O3582</f>
        <v/>
      </c>
    </row>
    <row r="3583">
      <c r="A3583" s="12" t="inlineStr">
        <is>
          <t>G-P-0172</t>
        </is>
      </c>
      <c r="B3583" s="12" t="inlineStr">
        <is>
          <t>G</t>
        </is>
      </c>
      <c r="C3583" s="12" t="inlineStr">
        <is>
          <t>Carbon capture</t>
        </is>
      </c>
      <c r="D3583" s="12" t="inlineStr">
        <is>
          <t>Motor 3 of 4, 30 kW</t>
        </is>
      </c>
      <c r="E3583" s="12" t="inlineStr"/>
      <c r="F3583" s="12" t="inlineStr">
        <is>
          <t>CCS MV switchgear building (VFDs)</t>
        </is>
      </c>
      <c r="G3583" s="12" t="inlineStr"/>
      <c r="H3583" s="12" t="inlineStr">
        <is>
          <t>CONDITIONAL: HP export compressor + metering</t>
        </is>
      </c>
      <c r="I3583" s="12" t="inlineStr">
        <is>
          <t>LV 600 V</t>
        </is>
      </c>
      <c r="J3583" s="12" t="inlineStr">
        <is>
          <t>ARMOR-X MC-HL 600 V 3/C Cu XHHW-2 + ground, CWA, black PVC (Class I Div 2)</t>
        </is>
      </c>
      <c r="K3583" s="12" t="inlineStr">
        <is>
          <t>LVAX|3/C+G|6</t>
        </is>
      </c>
      <c r="L3583" s="12" t="inlineStr">
        <is>
          <t>3/C+G</t>
        </is>
      </c>
      <c r="M3583" s="12" t="inlineStr">
        <is>
          <t>6</t>
        </is>
      </c>
      <c r="N3583" s="12" t="n">
        <v>1</v>
      </c>
      <c r="O3583" s="12" t="n">
        <v>1</v>
      </c>
      <c r="P3583" s="12" t="n">
        <v>480</v>
      </c>
      <c r="Q3583" s="12" t="n">
        <v>30</v>
      </c>
      <c r="R3583" s="12" t="n">
        <v>42.5</v>
      </c>
      <c r="S3583" s="12" t="inlineStr">
        <is>
          <t>Duct bank</t>
        </is>
      </c>
      <c r="T3583" s="15" t="n">
        <v>303</v>
      </c>
      <c r="U3583" s="15" t="n">
        <v>34</v>
      </c>
      <c r="V3583" s="15">
        <f>ROUNDUP((T3583+U3583+2*'Read Me'!$B$13)*(1+'Read Me'!$B$12),-1)</f>
        <v/>
      </c>
      <c r="W3583" s="15">
        <f>V3583*N3583*O3583</f>
        <v/>
      </c>
      <c r="X3583" s="12">
        <f>IF(LEFT(I3583,2)="MV",2*N3583*IF(L3583="1/C",O3583,1),0)</f>
        <v/>
      </c>
      <c r="Y3583" s="12">
        <f>IF(OR(LEFT(K3583,4)="LVAX",LEFT(K3583,6)="MV15AX",LEFT(K3583,4)="CTAX",LEFT(K3583,2)="W|"),2*N3583*O3583,0)</f>
        <v/>
      </c>
      <c r="Z3583" s="12" t="inlineStr">
        <is>
          <t>VD 2.8 %</t>
        </is>
      </c>
      <c r="AA3583" s="12">
        <f>N3583*O3583</f>
        <v/>
      </c>
    </row>
    <row r="3584">
      <c r="A3584" s="12" t="inlineStr">
        <is>
          <t>G-P-0173</t>
        </is>
      </c>
      <c r="B3584" s="12" t="inlineStr">
        <is>
          <t>G</t>
        </is>
      </c>
      <c r="C3584" s="12" t="inlineStr">
        <is>
          <t>Carbon capture</t>
        </is>
      </c>
      <c r="D3584" s="12" t="inlineStr">
        <is>
          <t>Motor 4 of 4, 30 kW</t>
        </is>
      </c>
      <c r="E3584" s="12" t="inlineStr"/>
      <c r="F3584" s="12" t="inlineStr">
        <is>
          <t>CCS MV switchgear building (VFDs)</t>
        </is>
      </c>
      <c r="G3584" s="12" t="inlineStr"/>
      <c r="H3584" s="12" t="inlineStr">
        <is>
          <t>CONDITIONAL: HP export compressor + metering</t>
        </is>
      </c>
      <c r="I3584" s="12" t="inlineStr">
        <is>
          <t>LV 600 V</t>
        </is>
      </c>
      <c r="J3584" s="12" t="inlineStr">
        <is>
          <t>ARMOR-X MC-HL 600 V 3/C Cu XHHW-2 + ground, CWA, black PVC (Class I Div 2)</t>
        </is>
      </c>
      <c r="K3584" s="12" t="inlineStr">
        <is>
          <t>LVAX|3/C+G|6</t>
        </is>
      </c>
      <c r="L3584" s="12" t="inlineStr">
        <is>
          <t>3/C+G</t>
        </is>
      </c>
      <c r="M3584" s="12" t="inlineStr">
        <is>
          <t>6</t>
        </is>
      </c>
      <c r="N3584" s="12" t="n">
        <v>1</v>
      </c>
      <c r="O3584" s="12" t="n">
        <v>1</v>
      </c>
      <c r="P3584" s="12" t="n">
        <v>480</v>
      </c>
      <c r="Q3584" s="12" t="n">
        <v>30</v>
      </c>
      <c r="R3584" s="12" t="n">
        <v>42.5</v>
      </c>
      <c r="S3584" s="12" t="inlineStr">
        <is>
          <t>Duct bank</t>
        </is>
      </c>
      <c r="T3584" s="15" t="n">
        <v>303</v>
      </c>
      <c r="U3584" s="15" t="n">
        <v>34</v>
      </c>
      <c r="V3584" s="15">
        <f>ROUNDUP((T3584+U3584+2*'Read Me'!$B$13)*(1+'Read Me'!$B$12),-1)</f>
        <v/>
      </c>
      <c r="W3584" s="15">
        <f>V3584*N3584*O3584</f>
        <v/>
      </c>
      <c r="X3584" s="12">
        <f>IF(LEFT(I3584,2)="MV",2*N3584*IF(L3584="1/C",O3584,1),0)</f>
        <v/>
      </c>
      <c r="Y3584" s="12">
        <f>IF(OR(LEFT(K3584,4)="LVAX",LEFT(K3584,6)="MV15AX",LEFT(K3584,4)="CTAX",LEFT(K3584,2)="W|"),2*N3584*O3584,0)</f>
        <v/>
      </c>
      <c r="Z3584" s="12" t="inlineStr">
        <is>
          <t>VD 2.8 %</t>
        </is>
      </c>
      <c r="AA3584" s="12">
        <f>N3584*O3584</f>
        <v/>
      </c>
    </row>
    <row r="3585">
      <c r="A3585" s="12" t="inlineStr">
        <is>
          <t>G-P-0174</t>
        </is>
      </c>
      <c r="B3585" s="12" t="inlineStr">
        <is>
          <t>G</t>
        </is>
      </c>
      <c r="C3585" s="12" t="inlineStr">
        <is>
          <t>Carbon capture</t>
        </is>
      </c>
      <c r="D3585" s="12" t="inlineStr">
        <is>
          <t>Motor 1 of 2, 200 kW</t>
        </is>
      </c>
      <c r="E3585" s="12" t="inlineStr"/>
      <c r="F3585" s="12" t="inlineStr">
        <is>
          <t>CCS MV switchgear building (VFDs)</t>
        </is>
      </c>
      <c r="G3585" s="12" t="inlineStr"/>
      <c r="H3585" s="12" t="inlineStr">
        <is>
          <t>DCC-A pumps + water filter</t>
        </is>
      </c>
      <c r="I3585" s="12" t="inlineStr">
        <is>
          <t>LV 600 V</t>
        </is>
      </c>
      <c r="J3585" s="12" t="inlineStr">
        <is>
          <t>Type TC-ER 600 V 3/C Cu XHHW-2 + ground, PVC jacket</t>
        </is>
      </c>
      <c r="K3585" s="12" t="inlineStr">
        <is>
          <t>LV|3/C+G|500</t>
        </is>
      </c>
      <c r="L3585" s="12" t="inlineStr">
        <is>
          <t>3/C+G</t>
        </is>
      </c>
      <c r="M3585" s="12" t="inlineStr">
        <is>
          <t>500 kcmil</t>
        </is>
      </c>
      <c r="N3585" s="12" t="n">
        <v>1</v>
      </c>
      <c r="O3585" s="12" t="n">
        <v>1</v>
      </c>
      <c r="P3585" s="12" t="n">
        <v>480</v>
      </c>
      <c r="Q3585" s="12" t="n">
        <v>200</v>
      </c>
      <c r="R3585" s="12" t="n">
        <v>283</v>
      </c>
      <c r="S3585" s="12" t="inlineStr">
        <is>
          <t>Tray</t>
        </is>
      </c>
      <c r="T3585" s="15" t="n">
        <v>569</v>
      </c>
      <c r="U3585" s="15" t="n">
        <v>134</v>
      </c>
      <c r="V3585" s="15">
        <f>ROUNDUP((T3585+U3585+2*'Read Me'!$B$13)*(1+'Read Me'!$B$12),-1)</f>
        <v/>
      </c>
      <c r="W3585" s="15">
        <f>V3585*N3585*O3585</f>
        <v/>
      </c>
      <c r="X3585" s="12">
        <f>IF(LEFT(I3585,2)="MV",2*N3585*IF(L3585="1/C",O3585,1),0)</f>
        <v/>
      </c>
      <c r="Y3585" s="12">
        <f>IF(OR(LEFT(K3585,4)="LVAX",LEFT(K3585,6)="MV15AX",LEFT(K3585,4)="CTAX",LEFT(K3585,2)="W|"),2*N3585*O3585,0)</f>
        <v/>
      </c>
      <c r="Z3585" s="12" t="inlineStr">
        <is>
          <t>VD 2.0 %</t>
        </is>
      </c>
      <c r="AA3585" s="12">
        <f>N3585*O3585</f>
        <v/>
      </c>
    </row>
    <row r="3586">
      <c r="A3586" s="12" t="inlineStr">
        <is>
          <t>G-P-0175</t>
        </is>
      </c>
      <c r="B3586" s="12" t="inlineStr">
        <is>
          <t>G</t>
        </is>
      </c>
      <c r="C3586" s="12" t="inlineStr">
        <is>
          <t>Carbon capture</t>
        </is>
      </c>
      <c r="D3586" s="12" t="inlineStr">
        <is>
          <t>Motor 2 of 2, 200 kW</t>
        </is>
      </c>
      <c r="E3586" s="12" t="inlineStr"/>
      <c r="F3586" s="12" t="inlineStr">
        <is>
          <t>CCS MV switchgear building (VFDs)</t>
        </is>
      </c>
      <c r="G3586" s="12" t="inlineStr"/>
      <c r="H3586" s="12" t="inlineStr">
        <is>
          <t>DCC-A pumps + water filter</t>
        </is>
      </c>
      <c r="I3586" s="12" t="inlineStr">
        <is>
          <t>LV 600 V</t>
        </is>
      </c>
      <c r="J3586" s="12" t="inlineStr">
        <is>
          <t>Type TC-ER 600 V 3/C Cu XHHW-2 + ground, PVC jacket</t>
        </is>
      </c>
      <c r="K3586" s="12" t="inlineStr">
        <is>
          <t>LV|3/C+G|500</t>
        </is>
      </c>
      <c r="L3586" s="12" t="inlineStr">
        <is>
          <t>3/C+G</t>
        </is>
      </c>
      <c r="M3586" s="12" t="inlineStr">
        <is>
          <t>500 kcmil</t>
        </is>
      </c>
      <c r="N3586" s="12" t="n">
        <v>1</v>
      </c>
      <c r="O3586" s="12" t="n">
        <v>1</v>
      </c>
      <c r="P3586" s="12" t="n">
        <v>480</v>
      </c>
      <c r="Q3586" s="12" t="n">
        <v>200</v>
      </c>
      <c r="R3586" s="12" t="n">
        <v>283</v>
      </c>
      <c r="S3586" s="12" t="inlineStr">
        <is>
          <t>Tray</t>
        </is>
      </c>
      <c r="T3586" s="15" t="n">
        <v>569</v>
      </c>
      <c r="U3586" s="15" t="n">
        <v>134</v>
      </c>
      <c r="V3586" s="15">
        <f>ROUNDUP((T3586+U3586+2*'Read Me'!$B$13)*(1+'Read Me'!$B$12),-1)</f>
        <v/>
      </c>
      <c r="W3586" s="15">
        <f>V3586*N3586*O3586</f>
        <v/>
      </c>
      <c r="X3586" s="12">
        <f>IF(LEFT(I3586,2)="MV",2*N3586*IF(L3586="1/C",O3586,1),0)</f>
        <v/>
      </c>
      <c r="Y3586" s="12">
        <f>IF(OR(LEFT(K3586,4)="LVAX",LEFT(K3586,6)="MV15AX",LEFT(K3586,4)="CTAX",LEFT(K3586,2)="W|"),2*N3586*O3586,0)</f>
        <v/>
      </c>
      <c r="Z3586" s="12" t="inlineStr">
        <is>
          <t>VD 2.0 %</t>
        </is>
      </c>
      <c r="AA3586" s="12">
        <f>N3586*O3586</f>
        <v/>
      </c>
    </row>
    <row r="3587">
      <c r="A3587" s="12" t="inlineStr">
        <is>
          <t>G-P-0176</t>
        </is>
      </c>
      <c r="B3587" s="12" t="inlineStr">
        <is>
          <t>G</t>
        </is>
      </c>
      <c r="C3587" s="12" t="inlineStr">
        <is>
          <t>Carbon capture</t>
        </is>
      </c>
      <c r="D3587" s="12" t="inlineStr">
        <is>
          <t>LV power feeder</t>
        </is>
      </c>
      <c r="E3587" s="12" t="inlineStr"/>
      <c r="F3587" s="12" t="inlineStr">
        <is>
          <t>CCS MV switchgear building (VFDs)</t>
        </is>
      </c>
      <c r="G3587" s="12" t="inlineStr">
        <is>
          <t>DCC-A</t>
        </is>
      </c>
      <c r="H3587" s="12" t="inlineStr">
        <is>
          <t>DCC-A: direct-contact cooler (quench)</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5" t="n">
        <v>460</v>
      </c>
      <c r="U3587" s="15" t="n">
        <v>59</v>
      </c>
      <c r="V3587" s="15">
        <f>ROUNDUP((T3587+U3587+2*'Read Me'!$B$13)*(1+'Read Me'!$B$12),-1)</f>
        <v/>
      </c>
      <c r="W3587" s="15">
        <f>V3587*N3587*O3587</f>
        <v/>
      </c>
      <c r="X3587" s="12">
        <f>IF(LEFT(I3587,2)="MV",2*N3587*IF(L3587="1/C",O3587,1),0)</f>
        <v/>
      </c>
      <c r="Y3587" s="12">
        <f>IF(OR(LEFT(K3587,4)="LVAX",LEFT(K3587,6)="MV15AX",LEFT(K3587,4)="CTAX",LEFT(K3587,2)="W|"),2*N3587*O3587,0)</f>
        <v/>
      </c>
      <c r="Z3587" s="12" t="inlineStr">
        <is>
          <t>VD 2.1 %</t>
        </is>
      </c>
      <c r="AA3587" s="12">
        <f>N3587*O3587</f>
        <v/>
      </c>
    </row>
    <row r="3588">
      <c r="A3588" s="12" t="inlineStr">
        <is>
          <t>G-P-0177</t>
        </is>
      </c>
      <c r="B3588" s="12" t="inlineStr">
        <is>
          <t>G</t>
        </is>
      </c>
      <c r="C3588" s="12" t="inlineStr">
        <is>
          <t>Carbon capture</t>
        </is>
      </c>
      <c r="D3588" s="12" t="inlineStr">
        <is>
          <t>Area / platform lighting circuit 1 (8 fixtures)</t>
        </is>
      </c>
      <c r="E3588" s="12" t="inlineStr"/>
      <c r="F3588" s="12" t="inlineStr">
        <is>
          <t>CCS MV switchgear building (VFDs)</t>
        </is>
      </c>
      <c r="G3588" s="12" t="inlineStr">
        <is>
          <t>DCC-A</t>
        </is>
      </c>
      <c r="H3588" s="12" t="inlineStr">
        <is>
          <t>DCC-A: direct-contact cooler (quench)</t>
        </is>
      </c>
      <c r="I3588" s="12" t="inlineStr">
        <is>
          <t>LV 600 V</t>
        </is>
      </c>
      <c r="J3588" s="12" t="inlineStr">
        <is>
          <t>Type TC-ER 600 V 3/C Cu XHHW-2 + ground, PVC jacket</t>
        </is>
      </c>
      <c r="K3588" s="12" t="inlineStr">
        <is>
          <t>LV|3/C+G|10</t>
        </is>
      </c>
      <c r="L3588" s="12" t="inlineStr">
        <is>
          <t>3/C+G</t>
        </is>
      </c>
      <c r="M3588" s="12" t="inlineStr">
        <is>
          <t>10</t>
        </is>
      </c>
      <c r="N3588" s="12" t="n">
        <v>1</v>
      </c>
      <c r="O3588" s="12" t="n">
        <v>1</v>
      </c>
      <c r="P3588" s="12" t="n">
        <v>480</v>
      </c>
      <c r="Q3588" s="12" t="n">
        <v>3</v>
      </c>
      <c r="R3588" s="12" t="n">
        <v>5</v>
      </c>
      <c r="S3588" s="12" t="inlineStr">
        <is>
          <t>Duct bank</t>
        </is>
      </c>
      <c r="T3588" s="15" t="n">
        <v>760</v>
      </c>
      <c r="U3588" s="15" t="n">
        <v>59</v>
      </c>
      <c r="V3588" s="15">
        <f>ROUNDUP((T3588+U3588+2*'Read Me'!$B$13)*(1+'Read Me'!$B$12),-1)</f>
        <v/>
      </c>
      <c r="W3588" s="15">
        <f>V3588*N3588*O3588</f>
        <v/>
      </c>
      <c r="X3588" s="12">
        <f>IF(LEFT(I3588,2)="MV",2*N3588*IF(L3588="1/C",O3588,1),0)</f>
        <v/>
      </c>
      <c r="Y3588" s="12">
        <f>IF(OR(LEFT(K3588,4)="LVAX",LEFT(K3588,6)="MV15AX",LEFT(K3588,4)="CTAX",LEFT(K3588,2)="W|"),2*N3588*O3588,0)</f>
        <v/>
      </c>
      <c r="Z3588" s="12" t="inlineStr">
        <is>
          <t>fixture-to-fixture run included</t>
        </is>
      </c>
      <c r="AA3588" s="12">
        <f>N3588*O3588</f>
        <v/>
      </c>
    </row>
    <row r="3589">
      <c r="A3589" s="12" t="inlineStr">
        <is>
          <t>G-P-0178</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DCC-B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5" t="n">
        <v>469</v>
      </c>
      <c r="U3589" s="15" t="n">
        <v>92</v>
      </c>
      <c r="V3589" s="15">
        <f>ROUNDUP((T3589+U3589+2*'Read Me'!$B$13)*(1+'Read Me'!$B$12),-1)</f>
        <v/>
      </c>
      <c r="W3589" s="15">
        <f>V3589*N3589*O3589</f>
        <v/>
      </c>
      <c r="X3589" s="12">
        <f>IF(LEFT(I3589,2)="MV",2*N3589*IF(L3589="1/C",O3589,1),0)</f>
        <v/>
      </c>
      <c r="Y3589" s="12">
        <f>IF(OR(LEFT(K3589,4)="LVAX",LEFT(K3589,6)="MV15AX",LEFT(K3589,4)="CTAX",LEFT(K3589,2)="W|"),2*N3589*O3589,0)</f>
        <v/>
      </c>
      <c r="Z3589" s="12" t="inlineStr">
        <is>
          <t>VD 1.6 %</t>
        </is>
      </c>
      <c r="AA3589" s="12">
        <f>N3589*O3589</f>
        <v/>
      </c>
    </row>
    <row r="3590">
      <c r="A3590" s="12" t="inlineStr">
        <is>
          <t>G-P-0179</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DCC-B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5" t="n">
        <v>469</v>
      </c>
      <c r="U3590" s="15" t="n">
        <v>92</v>
      </c>
      <c r="V3590" s="15">
        <f>ROUNDUP((T3590+U3590+2*'Read Me'!$B$13)*(1+'Read Me'!$B$12),-1)</f>
        <v/>
      </c>
      <c r="W3590" s="15">
        <f>V3590*N3590*O3590</f>
        <v/>
      </c>
      <c r="X3590" s="12">
        <f>IF(LEFT(I3590,2)="MV",2*N3590*IF(L3590="1/C",O3590,1),0)</f>
        <v/>
      </c>
      <c r="Y3590" s="12">
        <f>IF(OR(LEFT(K3590,4)="LVAX",LEFT(K3590,6)="MV15AX",LEFT(K3590,4)="CTAX",LEFT(K3590,2)="W|"),2*N3590*O3590,0)</f>
        <v/>
      </c>
      <c r="Z3590" s="12" t="inlineStr">
        <is>
          <t>VD 1.6 %</t>
        </is>
      </c>
      <c r="AA3590" s="12">
        <f>N3590*O3590</f>
        <v/>
      </c>
    </row>
    <row r="3591">
      <c r="A3591" s="12" t="inlineStr">
        <is>
          <t>G-P-0180</t>
        </is>
      </c>
      <c r="B3591" s="12" t="inlineStr">
        <is>
          <t>G</t>
        </is>
      </c>
      <c r="C3591" s="12" t="inlineStr">
        <is>
          <t>Carbon capture</t>
        </is>
      </c>
      <c r="D3591" s="12" t="inlineStr">
        <is>
          <t>LV power feeder</t>
        </is>
      </c>
      <c r="E3591" s="12" t="inlineStr"/>
      <c r="F3591" s="12" t="inlineStr">
        <is>
          <t>CCS MV switchgear building (VFDs)</t>
        </is>
      </c>
      <c r="G3591" s="12" t="inlineStr">
        <is>
          <t>DCC-B</t>
        </is>
      </c>
      <c r="H3591" s="12" t="inlineStr">
        <is>
          <t>DCC-B: direct-contact cooler (quench)</t>
        </is>
      </c>
      <c r="I3591" s="12" t="inlineStr">
        <is>
          <t>LV 600 V</t>
        </is>
      </c>
      <c r="J3591" s="12" t="inlineStr">
        <is>
          <t>Type TC-ER 600 V 3/C Cu XHHW-2 + ground, PVC jacket</t>
        </is>
      </c>
      <c r="K3591" s="12" t="inlineStr">
        <is>
          <t>LV|3/C+G|8</t>
        </is>
      </c>
      <c r="L3591" s="12" t="inlineStr">
        <is>
          <t>3/C+G</t>
        </is>
      </c>
      <c r="M3591" s="12" t="inlineStr">
        <is>
          <t>8</t>
        </is>
      </c>
      <c r="N3591" s="12" t="n">
        <v>1</v>
      </c>
      <c r="O3591" s="12" t="n">
        <v>1</v>
      </c>
      <c r="P3591" s="12" t="n">
        <v>480</v>
      </c>
      <c r="Q3591" s="12" t="n">
        <v>15</v>
      </c>
      <c r="R3591" s="12" t="n">
        <v>21.2</v>
      </c>
      <c r="S3591" s="12" t="inlineStr">
        <is>
          <t>Duct bank</t>
        </is>
      </c>
      <c r="T3591" s="15" t="n">
        <v>300</v>
      </c>
      <c r="U3591" s="15" t="n">
        <v>59</v>
      </c>
      <c r="V3591" s="15">
        <f>ROUNDUP((T3591+U3591+2*'Read Me'!$B$13)*(1+'Read Me'!$B$12),-1)</f>
        <v/>
      </c>
      <c r="W3591" s="15">
        <f>V3591*N3591*O3591</f>
        <v/>
      </c>
      <c r="X3591" s="12">
        <f>IF(LEFT(I3591,2)="MV",2*N3591*IF(L3591="1/C",O3591,1),0)</f>
        <v/>
      </c>
      <c r="Y3591" s="12">
        <f>IF(OR(LEFT(K3591,4)="LVAX",LEFT(K3591,6)="MV15AX",LEFT(K3591,4)="CTAX",LEFT(K3591,2)="W|"),2*N3591*O3591,0)</f>
        <v/>
      </c>
      <c r="Z3591" s="12" t="inlineStr">
        <is>
          <t>VD 2.3 %</t>
        </is>
      </c>
      <c r="AA3591" s="12">
        <f>N3591*O3591</f>
        <v/>
      </c>
    </row>
    <row r="3592">
      <c r="A3592" s="12" t="inlineStr">
        <is>
          <t>G-P-0181</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DCC-B</t>
        </is>
      </c>
      <c r="H3592" s="12" t="inlineStr">
        <is>
          <t>DCC-B: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5" t="n">
        <v>600</v>
      </c>
      <c r="U3592" s="15" t="n">
        <v>59</v>
      </c>
      <c r="V3592" s="15">
        <f>ROUNDUP((T3592+U3592+2*'Read Me'!$B$13)*(1+'Read Me'!$B$12),-1)</f>
        <v/>
      </c>
      <c r="W3592" s="15">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G-P-0182</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DCC-C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5" t="n">
        <v>249</v>
      </c>
      <c r="U3593" s="15" t="n">
        <v>134</v>
      </c>
      <c r="V3593" s="15">
        <f>ROUNDUP((T3593+U3593+2*'Read Me'!$B$13)*(1+'Read Me'!$B$12),-1)</f>
        <v/>
      </c>
      <c r="W3593" s="15">
        <f>V3593*N3593*O3593</f>
        <v/>
      </c>
      <c r="X3593" s="12">
        <f>IF(LEFT(I3593,2)="MV",2*N3593*IF(L3593="1/C",O3593,1),0)</f>
        <v/>
      </c>
      <c r="Y3593" s="12">
        <f>IF(OR(LEFT(K3593,4)="LVAX",LEFT(K3593,6)="MV15AX",LEFT(K3593,4)="CTAX",LEFT(K3593,2)="W|"),2*N3593*O3593,0)</f>
        <v/>
      </c>
      <c r="Z3593" s="12" t="inlineStr">
        <is>
          <t>VD 1.1 %</t>
        </is>
      </c>
      <c r="AA3593" s="12">
        <f>N3593*O3593</f>
        <v/>
      </c>
    </row>
    <row r="3594">
      <c r="A3594" s="12" t="inlineStr">
        <is>
          <t>G-P-0183</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DCC-C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5" t="n">
        <v>249</v>
      </c>
      <c r="U3594" s="15" t="n">
        <v>134</v>
      </c>
      <c r="V3594" s="15">
        <f>ROUNDUP((T3594+U3594+2*'Read Me'!$B$13)*(1+'Read Me'!$B$12),-1)</f>
        <v/>
      </c>
      <c r="W3594" s="15">
        <f>V3594*N3594*O3594</f>
        <v/>
      </c>
      <c r="X3594" s="12">
        <f>IF(LEFT(I3594,2)="MV",2*N3594*IF(L3594="1/C",O3594,1),0)</f>
        <v/>
      </c>
      <c r="Y3594" s="12">
        <f>IF(OR(LEFT(K3594,4)="LVAX",LEFT(K3594,6)="MV15AX",LEFT(K3594,4)="CTAX",LEFT(K3594,2)="W|"),2*N3594*O3594,0)</f>
        <v/>
      </c>
      <c r="Z3594" s="12" t="inlineStr">
        <is>
          <t>VD 1.1 %</t>
        </is>
      </c>
      <c r="AA3594" s="12">
        <f>N3594*O3594</f>
        <v/>
      </c>
    </row>
    <row r="3595">
      <c r="A3595" s="12" t="inlineStr">
        <is>
          <t>G-P-0184</t>
        </is>
      </c>
      <c r="B3595" s="12" t="inlineStr">
        <is>
          <t>G</t>
        </is>
      </c>
      <c r="C3595" s="12" t="inlineStr">
        <is>
          <t>Carbon capture</t>
        </is>
      </c>
      <c r="D3595" s="12" t="inlineStr">
        <is>
          <t>LV power feeder</t>
        </is>
      </c>
      <c r="E3595" s="12" t="inlineStr"/>
      <c r="F3595" s="12" t="inlineStr">
        <is>
          <t>CCS MV switchgear building (VFDs)</t>
        </is>
      </c>
      <c r="G3595" s="12" t="inlineStr">
        <is>
          <t>DCC-C</t>
        </is>
      </c>
      <c r="H3595" s="12" t="inlineStr">
        <is>
          <t>DCC-C: direct-contact cooler (quench)</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15</v>
      </c>
      <c r="R3595" s="12" t="n">
        <v>21.2</v>
      </c>
      <c r="S3595" s="12" t="inlineStr">
        <is>
          <t>Duct bank</t>
        </is>
      </c>
      <c r="T3595" s="15" t="n">
        <v>140</v>
      </c>
      <c r="U3595" s="15" t="n">
        <v>59</v>
      </c>
      <c r="V3595" s="15">
        <f>ROUNDUP((T3595+U3595+2*'Read Me'!$B$13)*(1+'Read Me'!$B$12),-1)</f>
        <v/>
      </c>
      <c r="W3595" s="15">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G-P-0185</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DCC-C</t>
        </is>
      </c>
      <c r="H3596" s="12" t="inlineStr">
        <is>
          <t>DCC-C: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5" t="n">
        <v>440</v>
      </c>
      <c r="U3596" s="15" t="n">
        <v>59</v>
      </c>
      <c r="V3596" s="15">
        <f>ROUNDUP((T3596+U3596+2*'Read Me'!$B$13)*(1+'Read Me'!$B$12),-1)</f>
        <v/>
      </c>
      <c r="W3596" s="15">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G-P-0186</t>
        </is>
      </c>
      <c r="B3597" s="12" t="inlineStr">
        <is>
          <t>G</t>
        </is>
      </c>
      <c r="C3597" s="12" t="inlineStr">
        <is>
          <t>Carbon capture</t>
        </is>
      </c>
      <c r="D3597" s="12" t="inlineStr">
        <is>
          <t>Motor 1 of 2, 15 kW</t>
        </is>
      </c>
      <c r="E3597" s="12" t="inlineStr"/>
      <c r="F3597" s="12" t="inlineStr">
        <is>
          <t>CCS MV switchgear building (VFDs)</t>
        </is>
      </c>
      <c r="G3597" s="12" t="inlineStr">
        <is>
          <t>DMP-A</t>
        </is>
      </c>
      <c r="H3597" s="12" t="inlineStr">
        <is>
          <t>DMP-A: diverter / bypass damper</t>
        </is>
      </c>
      <c r="I3597" s="12" t="inlineStr">
        <is>
          <t>LV 600 V</t>
        </is>
      </c>
      <c r="J3597" s="12" t="inlineStr">
        <is>
          <t>Type TC-ER 600 V 3/C Cu XHHW-2 + ground, PVC jacket</t>
        </is>
      </c>
      <c r="K3597" s="12" t="inlineStr">
        <is>
          <t>LV|3/C+G|4</t>
        </is>
      </c>
      <c r="L3597" s="12" t="inlineStr">
        <is>
          <t>3/C+G</t>
        </is>
      </c>
      <c r="M3597" s="12" t="inlineStr">
        <is>
          <t>4</t>
        </is>
      </c>
      <c r="N3597" s="12" t="n">
        <v>1</v>
      </c>
      <c r="O3597" s="12" t="n">
        <v>1</v>
      </c>
      <c r="P3597" s="12" t="n">
        <v>480</v>
      </c>
      <c r="Q3597" s="12" t="n">
        <v>15</v>
      </c>
      <c r="R3597" s="12" t="n">
        <v>21.2</v>
      </c>
      <c r="S3597" s="12" t="inlineStr">
        <is>
          <t>Estimated</t>
        </is>
      </c>
      <c r="T3597" s="15" t="n">
        <v>702</v>
      </c>
      <c r="U3597" s="15" t="n">
        <v>40</v>
      </c>
      <c r="V3597" s="15">
        <f>ROUNDUP((T3597+U3597+2*'Read Me'!$B$13)*(1+'Read Me'!$B$12),-1)</f>
        <v/>
      </c>
      <c r="W3597" s="15">
        <f>V3597*N3597*O3597</f>
        <v/>
      </c>
      <c r="X3597" s="12">
        <f>IF(LEFT(I3597,2)="MV",2*N3597*IF(L3597="1/C",O3597,1),0)</f>
        <v/>
      </c>
      <c r="Y3597" s="12">
        <f>IF(OR(LEFT(K3597,4)="LVAX",LEFT(K3597,6)="MV15AX",LEFT(K3597,4)="CTAX",LEFT(K3597,2)="W|"),2*N3597*O3597,0)</f>
        <v/>
      </c>
      <c r="Z3597" s="12" t="inlineStr">
        <is>
          <t>VD 1.9 %</t>
        </is>
      </c>
      <c r="AA3597" s="12">
        <f>N3597*O3597</f>
        <v/>
      </c>
    </row>
    <row r="3598">
      <c r="A3598" s="12" t="inlineStr">
        <is>
          <t>G-P-0187</t>
        </is>
      </c>
      <c r="B3598" s="12" t="inlineStr">
        <is>
          <t>G</t>
        </is>
      </c>
      <c r="C3598" s="12" t="inlineStr">
        <is>
          <t>Carbon capture</t>
        </is>
      </c>
      <c r="D3598" s="12" t="inlineStr">
        <is>
          <t>Motor 2 of 2, 15 kW</t>
        </is>
      </c>
      <c r="E3598" s="12" t="inlineStr"/>
      <c r="F3598" s="12" t="inlineStr">
        <is>
          <t>CCS MV switchgear building (VFDs)</t>
        </is>
      </c>
      <c r="G3598" s="12" t="inlineStr">
        <is>
          <t>DMP-A</t>
        </is>
      </c>
      <c r="H3598" s="12" t="inlineStr">
        <is>
          <t>DMP-A: diverter / bypass damper</t>
        </is>
      </c>
      <c r="I3598" s="12" t="inlineStr">
        <is>
          <t>LV 600 V</t>
        </is>
      </c>
      <c r="J3598" s="12" t="inlineStr">
        <is>
          <t>Type TC-ER 600 V 3/C Cu XHHW-2 + ground, PVC jacket</t>
        </is>
      </c>
      <c r="K3598" s="12" t="inlineStr">
        <is>
          <t>LV|3/C+G|4</t>
        </is>
      </c>
      <c r="L3598" s="12" t="inlineStr">
        <is>
          <t>3/C+G</t>
        </is>
      </c>
      <c r="M3598" s="12" t="inlineStr">
        <is>
          <t>4</t>
        </is>
      </c>
      <c r="N3598" s="12" t="n">
        <v>1</v>
      </c>
      <c r="O3598" s="12" t="n">
        <v>1</v>
      </c>
      <c r="P3598" s="12" t="n">
        <v>480</v>
      </c>
      <c r="Q3598" s="12" t="n">
        <v>15</v>
      </c>
      <c r="R3598" s="12" t="n">
        <v>21.2</v>
      </c>
      <c r="S3598" s="12" t="inlineStr">
        <is>
          <t>Estimated</t>
        </is>
      </c>
      <c r="T3598" s="15" t="n">
        <v>702</v>
      </c>
      <c r="U3598" s="15" t="n">
        <v>40</v>
      </c>
      <c r="V3598" s="15">
        <f>ROUNDUP((T3598+U3598+2*'Read Me'!$B$13)*(1+'Read Me'!$B$12),-1)</f>
        <v/>
      </c>
      <c r="W3598" s="15">
        <f>V3598*N3598*O3598</f>
        <v/>
      </c>
      <c r="X3598" s="12">
        <f>IF(LEFT(I3598,2)="MV",2*N3598*IF(L3598="1/C",O3598,1),0)</f>
        <v/>
      </c>
      <c r="Y3598" s="12">
        <f>IF(OR(LEFT(K3598,4)="LVAX",LEFT(K3598,6)="MV15AX",LEFT(K3598,4)="CTAX",LEFT(K3598,2)="W|"),2*N3598*O3598,0)</f>
        <v/>
      </c>
      <c r="Z3598" s="12" t="inlineStr">
        <is>
          <t>VD 1.9 %</t>
        </is>
      </c>
      <c r="AA3598" s="12">
        <f>N3598*O3598</f>
        <v/>
      </c>
    </row>
    <row r="3599">
      <c r="A3599" s="12" t="inlineStr">
        <is>
          <t>G-P-0188</t>
        </is>
      </c>
      <c r="B3599" s="12" t="inlineStr">
        <is>
          <t>G</t>
        </is>
      </c>
      <c r="C3599" s="12" t="inlineStr">
        <is>
          <t>Carbon capture</t>
        </is>
      </c>
      <c r="D3599" s="12" t="inlineStr">
        <is>
          <t>Motor 1 of 2, 15 kW</t>
        </is>
      </c>
      <c r="E3599" s="12" t="inlineStr"/>
      <c r="F3599" s="12" t="inlineStr">
        <is>
          <t>CCS MV switchgear building (VFDs)</t>
        </is>
      </c>
      <c r="G3599" s="12" t="inlineStr">
        <is>
          <t>DMP-B</t>
        </is>
      </c>
      <c r="H3599" s="12" t="inlineStr">
        <is>
          <t>DMP-B: diverter / bypass damper</t>
        </is>
      </c>
      <c r="I3599" s="12" t="inlineStr">
        <is>
          <t>LV 600 V</t>
        </is>
      </c>
      <c r="J3599" s="12" t="inlineStr">
        <is>
          <t>Type TC-ER 600 V 3/C Cu XHHW-2 + ground, PVC jacket</t>
        </is>
      </c>
      <c r="K3599" s="12" t="inlineStr">
        <is>
          <t>LV|3/C+G|6</t>
        </is>
      </c>
      <c r="L3599" s="12" t="inlineStr">
        <is>
          <t>3/C+G</t>
        </is>
      </c>
      <c r="M3599" s="12" t="inlineStr">
        <is>
          <t>6</t>
        </is>
      </c>
      <c r="N3599" s="12" t="n">
        <v>1</v>
      </c>
      <c r="O3599" s="12" t="n">
        <v>1</v>
      </c>
      <c r="P3599" s="12" t="n">
        <v>480</v>
      </c>
      <c r="Q3599" s="12" t="n">
        <v>15</v>
      </c>
      <c r="R3599" s="12" t="n">
        <v>21.2</v>
      </c>
      <c r="S3599" s="12" t="inlineStr">
        <is>
          <t>Estimated</t>
        </is>
      </c>
      <c r="T3599" s="15" t="n">
        <v>542</v>
      </c>
      <c r="U3599" s="15" t="n">
        <v>40</v>
      </c>
      <c r="V3599" s="15">
        <f>ROUNDUP((T3599+U3599+2*'Read Me'!$B$13)*(1+'Read Me'!$B$12),-1)</f>
        <v/>
      </c>
      <c r="W3599" s="15">
        <f>V3599*N3599*O3599</f>
        <v/>
      </c>
      <c r="X3599" s="12">
        <f>IF(LEFT(I3599,2)="MV",2*N3599*IF(L3599="1/C",O3599,1),0)</f>
        <v/>
      </c>
      <c r="Y3599" s="12">
        <f>IF(OR(LEFT(K3599,4)="LVAX",LEFT(K3599,6)="MV15AX",LEFT(K3599,4)="CTAX",LEFT(K3599,2)="W|"),2*N3599*O3599,0)</f>
        <v/>
      </c>
      <c r="Z3599" s="12" t="inlineStr">
        <is>
          <t>VD 2.4 %</t>
        </is>
      </c>
      <c r="AA3599" s="12">
        <f>N3599*O3599</f>
        <v/>
      </c>
    </row>
    <row r="3600">
      <c r="A3600" s="12" t="inlineStr">
        <is>
          <t>G-P-0189</t>
        </is>
      </c>
      <c r="B3600" s="12" t="inlineStr">
        <is>
          <t>G</t>
        </is>
      </c>
      <c r="C3600" s="12" t="inlineStr">
        <is>
          <t>Carbon capture</t>
        </is>
      </c>
      <c r="D3600" s="12" t="inlineStr">
        <is>
          <t>Motor 2 of 2, 15 kW</t>
        </is>
      </c>
      <c r="E3600" s="12" t="inlineStr"/>
      <c r="F3600" s="12" t="inlineStr">
        <is>
          <t>CCS MV switchgear building (VFDs)</t>
        </is>
      </c>
      <c r="G3600" s="12" t="inlineStr">
        <is>
          <t>DMP-B</t>
        </is>
      </c>
      <c r="H3600" s="12" t="inlineStr">
        <is>
          <t>DMP-B: diverter / bypass damper</t>
        </is>
      </c>
      <c r="I3600" s="12" t="inlineStr">
        <is>
          <t>LV 600 V</t>
        </is>
      </c>
      <c r="J3600" s="12" t="inlineStr">
        <is>
          <t>Type TC-ER 600 V 3/C Cu XHHW-2 + ground, PVC jacket</t>
        </is>
      </c>
      <c r="K3600" s="12" t="inlineStr">
        <is>
          <t>LV|3/C+G|6</t>
        </is>
      </c>
      <c r="L3600" s="12" t="inlineStr">
        <is>
          <t>3/C+G</t>
        </is>
      </c>
      <c r="M3600" s="12" t="inlineStr">
        <is>
          <t>6</t>
        </is>
      </c>
      <c r="N3600" s="12" t="n">
        <v>1</v>
      </c>
      <c r="O3600" s="12" t="n">
        <v>1</v>
      </c>
      <c r="P3600" s="12" t="n">
        <v>480</v>
      </c>
      <c r="Q3600" s="12" t="n">
        <v>15</v>
      </c>
      <c r="R3600" s="12" t="n">
        <v>21.2</v>
      </c>
      <c r="S3600" s="12" t="inlineStr">
        <is>
          <t>Estimated</t>
        </is>
      </c>
      <c r="T3600" s="15" t="n">
        <v>542</v>
      </c>
      <c r="U3600" s="15" t="n">
        <v>40</v>
      </c>
      <c r="V3600" s="15">
        <f>ROUNDUP((T3600+U3600+2*'Read Me'!$B$13)*(1+'Read Me'!$B$12),-1)</f>
        <v/>
      </c>
      <c r="W3600" s="15">
        <f>V3600*N3600*O3600</f>
        <v/>
      </c>
      <c r="X3600" s="12">
        <f>IF(LEFT(I3600,2)="MV",2*N3600*IF(L3600="1/C",O3600,1),0)</f>
        <v/>
      </c>
      <c r="Y3600" s="12">
        <f>IF(OR(LEFT(K3600,4)="LVAX",LEFT(K3600,6)="MV15AX",LEFT(K3600,4)="CTAX",LEFT(K3600,2)="W|"),2*N3600*O3600,0)</f>
        <v/>
      </c>
      <c r="Z3600" s="12" t="inlineStr">
        <is>
          <t>VD 2.4 %</t>
        </is>
      </c>
      <c r="AA3600" s="12">
        <f>N3600*O3600</f>
        <v/>
      </c>
    </row>
    <row r="3601">
      <c r="A3601" s="12" t="inlineStr">
        <is>
          <t>G-P-0190</t>
        </is>
      </c>
      <c r="B3601" s="12" t="inlineStr">
        <is>
          <t>G</t>
        </is>
      </c>
      <c r="C3601" s="12" t="inlineStr">
        <is>
          <t>Carbon capture</t>
        </is>
      </c>
      <c r="D3601" s="12" t="inlineStr">
        <is>
          <t>Motor 1 of 2, 15 kW</t>
        </is>
      </c>
      <c r="E3601" s="12" t="inlineStr"/>
      <c r="F3601" s="12" t="inlineStr">
        <is>
          <t>CCS MV switchgear building (VFDs)</t>
        </is>
      </c>
      <c r="G3601" s="12" t="inlineStr">
        <is>
          <t>DMP-C</t>
        </is>
      </c>
      <c r="H3601" s="12" t="inlineStr">
        <is>
          <t>DMP-C: diverter / bypass damper</t>
        </is>
      </c>
      <c r="I3601" s="12" t="inlineStr">
        <is>
          <t>LV 600 V</t>
        </is>
      </c>
      <c r="J3601" s="12" t="inlineStr">
        <is>
          <t>Type TC-ER 600 V 3/C Cu XHHW-2 + ground, PVC jacket</t>
        </is>
      </c>
      <c r="K3601" s="12" t="inlineStr">
        <is>
          <t>LV|3/C+G|8</t>
        </is>
      </c>
      <c r="L3601" s="12" t="inlineStr">
        <is>
          <t>3/C+G</t>
        </is>
      </c>
      <c r="M3601" s="12" t="inlineStr">
        <is>
          <t>8</t>
        </is>
      </c>
      <c r="N3601" s="12" t="n">
        <v>1</v>
      </c>
      <c r="O3601" s="12" t="n">
        <v>1</v>
      </c>
      <c r="P3601" s="12" t="n">
        <v>480</v>
      </c>
      <c r="Q3601" s="12" t="n">
        <v>15</v>
      </c>
      <c r="R3601" s="12" t="n">
        <v>21.2</v>
      </c>
      <c r="S3601" s="12" t="inlineStr">
        <is>
          <t>Estimated</t>
        </is>
      </c>
      <c r="T3601" s="15" t="n">
        <v>382</v>
      </c>
      <c r="U3601" s="15" t="n">
        <v>40</v>
      </c>
      <c r="V3601" s="15">
        <f>ROUNDUP((T3601+U3601+2*'Read Me'!$B$13)*(1+'Read Me'!$B$12),-1)</f>
        <v/>
      </c>
      <c r="W3601" s="15">
        <f>V3601*N3601*O3601</f>
        <v/>
      </c>
      <c r="X3601" s="12">
        <f>IF(LEFT(I3601,2)="MV",2*N3601*IF(L3601="1/C",O3601,1),0)</f>
        <v/>
      </c>
      <c r="Y3601" s="12">
        <f>IF(OR(LEFT(K3601,4)="LVAX",LEFT(K3601,6)="MV15AX",LEFT(K3601,4)="CTAX",LEFT(K3601,2)="W|"),2*N3601*O3601,0)</f>
        <v/>
      </c>
      <c r="Z3601" s="12" t="inlineStr">
        <is>
          <t>VD 2.7 %</t>
        </is>
      </c>
      <c r="AA3601" s="12">
        <f>N3601*O3601</f>
        <v/>
      </c>
    </row>
    <row r="3602">
      <c r="A3602" s="12" t="inlineStr">
        <is>
          <t>G-P-0191</t>
        </is>
      </c>
      <c r="B3602" s="12" t="inlineStr">
        <is>
          <t>G</t>
        </is>
      </c>
      <c r="C3602" s="12" t="inlineStr">
        <is>
          <t>Carbon capture</t>
        </is>
      </c>
      <c r="D3602" s="12" t="inlineStr">
        <is>
          <t>Motor 2 of 2, 15 kW</t>
        </is>
      </c>
      <c r="E3602" s="12" t="inlineStr"/>
      <c r="F3602" s="12" t="inlineStr">
        <is>
          <t>CCS MV switchgear building (VFDs)</t>
        </is>
      </c>
      <c r="G3602" s="12" t="inlineStr">
        <is>
          <t>DMP-C</t>
        </is>
      </c>
      <c r="H3602" s="12" t="inlineStr">
        <is>
          <t>DMP-C: diverter / bypass damper</t>
        </is>
      </c>
      <c r="I3602" s="12" t="inlineStr">
        <is>
          <t>LV 600 V</t>
        </is>
      </c>
      <c r="J3602" s="12" t="inlineStr">
        <is>
          <t>Type TC-ER 600 V 3/C Cu XHHW-2 + ground, PVC jacket</t>
        </is>
      </c>
      <c r="K3602" s="12" t="inlineStr">
        <is>
          <t>LV|3/C+G|8</t>
        </is>
      </c>
      <c r="L3602" s="12" t="inlineStr">
        <is>
          <t>3/C+G</t>
        </is>
      </c>
      <c r="M3602" s="12" t="inlineStr">
        <is>
          <t>8</t>
        </is>
      </c>
      <c r="N3602" s="12" t="n">
        <v>1</v>
      </c>
      <c r="O3602" s="12" t="n">
        <v>1</v>
      </c>
      <c r="P3602" s="12" t="n">
        <v>480</v>
      </c>
      <c r="Q3602" s="12" t="n">
        <v>15</v>
      </c>
      <c r="R3602" s="12" t="n">
        <v>21.2</v>
      </c>
      <c r="S3602" s="12" t="inlineStr">
        <is>
          <t>Estimated</t>
        </is>
      </c>
      <c r="T3602" s="15" t="n">
        <v>382</v>
      </c>
      <c r="U3602" s="15" t="n">
        <v>40</v>
      </c>
      <c r="V3602" s="15">
        <f>ROUNDUP((T3602+U3602+2*'Read Me'!$B$13)*(1+'Read Me'!$B$12),-1)</f>
        <v/>
      </c>
      <c r="W3602" s="15">
        <f>V3602*N3602*O3602</f>
        <v/>
      </c>
      <c r="X3602" s="12">
        <f>IF(LEFT(I3602,2)="MV",2*N3602*IF(L3602="1/C",O3602,1),0)</f>
        <v/>
      </c>
      <c r="Y3602" s="12">
        <f>IF(OR(LEFT(K3602,4)="LVAX",LEFT(K3602,6)="MV15AX",LEFT(K3602,4)="CTAX",LEFT(K3602,2)="W|"),2*N3602*O3602,0)</f>
        <v/>
      </c>
      <c r="Z3602" s="12" t="inlineStr">
        <is>
          <t>VD 2.7 %</t>
        </is>
      </c>
      <c r="AA3602" s="12">
        <f>N3602*O3602</f>
        <v/>
      </c>
    </row>
    <row r="3603">
      <c r="A3603" s="12" t="inlineStr">
        <is>
          <t>G-P-0192</t>
        </is>
      </c>
      <c r="B3603" s="12" t="inlineStr">
        <is>
          <t>G</t>
        </is>
      </c>
      <c r="C3603" s="12" t="inlineStr">
        <is>
          <t>Carbon capture</t>
        </is>
      </c>
      <c r="D3603" s="12" t="inlineStr">
        <is>
          <t>MOV 1: power</t>
        </is>
      </c>
      <c r="E3603" s="12" t="inlineStr"/>
      <c r="F3603" s="12" t="inlineStr">
        <is>
          <t>CCS MV switchgear building (VFDs)</t>
        </is>
      </c>
      <c r="G3603" s="12" t="inlineStr"/>
      <c r="H3603" s="12" t="inlineStr">
        <is>
          <t>RB-A: reboiler (LP steam from ST extraction)</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Conduit link</t>
        </is>
      </c>
      <c r="T3603" s="15" t="n">
        <v>50</v>
      </c>
      <c r="U3603" s="15" t="n">
        <v>37</v>
      </c>
      <c r="V3603" s="15">
        <f>ROUNDUP((T3603+U3603+2*'Read Me'!$B$13)*(1+'Read Me'!$B$12),-1)</f>
        <v/>
      </c>
      <c r="W3603" s="15">
        <f>V3603*N3603*O3603</f>
        <v/>
      </c>
      <c r="X3603" s="12">
        <f>IF(LEFT(I3603,2)="MV",2*N3603*IF(L3603="1/C",O3603,1),0)</f>
        <v/>
      </c>
      <c r="Y3603" s="12">
        <f>IF(OR(LEFT(K3603,4)="LVAX",LEFT(K3603,6)="MV15AX",LEFT(K3603,4)="CTAX",LEFT(K3603,2)="W|"),2*N3603*O3603,0)</f>
        <v/>
      </c>
      <c r="Z3603" s="12" t="inlineStr">
        <is>
          <t>VD 0.1 %</t>
        </is>
      </c>
      <c r="AA3603" s="12">
        <f>N3603*O3603</f>
        <v/>
      </c>
    </row>
    <row r="3604">
      <c r="A3604" s="12" t="inlineStr">
        <is>
          <t>G-P-0193</t>
        </is>
      </c>
      <c r="B3604" s="12" t="inlineStr">
        <is>
          <t>G</t>
        </is>
      </c>
      <c r="C3604" s="12" t="inlineStr">
        <is>
          <t>Carbon capture</t>
        </is>
      </c>
      <c r="D3604" s="12" t="inlineStr">
        <is>
          <t>MOV 2: power</t>
        </is>
      </c>
      <c r="E3604" s="12" t="inlineStr"/>
      <c r="F3604" s="12" t="inlineStr">
        <is>
          <t>CCS MV switchgear building (VFDs)</t>
        </is>
      </c>
      <c r="G3604" s="12" t="inlineStr"/>
      <c r="H3604" s="12" t="inlineStr">
        <is>
          <t>RB-A: reboiler (LP steam from ST extraction)</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2.5</v>
      </c>
      <c r="R3604" s="12" t="n">
        <v>3.5</v>
      </c>
      <c r="S3604" s="12" t="inlineStr">
        <is>
          <t>Conduit link</t>
        </is>
      </c>
      <c r="T3604" s="15" t="n">
        <v>50</v>
      </c>
      <c r="U3604" s="15" t="n">
        <v>37</v>
      </c>
      <c r="V3604" s="15">
        <f>ROUNDUP((T3604+U3604+2*'Read Me'!$B$13)*(1+'Read Me'!$B$12),-1)</f>
        <v/>
      </c>
      <c r="W3604" s="15">
        <f>V3604*N3604*O3604</f>
        <v/>
      </c>
      <c r="X3604" s="12">
        <f>IF(LEFT(I3604,2)="MV",2*N3604*IF(L3604="1/C",O3604,1),0)</f>
        <v/>
      </c>
      <c r="Y3604" s="12">
        <f>IF(OR(LEFT(K3604,4)="LVAX",LEFT(K3604,6)="MV15AX",LEFT(K3604,4)="CTAX",LEFT(K3604,2)="W|"),2*N3604*O3604,0)</f>
        <v/>
      </c>
      <c r="Z3604" s="12" t="inlineStr">
        <is>
          <t>VD 0.1 %</t>
        </is>
      </c>
      <c r="AA3604" s="12">
        <f>N3604*O3604</f>
        <v/>
      </c>
    </row>
    <row r="3605">
      <c r="A3605" s="12" t="inlineStr">
        <is>
          <t>G-P-0194</t>
        </is>
      </c>
      <c r="B3605" s="12" t="inlineStr">
        <is>
          <t>G</t>
        </is>
      </c>
      <c r="C3605" s="12" t="inlineStr">
        <is>
          <t>Carbon capture</t>
        </is>
      </c>
      <c r="D3605" s="12" t="inlineStr">
        <is>
          <t>MOV 3: power</t>
        </is>
      </c>
      <c r="E3605" s="12" t="inlineStr"/>
      <c r="F3605" s="12" t="inlineStr">
        <is>
          <t>CCS MV switchgear building (VFDs)</t>
        </is>
      </c>
      <c r="G3605" s="12" t="inlineStr"/>
      <c r="H3605" s="12" t="inlineStr">
        <is>
          <t>RB-A: reboiler (LP steam from ST extraction)</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2.5</v>
      </c>
      <c r="R3605" s="12" t="n">
        <v>3.5</v>
      </c>
      <c r="S3605" s="12" t="inlineStr">
        <is>
          <t>Conduit link</t>
        </is>
      </c>
      <c r="T3605" s="15" t="n">
        <v>50</v>
      </c>
      <c r="U3605" s="15" t="n">
        <v>37</v>
      </c>
      <c r="V3605" s="15">
        <f>ROUNDUP((T3605+U3605+2*'Read Me'!$B$13)*(1+'Read Me'!$B$12),-1)</f>
        <v/>
      </c>
      <c r="W3605" s="15">
        <f>V3605*N3605*O3605</f>
        <v/>
      </c>
      <c r="X3605" s="12">
        <f>IF(LEFT(I3605,2)="MV",2*N3605*IF(L3605="1/C",O3605,1),0)</f>
        <v/>
      </c>
      <c r="Y3605" s="12">
        <f>IF(OR(LEFT(K3605,4)="LVAX",LEFT(K3605,6)="MV15AX",LEFT(K3605,4)="CTAX",LEFT(K3605,2)="W|"),2*N3605*O3605,0)</f>
        <v/>
      </c>
      <c r="Z3605" s="12" t="inlineStr">
        <is>
          <t>VD 0.1 %</t>
        </is>
      </c>
      <c r="AA3605" s="12">
        <f>N3605*O3605</f>
        <v/>
      </c>
    </row>
    <row r="3606">
      <c r="A3606" s="12" t="inlineStr">
        <is>
          <t>G-P-0195</t>
        </is>
      </c>
      <c r="B3606" s="12" t="inlineStr">
        <is>
          <t>G</t>
        </is>
      </c>
      <c r="C3606" s="12" t="inlineStr">
        <is>
          <t>Carbon capture</t>
        </is>
      </c>
      <c r="D3606" s="12" t="inlineStr">
        <is>
          <t>MOV 4: power</t>
        </is>
      </c>
      <c r="E3606" s="12" t="inlineStr"/>
      <c r="F3606" s="12" t="inlineStr">
        <is>
          <t>CCS MV switchgear building (VFDs)</t>
        </is>
      </c>
      <c r="G3606" s="12" t="inlineStr"/>
      <c r="H3606" s="12" t="inlineStr">
        <is>
          <t>RB-A: reboiler (LP steam from ST extraction)</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2.5</v>
      </c>
      <c r="R3606" s="12" t="n">
        <v>3.5</v>
      </c>
      <c r="S3606" s="12" t="inlineStr">
        <is>
          <t>Conduit link</t>
        </is>
      </c>
      <c r="T3606" s="15" t="n">
        <v>50</v>
      </c>
      <c r="U3606" s="15" t="n">
        <v>37</v>
      </c>
      <c r="V3606" s="15">
        <f>ROUNDUP((T3606+U3606+2*'Read Me'!$B$13)*(1+'Read Me'!$B$12),-1)</f>
        <v/>
      </c>
      <c r="W3606" s="15">
        <f>V3606*N3606*O3606</f>
        <v/>
      </c>
      <c r="X3606" s="12">
        <f>IF(LEFT(I3606,2)="MV",2*N3606*IF(L3606="1/C",O3606,1),0)</f>
        <v/>
      </c>
      <c r="Y3606" s="12">
        <f>IF(OR(LEFT(K3606,4)="LVAX",LEFT(K3606,6)="MV15AX",LEFT(K3606,4)="CTAX",LEFT(K3606,2)="W|"),2*N3606*O3606,0)</f>
        <v/>
      </c>
      <c r="Z3606" s="12" t="inlineStr">
        <is>
          <t>VD 0.1 %</t>
        </is>
      </c>
      <c r="AA3606" s="12">
        <f>N3606*O3606</f>
        <v/>
      </c>
    </row>
    <row r="3607">
      <c r="A3607" s="12" t="inlineStr">
        <is>
          <t>G-P-0196</t>
        </is>
      </c>
      <c r="B3607" s="12" t="inlineStr">
        <is>
          <t>G</t>
        </is>
      </c>
      <c r="C3607" s="12" t="inlineStr">
        <is>
          <t>Carbon capture</t>
        </is>
      </c>
      <c r="D3607" s="12" t="inlineStr">
        <is>
          <t>LV power feeder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10</v>
      </c>
      <c r="R3607" s="12" t="n">
        <v>14.2</v>
      </c>
      <c r="S3607" s="12" t="inlineStr">
        <is>
          <t>Conduit link</t>
        </is>
      </c>
      <c r="T3607" s="15" t="n">
        <v>50</v>
      </c>
      <c r="U3607" s="15" t="n">
        <v>37</v>
      </c>
      <c r="V3607" s="15">
        <f>ROUNDUP((T3607+U3607+2*'Read Me'!$B$13)*(1+'Read Me'!$B$12),-1)</f>
        <v/>
      </c>
      <c r="W3607" s="15">
        <f>V3607*N3607*O3607</f>
        <v/>
      </c>
      <c r="X3607" s="12">
        <f>IF(LEFT(I3607,2)="MV",2*N3607*IF(L3607="1/C",O3607,1),0)</f>
        <v/>
      </c>
      <c r="Y3607" s="12">
        <f>IF(OR(LEFT(K3607,4)="LVAX",LEFT(K3607,6)="MV15AX",LEFT(K3607,4)="CTAX",LEFT(K3607,2)="W|"),2*N3607*O3607,0)</f>
        <v/>
      </c>
      <c r="Z3607" s="12" t="inlineStr">
        <is>
          <t>VD 0.6 %</t>
        </is>
      </c>
      <c r="AA3607" s="12">
        <f>N3607*O3607</f>
        <v/>
      </c>
    </row>
    <row r="3608">
      <c r="A3608" s="12" t="inlineStr">
        <is>
          <t>G-P-0197</t>
        </is>
      </c>
      <c r="B3608" s="12" t="inlineStr">
        <is>
          <t>G</t>
        </is>
      </c>
      <c r="C3608" s="12" t="inlineStr">
        <is>
          <t>Carbon capture</t>
        </is>
      </c>
      <c r="D3608" s="12" t="inlineStr">
        <is>
          <t>MOV 1: power</t>
        </is>
      </c>
      <c r="E3608" s="12" t="inlineStr"/>
      <c r="F3608" s="12" t="inlineStr">
        <is>
          <t>CCS MV switchgear building (VFDs)</t>
        </is>
      </c>
      <c r="G3608" s="12" t="inlineStr"/>
      <c r="H3608" s="12" t="inlineStr">
        <is>
          <t>RB-B: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5" t="n">
        <v>83</v>
      </c>
      <c r="U3608" s="15" t="n">
        <v>42</v>
      </c>
      <c r="V3608" s="15">
        <f>ROUNDUP((T3608+U3608+2*'Read Me'!$B$13)*(1+'Read Me'!$B$12),-1)</f>
        <v/>
      </c>
      <c r="W3608" s="15">
        <f>V3608*N3608*O3608</f>
        <v/>
      </c>
      <c r="X3608" s="12">
        <f>IF(LEFT(I3608,2)="MV",2*N3608*IF(L3608="1/C",O3608,1),0)</f>
        <v/>
      </c>
      <c r="Y3608" s="12">
        <f>IF(OR(LEFT(K3608,4)="LVAX",LEFT(K3608,6)="MV15AX",LEFT(K3608,4)="CTAX",LEFT(K3608,2)="W|"),2*N3608*O3608,0)</f>
        <v/>
      </c>
      <c r="Z3608" s="12" t="inlineStr">
        <is>
          <t>VD 0.2 %</t>
        </is>
      </c>
      <c r="AA3608" s="12">
        <f>N3608*O3608</f>
        <v/>
      </c>
    </row>
    <row r="3609">
      <c r="A3609" s="12" t="inlineStr">
        <is>
          <t>G-P-0198</t>
        </is>
      </c>
      <c r="B3609" s="12" t="inlineStr">
        <is>
          <t>G</t>
        </is>
      </c>
      <c r="C3609" s="12" t="inlineStr">
        <is>
          <t>Carbon capture</t>
        </is>
      </c>
      <c r="D3609" s="12" t="inlineStr">
        <is>
          <t>MOV 2: power</t>
        </is>
      </c>
      <c r="E3609" s="12" t="inlineStr"/>
      <c r="F3609" s="12" t="inlineStr">
        <is>
          <t>CCS MV switchgear building (VFDs)</t>
        </is>
      </c>
      <c r="G3609" s="12" t="inlineStr"/>
      <c r="H3609" s="12" t="inlineStr">
        <is>
          <t>RB-B: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5" t="n">
        <v>83</v>
      </c>
      <c r="U3609" s="15" t="n">
        <v>42</v>
      </c>
      <c r="V3609" s="15">
        <f>ROUNDUP((T3609+U3609+2*'Read Me'!$B$13)*(1+'Read Me'!$B$12),-1)</f>
        <v/>
      </c>
      <c r="W3609" s="15">
        <f>V3609*N3609*O3609</f>
        <v/>
      </c>
      <c r="X3609" s="12">
        <f>IF(LEFT(I3609,2)="MV",2*N3609*IF(L3609="1/C",O3609,1),0)</f>
        <v/>
      </c>
      <c r="Y3609" s="12">
        <f>IF(OR(LEFT(K3609,4)="LVAX",LEFT(K3609,6)="MV15AX",LEFT(K3609,4)="CTAX",LEFT(K3609,2)="W|"),2*N3609*O3609,0)</f>
        <v/>
      </c>
      <c r="Z3609" s="12" t="inlineStr">
        <is>
          <t>VD 0.2 %</t>
        </is>
      </c>
      <c r="AA3609" s="12">
        <f>N3609*O3609</f>
        <v/>
      </c>
    </row>
    <row r="3610">
      <c r="A3610" s="12" t="inlineStr">
        <is>
          <t>G-P-0199</t>
        </is>
      </c>
      <c r="B3610" s="12" t="inlineStr">
        <is>
          <t>G</t>
        </is>
      </c>
      <c r="C3610" s="12" t="inlineStr">
        <is>
          <t>Carbon capture</t>
        </is>
      </c>
      <c r="D3610" s="12" t="inlineStr">
        <is>
          <t>MOV 3: power</t>
        </is>
      </c>
      <c r="E3610" s="12" t="inlineStr"/>
      <c r="F3610" s="12" t="inlineStr">
        <is>
          <t>CCS MV switchgear building (VFDs)</t>
        </is>
      </c>
      <c r="G3610" s="12" t="inlineStr"/>
      <c r="H3610" s="12" t="inlineStr">
        <is>
          <t>RB-B: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5" t="n">
        <v>83</v>
      </c>
      <c r="U3610" s="15" t="n">
        <v>42</v>
      </c>
      <c r="V3610" s="15">
        <f>ROUNDUP((T3610+U3610+2*'Read Me'!$B$13)*(1+'Read Me'!$B$12),-1)</f>
        <v/>
      </c>
      <c r="W3610" s="15">
        <f>V3610*N3610*O3610</f>
        <v/>
      </c>
      <c r="X3610" s="12">
        <f>IF(LEFT(I3610,2)="MV",2*N3610*IF(L3610="1/C",O3610,1),0)</f>
        <v/>
      </c>
      <c r="Y3610" s="12">
        <f>IF(OR(LEFT(K3610,4)="LVAX",LEFT(K3610,6)="MV15AX",LEFT(K3610,4)="CTAX",LEFT(K3610,2)="W|"),2*N3610*O3610,0)</f>
        <v/>
      </c>
      <c r="Z3610" s="12" t="inlineStr">
        <is>
          <t>VD 0.2 %</t>
        </is>
      </c>
      <c r="AA3610" s="12">
        <f>N3610*O3610</f>
        <v/>
      </c>
    </row>
    <row r="3611">
      <c r="A3611" s="12" t="inlineStr">
        <is>
          <t>G-P-0200</t>
        </is>
      </c>
      <c r="B3611" s="12" t="inlineStr">
        <is>
          <t>G</t>
        </is>
      </c>
      <c r="C3611" s="12" t="inlineStr">
        <is>
          <t>Carbon capture</t>
        </is>
      </c>
      <c r="D3611" s="12" t="inlineStr">
        <is>
          <t>MOV 4: power</t>
        </is>
      </c>
      <c r="E3611" s="12" t="inlineStr"/>
      <c r="F3611" s="12" t="inlineStr">
        <is>
          <t>CCS MV switchgear building (VFDs)</t>
        </is>
      </c>
      <c r="G3611" s="12" t="inlineStr"/>
      <c r="H3611" s="12" t="inlineStr">
        <is>
          <t>RB-B: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5" t="n">
        <v>83</v>
      </c>
      <c r="U3611" s="15" t="n">
        <v>42</v>
      </c>
      <c r="V3611" s="15">
        <f>ROUNDUP((T3611+U3611+2*'Read Me'!$B$13)*(1+'Read Me'!$B$12),-1)</f>
        <v/>
      </c>
      <c r="W3611" s="15">
        <f>V3611*N3611*O3611</f>
        <v/>
      </c>
      <c r="X3611" s="12">
        <f>IF(LEFT(I3611,2)="MV",2*N3611*IF(L3611="1/C",O3611,1),0)</f>
        <v/>
      </c>
      <c r="Y3611" s="12">
        <f>IF(OR(LEFT(K3611,4)="LVAX",LEFT(K3611,6)="MV15AX",LEFT(K3611,4)="CTAX",LEFT(K3611,2)="W|"),2*N3611*O3611,0)</f>
        <v/>
      </c>
      <c r="Z3611" s="12" t="inlineStr">
        <is>
          <t>VD 0.2 %</t>
        </is>
      </c>
      <c r="AA3611" s="12">
        <f>N3611*O3611</f>
        <v/>
      </c>
    </row>
    <row r="3612">
      <c r="A3612" s="12" t="inlineStr">
        <is>
          <t>G-P-0201</t>
        </is>
      </c>
      <c r="B3612" s="12" t="inlineStr">
        <is>
          <t>G</t>
        </is>
      </c>
      <c r="C3612" s="12" t="inlineStr">
        <is>
          <t>Carbon capture</t>
        </is>
      </c>
      <c r="D3612" s="12" t="inlineStr">
        <is>
          <t>LV power feeder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10</v>
      </c>
      <c r="R3612" s="12" t="n">
        <v>14.2</v>
      </c>
      <c r="S3612" s="12" t="inlineStr">
        <is>
          <t>Duct bank</t>
        </is>
      </c>
      <c r="T3612" s="15" t="n">
        <v>83</v>
      </c>
      <c r="U3612" s="15" t="n">
        <v>42</v>
      </c>
      <c r="V3612" s="15">
        <f>ROUNDUP((T3612+U3612+2*'Read Me'!$B$13)*(1+'Read Me'!$B$12),-1)</f>
        <v/>
      </c>
      <c r="W3612" s="15">
        <f>V3612*N3612*O3612</f>
        <v/>
      </c>
      <c r="X3612" s="12">
        <f>IF(LEFT(I3612,2)="MV",2*N3612*IF(L3612="1/C",O3612,1),0)</f>
        <v/>
      </c>
      <c r="Y3612" s="12">
        <f>IF(OR(LEFT(K3612,4)="LVAX",LEFT(K3612,6)="MV15AX",LEFT(K3612,4)="CTAX",LEFT(K3612,2)="W|"),2*N3612*O3612,0)</f>
        <v/>
      </c>
      <c r="Z3612" s="12" t="inlineStr">
        <is>
          <t>VD 0.8 %</t>
        </is>
      </c>
      <c r="AA3612" s="12">
        <f>N3612*O3612</f>
        <v/>
      </c>
    </row>
    <row r="3613">
      <c r="A3613" s="12" t="inlineStr">
        <is>
          <t>G-P-0202</t>
        </is>
      </c>
      <c r="B3613" s="12" t="inlineStr">
        <is>
          <t>G</t>
        </is>
      </c>
      <c r="C3613" s="12" t="inlineStr">
        <is>
          <t>Carbon capture</t>
        </is>
      </c>
      <c r="D3613" s="12" t="inlineStr">
        <is>
          <t>MOV 1: power</t>
        </is>
      </c>
      <c r="E3613" s="12" t="inlineStr"/>
      <c r="F3613" s="12" t="inlineStr">
        <is>
          <t>CCS MV switchgear building (VFDs)</t>
        </is>
      </c>
      <c r="G3613" s="12" t="inlineStr"/>
      <c r="H3613" s="12" t="inlineStr">
        <is>
          <t>RB-C: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5" t="n">
        <v>45</v>
      </c>
      <c r="U3613" s="15" t="n">
        <v>47</v>
      </c>
      <c r="V3613" s="15">
        <f>ROUNDUP((T3613+U3613+2*'Read Me'!$B$13)*(1+'Read Me'!$B$12),-1)</f>
        <v/>
      </c>
      <c r="W3613" s="15">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G-P-0203</t>
        </is>
      </c>
      <c r="B3614" s="12" t="inlineStr">
        <is>
          <t>G</t>
        </is>
      </c>
      <c r="C3614" s="12" t="inlineStr">
        <is>
          <t>Carbon capture</t>
        </is>
      </c>
      <c r="D3614" s="12" t="inlineStr">
        <is>
          <t>MOV 2: power</t>
        </is>
      </c>
      <c r="E3614" s="12" t="inlineStr"/>
      <c r="F3614" s="12" t="inlineStr">
        <is>
          <t>CCS MV switchgear building (VFDs)</t>
        </is>
      </c>
      <c r="G3614" s="12" t="inlineStr"/>
      <c r="H3614" s="12" t="inlineStr">
        <is>
          <t>RB-C: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5" t="n">
        <v>45</v>
      </c>
      <c r="U3614" s="15" t="n">
        <v>47</v>
      </c>
      <c r="V3614" s="15">
        <f>ROUNDUP((T3614+U3614+2*'Read Me'!$B$13)*(1+'Read Me'!$B$12),-1)</f>
        <v/>
      </c>
      <c r="W3614" s="15">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G-P-0204</t>
        </is>
      </c>
      <c r="B3615" s="12" t="inlineStr">
        <is>
          <t>G</t>
        </is>
      </c>
      <c r="C3615" s="12" t="inlineStr">
        <is>
          <t>Carbon capture</t>
        </is>
      </c>
      <c r="D3615" s="12" t="inlineStr">
        <is>
          <t>MOV 3: power</t>
        </is>
      </c>
      <c r="E3615" s="12" t="inlineStr"/>
      <c r="F3615" s="12" t="inlineStr">
        <is>
          <t>CCS MV switchgear building (VFDs)</t>
        </is>
      </c>
      <c r="G3615" s="12" t="inlineStr"/>
      <c r="H3615" s="12" t="inlineStr">
        <is>
          <t>RB-C: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5" t="n">
        <v>45</v>
      </c>
      <c r="U3615" s="15" t="n">
        <v>47</v>
      </c>
      <c r="V3615" s="15">
        <f>ROUNDUP((T3615+U3615+2*'Read Me'!$B$13)*(1+'Read Me'!$B$12),-1)</f>
        <v/>
      </c>
      <c r="W3615" s="15">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G-P-0205</t>
        </is>
      </c>
      <c r="B3616" s="12" t="inlineStr">
        <is>
          <t>G</t>
        </is>
      </c>
      <c r="C3616" s="12" t="inlineStr">
        <is>
          <t>Carbon capture</t>
        </is>
      </c>
      <c r="D3616" s="12" t="inlineStr">
        <is>
          <t>MOV 4: power</t>
        </is>
      </c>
      <c r="E3616" s="12" t="inlineStr"/>
      <c r="F3616" s="12" t="inlineStr">
        <is>
          <t>CCS MV switchgear building (VFDs)</t>
        </is>
      </c>
      <c r="G3616" s="12" t="inlineStr"/>
      <c r="H3616" s="12" t="inlineStr">
        <is>
          <t>RB-C: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5" t="n">
        <v>45</v>
      </c>
      <c r="U3616" s="15" t="n">
        <v>47</v>
      </c>
      <c r="V3616" s="15">
        <f>ROUNDUP((T3616+U3616+2*'Read Me'!$B$13)*(1+'Read Me'!$B$12),-1)</f>
        <v/>
      </c>
      <c r="W3616" s="15">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G-P-0206</t>
        </is>
      </c>
      <c r="B3617" s="12" t="inlineStr">
        <is>
          <t>G</t>
        </is>
      </c>
      <c r="C3617" s="12" t="inlineStr">
        <is>
          <t>Carbon capture</t>
        </is>
      </c>
      <c r="D3617" s="12" t="inlineStr">
        <is>
          <t>LV power feeder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10</v>
      </c>
      <c r="R3617" s="12" t="n">
        <v>14.2</v>
      </c>
      <c r="S3617" s="12" t="inlineStr">
        <is>
          <t>Duct bank</t>
        </is>
      </c>
      <c r="T3617" s="15" t="n">
        <v>45</v>
      </c>
      <c r="U3617" s="15" t="n">
        <v>47</v>
      </c>
      <c r="V3617" s="15">
        <f>ROUNDUP((T3617+U3617+2*'Read Me'!$B$13)*(1+'Read Me'!$B$12),-1)</f>
        <v/>
      </c>
      <c r="W3617" s="15">
        <f>V3617*N3617*O3617</f>
        <v/>
      </c>
      <c r="X3617" s="12">
        <f>IF(LEFT(I3617,2)="MV",2*N3617*IF(L3617="1/C",O3617,1),0)</f>
        <v/>
      </c>
      <c r="Y3617" s="12">
        <f>IF(OR(LEFT(K3617,4)="LVAX",LEFT(K3617,6)="MV15AX",LEFT(K3617,4)="CTAX",LEFT(K3617,2)="W|"),2*N3617*O3617,0)</f>
        <v/>
      </c>
      <c r="Z3617" s="12" t="inlineStr">
        <is>
          <t>VD 0.6 %</t>
        </is>
      </c>
      <c r="AA3617" s="12">
        <f>N3617*O3617</f>
        <v/>
      </c>
    </row>
    <row r="3618">
      <c r="A3618" s="12" t="inlineStr">
        <is>
          <t>G-P-0207</t>
        </is>
      </c>
      <c r="B3618" s="12" t="inlineStr">
        <is>
          <t>G</t>
        </is>
      </c>
      <c r="C3618" s="12" t="inlineStr">
        <is>
          <t>Carbon capture</t>
        </is>
      </c>
      <c r="D3618" s="12" t="inlineStr">
        <is>
          <t>Motor 1 of 2, 15 kW</t>
        </is>
      </c>
      <c r="E3618" s="12" t="inlineStr"/>
      <c r="F3618" s="12" t="inlineStr">
        <is>
          <t>CCS MV switchgear building (VFDs)</t>
        </is>
      </c>
      <c r="G3618" s="12" t="inlineStr"/>
      <c r="H3618" s="12" t="inlineStr">
        <is>
          <t>Reclaimer (thermal, intermittent)</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15</v>
      </c>
      <c r="R3618" s="12" t="n">
        <v>21.2</v>
      </c>
      <c r="S3618" s="12" t="inlineStr">
        <is>
          <t>Duct bank</t>
        </is>
      </c>
      <c r="T3618" s="15" t="n">
        <v>45</v>
      </c>
      <c r="U3618" s="15" t="n">
        <v>57</v>
      </c>
      <c r="V3618" s="15">
        <f>ROUNDUP((T3618+U3618+2*'Read Me'!$B$13)*(1+'Read Me'!$B$12),-1)</f>
        <v/>
      </c>
      <c r="W3618" s="15">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G-P-0208</t>
        </is>
      </c>
      <c r="B3619" s="12" t="inlineStr">
        <is>
          <t>G</t>
        </is>
      </c>
      <c r="C3619" s="12" t="inlineStr">
        <is>
          <t>Carbon capture</t>
        </is>
      </c>
      <c r="D3619" s="12" t="inlineStr">
        <is>
          <t>Motor 2 of 2, 15 kW</t>
        </is>
      </c>
      <c r="E3619" s="12" t="inlineStr"/>
      <c r="F3619" s="12" t="inlineStr">
        <is>
          <t>CCS MV switchgear building (VFDs)</t>
        </is>
      </c>
      <c r="G3619" s="12" t="inlineStr"/>
      <c r="H3619" s="12" t="inlineStr">
        <is>
          <t>Reclaimer (thermal, intermittent)</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15</v>
      </c>
      <c r="R3619" s="12" t="n">
        <v>21.2</v>
      </c>
      <c r="S3619" s="12" t="inlineStr">
        <is>
          <t>Duct bank</t>
        </is>
      </c>
      <c r="T3619" s="15" t="n">
        <v>45</v>
      </c>
      <c r="U3619" s="15" t="n">
        <v>57</v>
      </c>
      <c r="V3619" s="15">
        <f>ROUNDUP((T3619+U3619+2*'Read Me'!$B$13)*(1+'Read Me'!$B$12),-1)</f>
        <v/>
      </c>
      <c r="W3619" s="15">
        <f>V3619*N3619*O3619</f>
        <v/>
      </c>
      <c r="X3619" s="12">
        <f>IF(LEFT(I3619,2)="MV",2*N3619*IF(L3619="1/C",O3619,1),0)</f>
        <v/>
      </c>
      <c r="Y3619" s="12">
        <f>IF(OR(LEFT(K3619,4)="LVAX",LEFT(K3619,6)="MV15AX",LEFT(K3619,4)="CTAX",LEFT(K3619,2)="W|"),2*N3619*O3619,0)</f>
        <v/>
      </c>
      <c r="Z3619" s="12" t="inlineStr">
        <is>
          <t>VD 1.0 %</t>
        </is>
      </c>
      <c r="AA3619" s="12">
        <f>N3619*O3619</f>
        <v/>
      </c>
    </row>
    <row r="3620">
      <c r="A3620" s="12" t="inlineStr">
        <is>
          <t>G-P-0209</t>
        </is>
      </c>
      <c r="B3620" s="12" t="inlineStr">
        <is>
          <t>G</t>
        </is>
      </c>
      <c r="C3620" s="12" t="inlineStr">
        <is>
          <t>Carbon capture</t>
        </is>
      </c>
      <c r="D3620" s="12" t="inlineStr">
        <is>
          <t>MOV 1: power</t>
        </is>
      </c>
      <c r="E3620" s="12" t="inlineStr"/>
      <c r="F3620" s="12" t="inlineStr">
        <is>
          <t>CCS MV switchgear building (VFDs)</t>
        </is>
      </c>
      <c r="G3620" s="12" t="inlineStr">
        <is>
          <t>STR-A</t>
        </is>
      </c>
      <c r="H3620" s="12" t="inlineStr">
        <is>
          <t>STR-A: stripper / regenerator (45 ft dia x 207 ft)</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5" t="n">
        <v>146</v>
      </c>
      <c r="U3620" s="15" t="n">
        <v>36</v>
      </c>
      <c r="V3620" s="15">
        <f>ROUNDUP((T3620+U3620+2*'Read Me'!$B$13)*(1+'Read Me'!$B$12),-1)</f>
        <v/>
      </c>
      <c r="W3620" s="15">
        <f>V3620*N3620*O3620</f>
        <v/>
      </c>
      <c r="X3620" s="12">
        <f>IF(LEFT(I3620,2)="MV",2*N3620*IF(L3620="1/C",O3620,1),0)</f>
        <v/>
      </c>
      <c r="Y3620" s="12">
        <f>IF(OR(LEFT(K3620,4)="LVAX",LEFT(K3620,6)="MV15AX",LEFT(K3620,4)="CTAX",LEFT(K3620,2)="W|"),2*N3620*O3620,0)</f>
        <v/>
      </c>
      <c r="Z3620" s="12" t="inlineStr">
        <is>
          <t>VD 0.3 %</t>
        </is>
      </c>
      <c r="AA3620" s="12">
        <f>N3620*O3620</f>
        <v/>
      </c>
    </row>
    <row r="3621">
      <c r="A3621" s="12" t="inlineStr">
        <is>
          <t>G-P-0210</t>
        </is>
      </c>
      <c r="B3621" s="12" t="inlineStr">
        <is>
          <t>G</t>
        </is>
      </c>
      <c r="C3621" s="12" t="inlineStr">
        <is>
          <t>Carbon capture</t>
        </is>
      </c>
      <c r="D3621" s="12" t="inlineStr">
        <is>
          <t>MOV 2: power</t>
        </is>
      </c>
      <c r="E3621" s="12" t="inlineStr"/>
      <c r="F3621" s="12" t="inlineStr">
        <is>
          <t>CCS MV switchgear building (VFDs)</t>
        </is>
      </c>
      <c r="G3621" s="12" t="inlineStr">
        <is>
          <t>STR-A</t>
        </is>
      </c>
      <c r="H3621" s="12" t="inlineStr">
        <is>
          <t>STR-A: stripper / regenerator (45 ft dia x 207 ft)</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5" t="n">
        <v>146</v>
      </c>
      <c r="U3621" s="15" t="n">
        <v>36</v>
      </c>
      <c r="V3621" s="15">
        <f>ROUNDUP((T3621+U3621+2*'Read Me'!$B$13)*(1+'Read Me'!$B$12),-1)</f>
        <v/>
      </c>
      <c r="W3621" s="15">
        <f>V3621*N3621*O3621</f>
        <v/>
      </c>
      <c r="X3621" s="12">
        <f>IF(LEFT(I3621,2)="MV",2*N3621*IF(L3621="1/C",O3621,1),0)</f>
        <v/>
      </c>
      <c r="Y3621" s="12">
        <f>IF(OR(LEFT(K3621,4)="LVAX",LEFT(K3621,6)="MV15AX",LEFT(K3621,4)="CTAX",LEFT(K3621,2)="W|"),2*N3621*O3621,0)</f>
        <v/>
      </c>
      <c r="Z3621" s="12" t="inlineStr">
        <is>
          <t>VD 0.3 %</t>
        </is>
      </c>
      <c r="AA3621" s="12">
        <f>N3621*O3621</f>
        <v/>
      </c>
    </row>
    <row r="3622">
      <c r="A3622" s="12" t="inlineStr">
        <is>
          <t>G-P-0211</t>
        </is>
      </c>
      <c r="B3622" s="12" t="inlineStr">
        <is>
          <t>G</t>
        </is>
      </c>
      <c r="C3622" s="12" t="inlineStr">
        <is>
          <t>Carbon capture</t>
        </is>
      </c>
      <c r="D3622" s="12" t="inlineStr">
        <is>
          <t>MOV 3: power</t>
        </is>
      </c>
      <c r="E3622" s="12" t="inlineStr"/>
      <c r="F3622" s="12" t="inlineStr">
        <is>
          <t>CCS MV switchgear building (VFDs)</t>
        </is>
      </c>
      <c r="G3622" s="12" t="inlineStr">
        <is>
          <t>STR-A</t>
        </is>
      </c>
      <c r="H3622" s="12" t="inlineStr">
        <is>
          <t>STR-A: stripper / regenerator (45 ft dia x 207 ft)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5" t="n">
        <v>146</v>
      </c>
      <c r="U3622" s="15" t="n">
        <v>36</v>
      </c>
      <c r="V3622" s="15">
        <f>ROUNDUP((T3622+U3622+2*'Read Me'!$B$13)*(1+'Read Me'!$B$12),-1)</f>
        <v/>
      </c>
      <c r="W3622" s="15">
        <f>V3622*N3622*O3622</f>
        <v/>
      </c>
      <c r="X3622" s="12">
        <f>IF(LEFT(I3622,2)="MV",2*N3622*IF(L3622="1/C",O3622,1),0)</f>
        <v/>
      </c>
      <c r="Y3622" s="12">
        <f>IF(OR(LEFT(K3622,4)="LVAX",LEFT(K3622,6)="MV15AX",LEFT(K3622,4)="CTAX",LEFT(K3622,2)="W|"),2*N3622*O3622,0)</f>
        <v/>
      </c>
      <c r="Z3622" s="12" t="inlineStr">
        <is>
          <t>VD 0.3 %</t>
        </is>
      </c>
      <c r="AA3622" s="12">
        <f>N3622*O3622</f>
        <v/>
      </c>
    </row>
    <row r="3623">
      <c r="A3623" s="12" t="inlineStr">
        <is>
          <t>G-P-0212</t>
        </is>
      </c>
      <c r="B3623" s="12" t="inlineStr">
        <is>
          <t>G</t>
        </is>
      </c>
      <c r="C3623" s="12" t="inlineStr">
        <is>
          <t>Carbon capture</t>
        </is>
      </c>
      <c r="D3623" s="12" t="inlineStr">
        <is>
          <t>MOV 4: power</t>
        </is>
      </c>
      <c r="E3623" s="12" t="inlineStr"/>
      <c r="F3623" s="12" t="inlineStr">
        <is>
          <t>CCS MV switchgear building (VFDs)</t>
        </is>
      </c>
      <c r="G3623" s="12" t="inlineStr">
        <is>
          <t>STR-A</t>
        </is>
      </c>
      <c r="H3623" s="12" t="inlineStr">
        <is>
          <t>STR-A: stripper / regenerator (45 ft dia x 207 ft)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2.5</v>
      </c>
      <c r="R3623" s="12" t="n">
        <v>3.5</v>
      </c>
      <c r="S3623" s="12" t="inlineStr">
        <is>
          <t>Duct bank</t>
        </is>
      </c>
      <c r="T3623" s="15" t="n">
        <v>146</v>
      </c>
      <c r="U3623" s="15" t="n">
        <v>36</v>
      </c>
      <c r="V3623" s="15">
        <f>ROUNDUP((T3623+U3623+2*'Read Me'!$B$13)*(1+'Read Me'!$B$12),-1)</f>
        <v/>
      </c>
      <c r="W3623" s="15">
        <f>V3623*N3623*O3623</f>
        <v/>
      </c>
      <c r="X3623" s="12">
        <f>IF(LEFT(I3623,2)="MV",2*N3623*IF(L3623="1/C",O3623,1),0)</f>
        <v/>
      </c>
      <c r="Y3623" s="12">
        <f>IF(OR(LEFT(K3623,4)="LVAX",LEFT(K3623,6)="MV15AX",LEFT(K3623,4)="CTAX",LEFT(K3623,2)="W|"),2*N3623*O3623,0)</f>
        <v/>
      </c>
      <c r="Z3623" s="12" t="inlineStr">
        <is>
          <t>VD 0.3 %</t>
        </is>
      </c>
      <c r="AA3623" s="12">
        <f>N3623*O3623</f>
        <v/>
      </c>
    </row>
    <row r="3624">
      <c r="A3624" s="12" t="inlineStr">
        <is>
          <t>G-P-0213</t>
        </is>
      </c>
      <c r="B3624" s="12" t="inlineStr">
        <is>
          <t>G</t>
        </is>
      </c>
      <c r="C3624" s="12" t="inlineStr">
        <is>
          <t>Carbon capture</t>
        </is>
      </c>
      <c r="D3624" s="12" t="inlineStr">
        <is>
          <t>MOV 5: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5" t="n">
        <v>146</v>
      </c>
      <c r="U3624" s="15" t="n">
        <v>36</v>
      </c>
      <c r="V3624" s="15">
        <f>ROUNDUP((T3624+U3624+2*'Read Me'!$B$13)*(1+'Read Me'!$B$12),-1)</f>
        <v/>
      </c>
      <c r="W3624" s="15">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G-P-0214</t>
        </is>
      </c>
      <c r="B3625" s="12" t="inlineStr">
        <is>
          <t>G</t>
        </is>
      </c>
      <c r="C3625" s="12" t="inlineStr">
        <is>
          <t>Carbon capture</t>
        </is>
      </c>
      <c r="D3625" s="12" t="inlineStr">
        <is>
          <t>MOV 6: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5" t="n">
        <v>146</v>
      </c>
      <c r="U3625" s="15" t="n">
        <v>36</v>
      </c>
      <c r="V3625" s="15">
        <f>ROUNDUP((T3625+U3625+2*'Read Me'!$B$13)*(1+'Read Me'!$B$12),-1)</f>
        <v/>
      </c>
      <c r="W3625" s="15">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G-P-0215</t>
        </is>
      </c>
      <c r="B3626" s="12" t="inlineStr">
        <is>
          <t>G</t>
        </is>
      </c>
      <c r="C3626" s="12" t="inlineStr">
        <is>
          <t>Carbon capture</t>
        </is>
      </c>
      <c r="D3626" s="12" t="inlineStr">
        <is>
          <t>LV power feeder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LV|3/C+G|6</t>
        </is>
      </c>
      <c r="L3626" s="12" t="inlineStr">
        <is>
          <t>3/C+G</t>
        </is>
      </c>
      <c r="M3626" s="12" t="inlineStr">
        <is>
          <t>6</t>
        </is>
      </c>
      <c r="N3626" s="12" t="n">
        <v>1</v>
      </c>
      <c r="O3626" s="12" t="n">
        <v>1</v>
      </c>
      <c r="P3626" s="12" t="n">
        <v>480</v>
      </c>
      <c r="Q3626" s="12" t="n">
        <v>30</v>
      </c>
      <c r="R3626" s="12" t="n">
        <v>42.5</v>
      </c>
      <c r="S3626" s="12" t="inlineStr">
        <is>
          <t>Duct bank</t>
        </is>
      </c>
      <c r="T3626" s="15" t="n">
        <v>146</v>
      </c>
      <c r="U3626" s="15" t="n">
        <v>36</v>
      </c>
      <c r="V3626" s="15">
        <f>ROUNDUP((T3626+U3626+2*'Read Me'!$B$13)*(1+'Read Me'!$B$12),-1)</f>
        <v/>
      </c>
      <c r="W3626" s="15">
        <f>V3626*N3626*O3626</f>
        <v/>
      </c>
      <c r="X3626" s="12">
        <f>IF(LEFT(I3626,2)="MV",2*N3626*IF(L3626="1/C",O3626,1),0)</f>
        <v/>
      </c>
      <c r="Y3626" s="12">
        <f>IF(OR(LEFT(K3626,4)="LVAX",LEFT(K3626,6)="MV15AX",LEFT(K3626,4)="CTAX",LEFT(K3626,2)="W|"),2*N3626*O3626,0)</f>
        <v/>
      </c>
      <c r="Z3626" s="12" t="inlineStr">
        <is>
          <t>VD 1.5 %</t>
        </is>
      </c>
      <c r="AA3626" s="12">
        <f>N3626*O3626</f>
        <v/>
      </c>
    </row>
    <row r="3627">
      <c r="A3627" s="12" t="inlineStr">
        <is>
          <t>G-P-0216</t>
        </is>
      </c>
      <c r="B3627" s="12" t="inlineStr">
        <is>
          <t>G</t>
        </is>
      </c>
      <c r="C3627" s="12" t="inlineStr">
        <is>
          <t>Carbon capture</t>
        </is>
      </c>
      <c r="D3627" s="12" t="inlineStr">
        <is>
          <t>Area / platform lighting circuit 1 (12 fixtures)</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3</v>
      </c>
      <c r="R3627" s="12" t="n">
        <v>5</v>
      </c>
      <c r="S3627" s="12" t="inlineStr">
        <is>
          <t>Duct bank</t>
        </is>
      </c>
      <c r="T3627" s="15" t="n">
        <v>446</v>
      </c>
      <c r="U3627" s="15" t="n">
        <v>36</v>
      </c>
      <c r="V3627" s="15">
        <f>ROUNDUP((T3627+U3627+2*'Read Me'!$B$13)*(1+'Read Me'!$B$12),-1)</f>
        <v/>
      </c>
      <c r="W3627" s="15">
        <f>V3627*N3627*O3627</f>
        <v/>
      </c>
      <c r="X3627" s="12">
        <f>IF(LEFT(I3627,2)="MV",2*N3627*IF(L3627="1/C",O3627,1),0)</f>
        <v/>
      </c>
      <c r="Y3627" s="12">
        <f>IF(OR(LEFT(K3627,4)="LVAX",LEFT(K3627,6)="MV15AX",LEFT(K3627,4)="CTAX",LEFT(K3627,2)="W|"),2*N3627*O3627,0)</f>
        <v/>
      </c>
      <c r="Z3627" s="12" t="inlineStr">
        <is>
          <t>fixture-to-fixture run included</t>
        </is>
      </c>
      <c r="AA3627" s="12">
        <f>N3627*O3627</f>
        <v/>
      </c>
    </row>
    <row r="3628">
      <c r="A3628" s="12" t="inlineStr">
        <is>
          <t>G-P-0217</t>
        </is>
      </c>
      <c r="B3628" s="12" t="inlineStr">
        <is>
          <t>G</t>
        </is>
      </c>
      <c r="C3628" s="12" t="inlineStr">
        <is>
          <t>Carbon capture</t>
        </is>
      </c>
      <c r="D3628" s="12" t="inlineStr">
        <is>
          <t>Area / platform lighting circuit 2 (8 fixtures)</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3</v>
      </c>
      <c r="R3628" s="12" t="n">
        <v>5</v>
      </c>
      <c r="S3628" s="12" t="inlineStr">
        <is>
          <t>Duct bank</t>
        </is>
      </c>
      <c r="T3628" s="15" t="n">
        <v>446</v>
      </c>
      <c r="U3628" s="15" t="n">
        <v>36</v>
      </c>
      <c r="V3628" s="15">
        <f>ROUNDUP((T3628+U3628+2*'Read Me'!$B$13)*(1+'Read Me'!$B$12),-1)</f>
        <v/>
      </c>
      <c r="W3628" s="15">
        <f>V3628*N3628*O3628</f>
        <v/>
      </c>
      <c r="X3628" s="12">
        <f>IF(LEFT(I3628,2)="MV",2*N3628*IF(L3628="1/C",O3628,1),0)</f>
        <v/>
      </c>
      <c r="Y3628" s="12">
        <f>IF(OR(LEFT(K3628,4)="LVAX",LEFT(K3628,6)="MV15AX",LEFT(K3628,4)="CTAX",LEFT(K3628,2)="W|"),2*N3628*O3628,0)</f>
        <v/>
      </c>
      <c r="Z3628" s="12" t="inlineStr">
        <is>
          <t>fixture-to-fixture run included</t>
        </is>
      </c>
      <c r="AA3628" s="12">
        <f>N3628*O3628</f>
        <v/>
      </c>
    </row>
    <row r="3629">
      <c r="A3629" s="12" t="inlineStr">
        <is>
          <t>G-P-0218</t>
        </is>
      </c>
      <c r="B3629" s="12" t="inlineStr">
        <is>
          <t>G</t>
        </is>
      </c>
      <c r="C3629" s="12" t="inlineStr">
        <is>
          <t>Carbon capture</t>
        </is>
      </c>
      <c r="D3629" s="12" t="inlineStr">
        <is>
          <t>480 V welding receptacle 1</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146</v>
      </c>
      <c r="U3629" s="15" t="n">
        <v>36</v>
      </c>
      <c r="V3629" s="15">
        <f>ROUNDUP((T3629+U3629+2*'Read Me'!$B$13)*(1+'Read Me'!$B$12),-1)</f>
        <v/>
      </c>
      <c r="W3629" s="15">
        <f>V3629*N3629*O3629</f>
        <v/>
      </c>
      <c r="X3629" s="12">
        <f>IF(LEFT(I3629,2)="MV",2*N3629*IF(L3629="1/C",O3629,1),0)</f>
        <v/>
      </c>
      <c r="Y3629" s="12">
        <f>IF(OR(LEFT(K3629,4)="LVAX",LEFT(K3629,6)="MV15AX",LEFT(K3629,4)="CTAX",LEFT(K3629,2)="W|"),2*N3629*O3629,0)</f>
        <v/>
      </c>
      <c r="Z3629" s="12" t="inlineStr">
        <is>
          <t>VD 1.1 %</t>
        </is>
      </c>
      <c r="AA3629" s="12">
        <f>N3629*O3629</f>
        <v/>
      </c>
    </row>
    <row r="3630">
      <c r="A3630" s="12" t="inlineStr">
        <is>
          <t>G-P-0219</t>
        </is>
      </c>
      <c r="B3630" s="12" t="inlineStr">
        <is>
          <t>G</t>
        </is>
      </c>
      <c r="C3630" s="12" t="inlineStr">
        <is>
          <t>Carbon capture</t>
        </is>
      </c>
      <c r="D3630" s="12" t="inlineStr">
        <is>
          <t>480 V welding receptacle 2</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146</v>
      </c>
      <c r="U3630" s="15" t="n">
        <v>36</v>
      </c>
      <c r="V3630" s="15">
        <f>ROUNDUP((T3630+U3630+2*'Read Me'!$B$13)*(1+'Read Me'!$B$12),-1)</f>
        <v/>
      </c>
      <c r="W3630" s="15">
        <f>V3630*N3630*O3630</f>
        <v/>
      </c>
      <c r="X3630" s="12">
        <f>IF(LEFT(I3630,2)="MV",2*N3630*IF(L3630="1/C",O3630,1),0)</f>
        <v/>
      </c>
      <c r="Y3630" s="12">
        <f>IF(OR(LEFT(K3630,4)="LVAX",LEFT(K3630,6)="MV15AX",LEFT(K3630,4)="CTAX",LEFT(K3630,2)="W|"),2*N3630*O3630,0)</f>
        <v/>
      </c>
      <c r="Z3630" s="12" t="inlineStr">
        <is>
          <t>VD 1.1 %</t>
        </is>
      </c>
      <c r="AA3630" s="12">
        <f>N3630*O3630</f>
        <v/>
      </c>
    </row>
    <row r="3631">
      <c r="A3631" s="12" t="inlineStr">
        <is>
          <t>G-P-0220</t>
        </is>
      </c>
      <c r="B3631" s="12" t="inlineStr">
        <is>
          <t>G</t>
        </is>
      </c>
      <c r="C3631" s="12" t="inlineStr">
        <is>
          <t>Carbon capture</t>
        </is>
      </c>
      <c r="D3631" s="12" t="inlineStr">
        <is>
          <t>480 V welding receptacle 3</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LV|3/C+G|2</t>
        </is>
      </c>
      <c r="L3631" s="12" t="inlineStr">
        <is>
          <t>3/C+G</t>
        </is>
      </c>
      <c r="M3631" s="12" t="inlineStr">
        <is>
          <t>2</t>
        </is>
      </c>
      <c r="N3631" s="12" t="n">
        <v>1</v>
      </c>
      <c r="O3631" s="12" t="n">
        <v>1</v>
      </c>
      <c r="P3631" s="12" t="n">
        <v>480</v>
      </c>
      <c r="Q3631" s="12" t="n">
        <v>60</v>
      </c>
      <c r="R3631" s="12" t="n">
        <v>76</v>
      </c>
      <c r="S3631" s="12" t="inlineStr">
        <is>
          <t>Duct bank</t>
        </is>
      </c>
      <c r="T3631" s="15" t="n">
        <v>146</v>
      </c>
      <c r="U3631" s="15" t="n">
        <v>36</v>
      </c>
      <c r="V3631" s="15">
        <f>ROUNDUP((T3631+U3631+2*'Read Me'!$B$13)*(1+'Read Me'!$B$12),-1)</f>
        <v/>
      </c>
      <c r="W3631" s="15">
        <f>V3631*N3631*O3631</f>
        <v/>
      </c>
      <c r="X3631" s="12">
        <f>IF(LEFT(I3631,2)="MV",2*N3631*IF(L3631="1/C",O3631,1),0)</f>
        <v/>
      </c>
      <c r="Y3631" s="12">
        <f>IF(OR(LEFT(K3631,4)="LVAX",LEFT(K3631,6)="MV15AX",LEFT(K3631,4)="CTAX",LEFT(K3631,2)="W|"),2*N3631*O3631,0)</f>
        <v/>
      </c>
      <c r="Z3631" s="12" t="inlineStr">
        <is>
          <t>VD 1.1 %</t>
        </is>
      </c>
      <c r="AA3631" s="12">
        <f>N3631*O3631</f>
        <v/>
      </c>
    </row>
    <row r="3632">
      <c r="A3632" s="12" t="inlineStr">
        <is>
          <t>G-P-0221</t>
        </is>
      </c>
      <c r="B3632" s="12" t="inlineStr">
        <is>
          <t>G</t>
        </is>
      </c>
      <c r="C3632" s="12" t="inlineStr">
        <is>
          <t>Carbon capture</t>
        </is>
      </c>
      <c r="D3632" s="12" t="inlineStr">
        <is>
          <t>480 V welding receptacle 4</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LV|3/C+G|2</t>
        </is>
      </c>
      <c r="L3632" s="12" t="inlineStr">
        <is>
          <t>3/C+G</t>
        </is>
      </c>
      <c r="M3632" s="12" t="inlineStr">
        <is>
          <t>2</t>
        </is>
      </c>
      <c r="N3632" s="12" t="n">
        <v>1</v>
      </c>
      <c r="O3632" s="12" t="n">
        <v>1</v>
      </c>
      <c r="P3632" s="12" t="n">
        <v>480</v>
      </c>
      <c r="Q3632" s="12" t="n">
        <v>60</v>
      </c>
      <c r="R3632" s="12" t="n">
        <v>76</v>
      </c>
      <c r="S3632" s="12" t="inlineStr">
        <is>
          <t>Duct bank</t>
        </is>
      </c>
      <c r="T3632" s="15" t="n">
        <v>146</v>
      </c>
      <c r="U3632" s="15" t="n">
        <v>36</v>
      </c>
      <c r="V3632" s="15">
        <f>ROUNDUP((T3632+U3632+2*'Read Me'!$B$13)*(1+'Read Me'!$B$12),-1)</f>
        <v/>
      </c>
      <c r="W3632" s="15">
        <f>V3632*N3632*O3632</f>
        <v/>
      </c>
      <c r="X3632" s="12">
        <f>IF(LEFT(I3632,2)="MV",2*N3632*IF(L3632="1/C",O3632,1),0)</f>
        <v/>
      </c>
      <c r="Y3632" s="12">
        <f>IF(OR(LEFT(K3632,4)="LVAX",LEFT(K3632,6)="MV15AX",LEFT(K3632,4)="CTAX",LEFT(K3632,2)="W|"),2*N3632*O3632,0)</f>
        <v/>
      </c>
      <c r="Z3632" s="12" t="inlineStr">
        <is>
          <t>VD 1.1 %</t>
        </is>
      </c>
      <c r="AA3632" s="12">
        <f>N3632*O3632</f>
        <v/>
      </c>
    </row>
    <row r="3633">
      <c r="A3633" s="12" t="inlineStr">
        <is>
          <t>G-P-0222</t>
        </is>
      </c>
      <c r="B3633" s="12" t="inlineStr">
        <is>
          <t>G</t>
        </is>
      </c>
      <c r="C3633" s="12" t="inlineStr">
        <is>
          <t>Carbon capture</t>
        </is>
      </c>
      <c r="D3633" s="12" t="inlineStr">
        <is>
          <t>MOV 1: power</t>
        </is>
      </c>
      <c r="E3633" s="12" t="inlineStr"/>
      <c r="F3633" s="12" t="inlineStr">
        <is>
          <t>CCS MV switchgear building (VFDs)</t>
        </is>
      </c>
      <c r="G3633" s="12" t="inlineStr">
        <is>
          <t>STR-B</t>
        </is>
      </c>
      <c r="H3633" s="12" t="inlineStr">
        <is>
          <t>STR-B: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5" t="n">
        <v>146</v>
      </c>
      <c r="U3633" s="15" t="n">
        <v>36</v>
      </c>
      <c r="V3633" s="15">
        <f>ROUNDUP((T3633+U3633+2*'Read Me'!$B$13)*(1+'Read Me'!$B$12),-1)</f>
        <v/>
      </c>
      <c r="W3633" s="15">
        <f>V3633*N3633*O3633</f>
        <v/>
      </c>
      <c r="X3633" s="12">
        <f>IF(LEFT(I3633,2)="MV",2*N3633*IF(L3633="1/C",O3633,1),0)</f>
        <v/>
      </c>
      <c r="Y3633" s="12">
        <f>IF(OR(LEFT(K3633,4)="LVAX",LEFT(K3633,6)="MV15AX",LEFT(K3633,4)="CTAX",LEFT(K3633,2)="W|"),2*N3633*O3633,0)</f>
        <v/>
      </c>
      <c r="Z3633" s="12" t="inlineStr">
        <is>
          <t>VD 0.3 %</t>
        </is>
      </c>
      <c r="AA3633" s="12">
        <f>N3633*O3633</f>
        <v/>
      </c>
    </row>
    <row r="3634">
      <c r="A3634" s="12" t="inlineStr">
        <is>
          <t>G-P-0223</t>
        </is>
      </c>
      <c r="B3634" s="12" t="inlineStr">
        <is>
          <t>G</t>
        </is>
      </c>
      <c r="C3634" s="12" t="inlineStr">
        <is>
          <t>Carbon capture</t>
        </is>
      </c>
      <c r="D3634" s="12" t="inlineStr">
        <is>
          <t>MOV 2: power</t>
        </is>
      </c>
      <c r="E3634" s="12" t="inlineStr"/>
      <c r="F3634" s="12" t="inlineStr">
        <is>
          <t>CCS MV switchgear building (VFDs)</t>
        </is>
      </c>
      <c r="G3634" s="12" t="inlineStr">
        <is>
          <t>STR-B</t>
        </is>
      </c>
      <c r="H3634" s="12" t="inlineStr">
        <is>
          <t>STR-B: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2.5</v>
      </c>
      <c r="R3634" s="12" t="n">
        <v>3.5</v>
      </c>
      <c r="S3634" s="12" t="inlineStr">
        <is>
          <t>Duct bank</t>
        </is>
      </c>
      <c r="T3634" s="15" t="n">
        <v>146</v>
      </c>
      <c r="U3634" s="15" t="n">
        <v>36</v>
      </c>
      <c r="V3634" s="15">
        <f>ROUNDUP((T3634+U3634+2*'Read Me'!$B$13)*(1+'Read Me'!$B$12),-1)</f>
        <v/>
      </c>
      <c r="W3634" s="15">
        <f>V3634*N3634*O3634</f>
        <v/>
      </c>
      <c r="X3634" s="12">
        <f>IF(LEFT(I3634,2)="MV",2*N3634*IF(L3634="1/C",O3634,1),0)</f>
        <v/>
      </c>
      <c r="Y3634" s="12">
        <f>IF(OR(LEFT(K3634,4)="LVAX",LEFT(K3634,6)="MV15AX",LEFT(K3634,4)="CTAX",LEFT(K3634,2)="W|"),2*N3634*O3634,0)</f>
        <v/>
      </c>
      <c r="Z3634" s="12" t="inlineStr">
        <is>
          <t>VD 0.3 %</t>
        </is>
      </c>
      <c r="AA3634" s="12">
        <f>N3634*O3634</f>
        <v/>
      </c>
    </row>
    <row r="3635">
      <c r="A3635" s="12" t="inlineStr">
        <is>
          <t>G-P-0224</t>
        </is>
      </c>
      <c r="B3635" s="12" t="inlineStr">
        <is>
          <t>G</t>
        </is>
      </c>
      <c r="C3635" s="12" t="inlineStr">
        <is>
          <t>Carbon capture</t>
        </is>
      </c>
      <c r="D3635" s="12" t="inlineStr">
        <is>
          <t>MOV 3: power</t>
        </is>
      </c>
      <c r="E3635" s="12" t="inlineStr"/>
      <c r="F3635" s="12" t="inlineStr">
        <is>
          <t>CCS MV switchgear building (VFDs)</t>
        </is>
      </c>
      <c r="G3635" s="12" t="inlineStr">
        <is>
          <t>STR-B</t>
        </is>
      </c>
      <c r="H3635" s="12" t="inlineStr">
        <is>
          <t>STR-B: stripper / regenerator (45 ft dia x 207 ft)</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5" t="n">
        <v>146</v>
      </c>
      <c r="U3635" s="15" t="n">
        <v>36</v>
      </c>
      <c r="V3635" s="15">
        <f>ROUNDUP((T3635+U3635+2*'Read Me'!$B$13)*(1+'Read Me'!$B$12),-1)</f>
        <v/>
      </c>
      <c r="W3635" s="15">
        <f>V3635*N3635*O3635</f>
        <v/>
      </c>
      <c r="X3635" s="12">
        <f>IF(LEFT(I3635,2)="MV",2*N3635*IF(L3635="1/C",O3635,1),0)</f>
        <v/>
      </c>
      <c r="Y3635" s="12">
        <f>IF(OR(LEFT(K3635,4)="LVAX",LEFT(K3635,6)="MV15AX",LEFT(K3635,4)="CTAX",LEFT(K3635,2)="W|"),2*N3635*O3635,0)</f>
        <v/>
      </c>
      <c r="Z3635" s="12" t="inlineStr">
        <is>
          <t>VD 0.3 %</t>
        </is>
      </c>
      <c r="AA3635" s="12">
        <f>N3635*O3635</f>
        <v/>
      </c>
    </row>
    <row r="3636">
      <c r="A3636" s="12" t="inlineStr">
        <is>
          <t>G-P-0225</t>
        </is>
      </c>
      <c r="B3636" s="12" t="inlineStr">
        <is>
          <t>G</t>
        </is>
      </c>
      <c r="C3636" s="12" t="inlineStr">
        <is>
          <t>Carbon capture</t>
        </is>
      </c>
      <c r="D3636" s="12" t="inlineStr">
        <is>
          <t>MOV 4: power</t>
        </is>
      </c>
      <c r="E3636" s="12" t="inlineStr"/>
      <c r="F3636" s="12" t="inlineStr">
        <is>
          <t>CCS MV switchgear building (VFDs)</t>
        </is>
      </c>
      <c r="G3636" s="12" t="inlineStr">
        <is>
          <t>STR-B</t>
        </is>
      </c>
      <c r="H3636" s="12" t="inlineStr">
        <is>
          <t>STR-B: stripper / regenerator (45 ft dia x 207 ft)</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5" t="n">
        <v>146</v>
      </c>
      <c r="U3636" s="15" t="n">
        <v>36</v>
      </c>
      <c r="V3636" s="15">
        <f>ROUNDUP((T3636+U3636+2*'Read Me'!$B$13)*(1+'Read Me'!$B$12),-1)</f>
        <v/>
      </c>
      <c r="W3636" s="15">
        <f>V3636*N3636*O3636</f>
        <v/>
      </c>
      <c r="X3636" s="12">
        <f>IF(LEFT(I3636,2)="MV",2*N3636*IF(L3636="1/C",O3636,1),0)</f>
        <v/>
      </c>
      <c r="Y3636" s="12">
        <f>IF(OR(LEFT(K3636,4)="LVAX",LEFT(K3636,6)="MV15AX",LEFT(K3636,4)="CTAX",LEFT(K3636,2)="W|"),2*N3636*O3636,0)</f>
        <v/>
      </c>
      <c r="Z3636" s="12" t="inlineStr">
        <is>
          <t>VD 0.3 %</t>
        </is>
      </c>
      <c r="AA3636" s="12">
        <f>N3636*O3636</f>
        <v/>
      </c>
    </row>
    <row r="3637">
      <c r="A3637" s="12" t="inlineStr">
        <is>
          <t>G-P-0226</t>
        </is>
      </c>
      <c r="B3637" s="12" t="inlineStr">
        <is>
          <t>G</t>
        </is>
      </c>
      <c r="C3637" s="12" t="inlineStr">
        <is>
          <t>Carbon capture</t>
        </is>
      </c>
      <c r="D3637" s="12" t="inlineStr">
        <is>
          <t>MOV 5: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5" t="n">
        <v>146</v>
      </c>
      <c r="U3637" s="15" t="n">
        <v>36</v>
      </c>
      <c r="V3637" s="15">
        <f>ROUNDUP((T3637+U3637+2*'Read Me'!$B$13)*(1+'Read Me'!$B$12),-1)</f>
        <v/>
      </c>
      <c r="W3637" s="15">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G-P-0227</t>
        </is>
      </c>
      <c r="B3638" s="12" t="inlineStr">
        <is>
          <t>G</t>
        </is>
      </c>
      <c r="C3638" s="12" t="inlineStr">
        <is>
          <t>Carbon capture</t>
        </is>
      </c>
      <c r="D3638" s="12" t="inlineStr">
        <is>
          <t>MOV 6: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5" t="n">
        <v>146</v>
      </c>
      <c r="U3638" s="15" t="n">
        <v>36</v>
      </c>
      <c r="V3638" s="15">
        <f>ROUNDUP((T3638+U3638+2*'Read Me'!$B$13)*(1+'Read Me'!$B$12),-1)</f>
        <v/>
      </c>
      <c r="W3638" s="15">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G-P-0228</t>
        </is>
      </c>
      <c r="B3639" s="12" t="inlineStr">
        <is>
          <t>G</t>
        </is>
      </c>
      <c r="C3639" s="12" t="inlineStr">
        <is>
          <t>Carbon capture</t>
        </is>
      </c>
      <c r="D3639" s="12" t="inlineStr">
        <is>
          <t>LV power feeder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LV|3/C+G|6</t>
        </is>
      </c>
      <c r="L3639" s="12" t="inlineStr">
        <is>
          <t>3/C+G</t>
        </is>
      </c>
      <c r="M3639" s="12" t="inlineStr">
        <is>
          <t>6</t>
        </is>
      </c>
      <c r="N3639" s="12" t="n">
        <v>1</v>
      </c>
      <c r="O3639" s="12" t="n">
        <v>1</v>
      </c>
      <c r="P3639" s="12" t="n">
        <v>480</v>
      </c>
      <c r="Q3639" s="12" t="n">
        <v>30</v>
      </c>
      <c r="R3639" s="12" t="n">
        <v>42.5</v>
      </c>
      <c r="S3639" s="12" t="inlineStr">
        <is>
          <t>Duct bank</t>
        </is>
      </c>
      <c r="T3639" s="15" t="n">
        <v>146</v>
      </c>
      <c r="U3639" s="15" t="n">
        <v>36</v>
      </c>
      <c r="V3639" s="15">
        <f>ROUNDUP((T3639+U3639+2*'Read Me'!$B$13)*(1+'Read Me'!$B$12),-1)</f>
        <v/>
      </c>
      <c r="W3639" s="15">
        <f>V3639*N3639*O3639</f>
        <v/>
      </c>
      <c r="X3639" s="12">
        <f>IF(LEFT(I3639,2)="MV",2*N3639*IF(L3639="1/C",O3639,1),0)</f>
        <v/>
      </c>
      <c r="Y3639" s="12">
        <f>IF(OR(LEFT(K3639,4)="LVAX",LEFT(K3639,6)="MV15AX",LEFT(K3639,4)="CTAX",LEFT(K3639,2)="W|"),2*N3639*O3639,0)</f>
        <v/>
      </c>
      <c r="Z3639" s="12" t="inlineStr">
        <is>
          <t>VD 1.5 %</t>
        </is>
      </c>
      <c r="AA3639" s="12">
        <f>N3639*O3639</f>
        <v/>
      </c>
    </row>
    <row r="3640">
      <c r="A3640" s="12" t="inlineStr">
        <is>
          <t>G-P-0229</t>
        </is>
      </c>
      <c r="B3640" s="12" t="inlineStr">
        <is>
          <t>G</t>
        </is>
      </c>
      <c r="C3640" s="12" t="inlineStr">
        <is>
          <t>Carbon capture</t>
        </is>
      </c>
      <c r="D3640" s="12" t="inlineStr">
        <is>
          <t>Area / platform lighting circuit 1 (12 fixtures)</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3</v>
      </c>
      <c r="R3640" s="12" t="n">
        <v>5</v>
      </c>
      <c r="S3640" s="12" t="inlineStr">
        <is>
          <t>Duct bank</t>
        </is>
      </c>
      <c r="T3640" s="15" t="n">
        <v>446</v>
      </c>
      <c r="U3640" s="15" t="n">
        <v>36</v>
      </c>
      <c r="V3640" s="15">
        <f>ROUNDUP((T3640+U3640+2*'Read Me'!$B$13)*(1+'Read Me'!$B$12),-1)</f>
        <v/>
      </c>
      <c r="W3640" s="15">
        <f>V3640*N3640*O3640</f>
        <v/>
      </c>
      <c r="X3640" s="12">
        <f>IF(LEFT(I3640,2)="MV",2*N3640*IF(L3640="1/C",O3640,1),0)</f>
        <v/>
      </c>
      <c r="Y3640" s="12">
        <f>IF(OR(LEFT(K3640,4)="LVAX",LEFT(K3640,6)="MV15AX",LEFT(K3640,4)="CTAX",LEFT(K3640,2)="W|"),2*N3640*O3640,0)</f>
        <v/>
      </c>
      <c r="Z3640" s="12" t="inlineStr">
        <is>
          <t>fixture-to-fixture run included</t>
        </is>
      </c>
      <c r="AA3640" s="12">
        <f>N3640*O3640</f>
        <v/>
      </c>
    </row>
    <row r="3641">
      <c r="A3641" s="12" t="inlineStr">
        <is>
          <t>G-P-0230</t>
        </is>
      </c>
      <c r="B3641" s="12" t="inlineStr">
        <is>
          <t>G</t>
        </is>
      </c>
      <c r="C3641" s="12" t="inlineStr">
        <is>
          <t>Carbon capture</t>
        </is>
      </c>
      <c r="D3641" s="12" t="inlineStr">
        <is>
          <t>Area / platform lighting circuit 2 (8 fixtures)</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3</v>
      </c>
      <c r="R3641" s="12" t="n">
        <v>5</v>
      </c>
      <c r="S3641" s="12" t="inlineStr">
        <is>
          <t>Duct bank</t>
        </is>
      </c>
      <c r="T3641" s="15" t="n">
        <v>446</v>
      </c>
      <c r="U3641" s="15" t="n">
        <v>36</v>
      </c>
      <c r="V3641" s="15">
        <f>ROUNDUP((T3641+U3641+2*'Read Me'!$B$13)*(1+'Read Me'!$B$12),-1)</f>
        <v/>
      </c>
      <c r="W3641" s="15">
        <f>V3641*N3641*O3641</f>
        <v/>
      </c>
      <c r="X3641" s="12">
        <f>IF(LEFT(I3641,2)="MV",2*N3641*IF(L3641="1/C",O3641,1),0)</f>
        <v/>
      </c>
      <c r="Y3641" s="12">
        <f>IF(OR(LEFT(K3641,4)="LVAX",LEFT(K3641,6)="MV15AX",LEFT(K3641,4)="CTAX",LEFT(K3641,2)="W|"),2*N3641*O3641,0)</f>
        <v/>
      </c>
      <c r="Z3641" s="12" t="inlineStr">
        <is>
          <t>fixture-to-fixture run included</t>
        </is>
      </c>
      <c r="AA3641" s="12">
        <f>N3641*O3641</f>
        <v/>
      </c>
    </row>
    <row r="3642">
      <c r="A3642" s="12" t="inlineStr">
        <is>
          <t>G-P-0231</t>
        </is>
      </c>
      <c r="B3642" s="12" t="inlineStr">
        <is>
          <t>G</t>
        </is>
      </c>
      <c r="C3642" s="12" t="inlineStr">
        <is>
          <t>Carbon capture</t>
        </is>
      </c>
      <c r="D3642" s="12" t="inlineStr">
        <is>
          <t>480 V welding receptacle 1</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LV|3/C+G|2</t>
        </is>
      </c>
      <c r="L3642" s="12" t="inlineStr">
        <is>
          <t>3/C+G</t>
        </is>
      </c>
      <c r="M3642" s="12" t="inlineStr">
        <is>
          <t>2</t>
        </is>
      </c>
      <c r="N3642" s="12" t="n">
        <v>1</v>
      </c>
      <c r="O3642" s="12" t="n">
        <v>1</v>
      </c>
      <c r="P3642" s="12" t="n">
        <v>480</v>
      </c>
      <c r="Q3642" s="12" t="n">
        <v>60</v>
      </c>
      <c r="R3642" s="12" t="n">
        <v>76</v>
      </c>
      <c r="S3642" s="12" t="inlineStr">
        <is>
          <t>Duct bank</t>
        </is>
      </c>
      <c r="T3642" s="15" t="n">
        <v>146</v>
      </c>
      <c r="U3642" s="15" t="n">
        <v>36</v>
      </c>
      <c r="V3642" s="15">
        <f>ROUNDUP((T3642+U3642+2*'Read Me'!$B$13)*(1+'Read Me'!$B$12),-1)</f>
        <v/>
      </c>
      <c r="W3642" s="15">
        <f>V3642*N3642*O3642</f>
        <v/>
      </c>
      <c r="X3642" s="12">
        <f>IF(LEFT(I3642,2)="MV",2*N3642*IF(L3642="1/C",O3642,1),0)</f>
        <v/>
      </c>
      <c r="Y3642" s="12">
        <f>IF(OR(LEFT(K3642,4)="LVAX",LEFT(K3642,6)="MV15AX",LEFT(K3642,4)="CTAX",LEFT(K3642,2)="W|"),2*N3642*O3642,0)</f>
        <v/>
      </c>
      <c r="Z3642" s="12" t="inlineStr">
        <is>
          <t>VD 1.1 %</t>
        </is>
      </c>
      <c r="AA3642" s="12">
        <f>N3642*O3642</f>
        <v/>
      </c>
    </row>
    <row r="3643">
      <c r="A3643" s="12" t="inlineStr">
        <is>
          <t>G-P-0232</t>
        </is>
      </c>
      <c r="B3643" s="12" t="inlineStr">
        <is>
          <t>G</t>
        </is>
      </c>
      <c r="C3643" s="12" t="inlineStr">
        <is>
          <t>Carbon capture</t>
        </is>
      </c>
      <c r="D3643" s="12" t="inlineStr">
        <is>
          <t>480 V welding receptacle 2</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LV|3/C+G|2</t>
        </is>
      </c>
      <c r="L3643" s="12" t="inlineStr">
        <is>
          <t>3/C+G</t>
        </is>
      </c>
      <c r="M3643" s="12" t="inlineStr">
        <is>
          <t>2</t>
        </is>
      </c>
      <c r="N3643" s="12" t="n">
        <v>1</v>
      </c>
      <c r="O3643" s="12" t="n">
        <v>1</v>
      </c>
      <c r="P3643" s="12" t="n">
        <v>480</v>
      </c>
      <c r="Q3643" s="12" t="n">
        <v>60</v>
      </c>
      <c r="R3643" s="12" t="n">
        <v>76</v>
      </c>
      <c r="S3643" s="12" t="inlineStr">
        <is>
          <t>Duct bank</t>
        </is>
      </c>
      <c r="T3643" s="15" t="n">
        <v>146</v>
      </c>
      <c r="U3643" s="15" t="n">
        <v>36</v>
      </c>
      <c r="V3643" s="15">
        <f>ROUNDUP((T3643+U3643+2*'Read Me'!$B$13)*(1+'Read Me'!$B$12),-1)</f>
        <v/>
      </c>
      <c r="W3643" s="15">
        <f>V3643*N3643*O3643</f>
        <v/>
      </c>
      <c r="X3643" s="12">
        <f>IF(LEFT(I3643,2)="MV",2*N3643*IF(L3643="1/C",O3643,1),0)</f>
        <v/>
      </c>
      <c r="Y3643" s="12">
        <f>IF(OR(LEFT(K3643,4)="LVAX",LEFT(K3643,6)="MV15AX",LEFT(K3643,4)="CTAX",LEFT(K3643,2)="W|"),2*N3643*O3643,0)</f>
        <v/>
      </c>
      <c r="Z3643" s="12" t="inlineStr">
        <is>
          <t>VD 1.1 %</t>
        </is>
      </c>
      <c r="AA3643" s="12">
        <f>N3643*O3643</f>
        <v/>
      </c>
    </row>
    <row r="3644">
      <c r="A3644" s="12" t="inlineStr">
        <is>
          <t>G-P-0233</t>
        </is>
      </c>
      <c r="B3644" s="12" t="inlineStr">
        <is>
          <t>G</t>
        </is>
      </c>
      <c r="C3644" s="12" t="inlineStr">
        <is>
          <t>Carbon capture</t>
        </is>
      </c>
      <c r="D3644" s="12" t="inlineStr">
        <is>
          <t>480 V welding receptacle 3</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LV|3/C+G|2</t>
        </is>
      </c>
      <c r="L3644" s="12" t="inlineStr">
        <is>
          <t>3/C+G</t>
        </is>
      </c>
      <c r="M3644" s="12" t="inlineStr">
        <is>
          <t>2</t>
        </is>
      </c>
      <c r="N3644" s="12" t="n">
        <v>1</v>
      </c>
      <c r="O3644" s="12" t="n">
        <v>1</v>
      </c>
      <c r="P3644" s="12" t="n">
        <v>480</v>
      </c>
      <c r="Q3644" s="12" t="n">
        <v>60</v>
      </c>
      <c r="R3644" s="12" t="n">
        <v>76</v>
      </c>
      <c r="S3644" s="12" t="inlineStr">
        <is>
          <t>Duct bank</t>
        </is>
      </c>
      <c r="T3644" s="15" t="n">
        <v>146</v>
      </c>
      <c r="U3644" s="15" t="n">
        <v>36</v>
      </c>
      <c r="V3644" s="15">
        <f>ROUNDUP((T3644+U3644+2*'Read Me'!$B$13)*(1+'Read Me'!$B$12),-1)</f>
        <v/>
      </c>
      <c r="W3644" s="15">
        <f>V3644*N3644*O3644</f>
        <v/>
      </c>
      <c r="X3644" s="12">
        <f>IF(LEFT(I3644,2)="MV",2*N3644*IF(L3644="1/C",O3644,1),0)</f>
        <v/>
      </c>
      <c r="Y3644" s="12">
        <f>IF(OR(LEFT(K3644,4)="LVAX",LEFT(K3644,6)="MV15AX",LEFT(K3644,4)="CTAX",LEFT(K3644,2)="W|"),2*N3644*O3644,0)</f>
        <v/>
      </c>
      <c r="Z3644" s="12" t="inlineStr">
        <is>
          <t>VD 1.1 %</t>
        </is>
      </c>
      <c r="AA3644" s="12">
        <f>N3644*O3644</f>
        <v/>
      </c>
    </row>
    <row r="3645">
      <c r="A3645" s="12" t="inlineStr">
        <is>
          <t>G-P-0234</t>
        </is>
      </c>
      <c r="B3645" s="12" t="inlineStr">
        <is>
          <t>G</t>
        </is>
      </c>
      <c r="C3645" s="12" t="inlineStr">
        <is>
          <t>Carbon capture</t>
        </is>
      </c>
      <c r="D3645" s="12" t="inlineStr">
        <is>
          <t>480 V welding receptacle 4</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LV|3/C+G|2</t>
        </is>
      </c>
      <c r="L3645" s="12" t="inlineStr">
        <is>
          <t>3/C+G</t>
        </is>
      </c>
      <c r="M3645" s="12" t="inlineStr">
        <is>
          <t>2</t>
        </is>
      </c>
      <c r="N3645" s="12" t="n">
        <v>1</v>
      </c>
      <c r="O3645" s="12" t="n">
        <v>1</v>
      </c>
      <c r="P3645" s="12" t="n">
        <v>480</v>
      </c>
      <c r="Q3645" s="12" t="n">
        <v>60</v>
      </c>
      <c r="R3645" s="12" t="n">
        <v>76</v>
      </c>
      <c r="S3645" s="12" t="inlineStr">
        <is>
          <t>Duct bank</t>
        </is>
      </c>
      <c r="T3645" s="15" t="n">
        <v>146</v>
      </c>
      <c r="U3645" s="15" t="n">
        <v>36</v>
      </c>
      <c r="V3645" s="15">
        <f>ROUNDUP((T3645+U3645+2*'Read Me'!$B$13)*(1+'Read Me'!$B$12),-1)</f>
        <v/>
      </c>
      <c r="W3645" s="15">
        <f>V3645*N3645*O3645</f>
        <v/>
      </c>
      <c r="X3645" s="12">
        <f>IF(LEFT(I3645,2)="MV",2*N3645*IF(L3645="1/C",O3645,1),0)</f>
        <v/>
      </c>
      <c r="Y3645" s="12">
        <f>IF(OR(LEFT(K3645,4)="LVAX",LEFT(K3645,6)="MV15AX",LEFT(K3645,4)="CTAX",LEFT(K3645,2)="W|"),2*N3645*O3645,0)</f>
        <v/>
      </c>
      <c r="Z3645" s="12" t="inlineStr">
        <is>
          <t>VD 1.1 %</t>
        </is>
      </c>
      <c r="AA3645" s="12">
        <f>N3645*O3645</f>
        <v/>
      </c>
    </row>
    <row r="3646">
      <c r="A3646" s="12" t="inlineStr">
        <is>
          <t>G-P-0235</t>
        </is>
      </c>
      <c r="B3646" s="12" t="inlineStr">
        <is>
          <t>G</t>
        </is>
      </c>
      <c r="C3646" s="12" t="inlineStr">
        <is>
          <t>Carbon capture</t>
        </is>
      </c>
      <c r="D3646" s="12" t="inlineStr">
        <is>
          <t>MOV 1: power</t>
        </is>
      </c>
      <c r="E3646" s="12" t="inlineStr"/>
      <c r="F3646" s="12" t="inlineStr">
        <is>
          <t>CCS MV switchgear building (VFDs)</t>
        </is>
      </c>
      <c r="G3646" s="12" t="inlineStr">
        <is>
          <t>STR-C</t>
        </is>
      </c>
      <c r="H3646" s="12" t="inlineStr">
        <is>
          <t>STR-C: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5" t="n">
        <v>196</v>
      </c>
      <c r="U3646" s="15" t="n">
        <v>36</v>
      </c>
      <c r="V3646" s="15">
        <f>ROUNDUP((T3646+U3646+2*'Read Me'!$B$13)*(1+'Read Me'!$B$12),-1)</f>
        <v/>
      </c>
      <c r="W3646" s="15">
        <f>V3646*N3646*O3646</f>
        <v/>
      </c>
      <c r="X3646" s="12">
        <f>IF(LEFT(I3646,2)="MV",2*N3646*IF(L3646="1/C",O3646,1),0)</f>
        <v/>
      </c>
      <c r="Y3646" s="12">
        <f>IF(OR(LEFT(K3646,4)="LVAX",LEFT(K3646,6)="MV15AX",LEFT(K3646,4)="CTAX",LEFT(K3646,2)="W|"),2*N3646*O3646,0)</f>
        <v/>
      </c>
      <c r="Z3646" s="12" t="inlineStr">
        <is>
          <t>VD 0.4 %</t>
        </is>
      </c>
      <c r="AA3646" s="12">
        <f>N3646*O3646</f>
        <v/>
      </c>
    </row>
    <row r="3647">
      <c r="A3647" s="12" t="inlineStr">
        <is>
          <t>G-P-0236</t>
        </is>
      </c>
      <c r="B3647" s="12" t="inlineStr">
        <is>
          <t>G</t>
        </is>
      </c>
      <c r="C3647" s="12" t="inlineStr">
        <is>
          <t>Carbon capture</t>
        </is>
      </c>
      <c r="D3647" s="12" t="inlineStr">
        <is>
          <t>MOV 2: power</t>
        </is>
      </c>
      <c r="E3647" s="12" t="inlineStr"/>
      <c r="F3647" s="12" t="inlineStr">
        <is>
          <t>CCS MV switchgear building (VFDs)</t>
        </is>
      </c>
      <c r="G3647" s="12" t="inlineStr">
        <is>
          <t>STR-C</t>
        </is>
      </c>
      <c r="H3647" s="12" t="inlineStr">
        <is>
          <t>STR-C: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5" t="n">
        <v>196</v>
      </c>
      <c r="U3647" s="15" t="n">
        <v>36</v>
      </c>
      <c r="V3647" s="15">
        <f>ROUNDUP((T3647+U3647+2*'Read Me'!$B$13)*(1+'Read Me'!$B$12),-1)</f>
        <v/>
      </c>
      <c r="W3647" s="15">
        <f>V3647*N3647*O3647</f>
        <v/>
      </c>
      <c r="X3647" s="12">
        <f>IF(LEFT(I3647,2)="MV",2*N3647*IF(L3647="1/C",O3647,1),0)</f>
        <v/>
      </c>
      <c r="Y3647" s="12">
        <f>IF(OR(LEFT(K3647,4)="LVAX",LEFT(K3647,6)="MV15AX",LEFT(K3647,4)="CTAX",LEFT(K3647,2)="W|"),2*N3647*O3647,0)</f>
        <v/>
      </c>
      <c r="Z3647" s="12" t="inlineStr">
        <is>
          <t>VD 0.4 %</t>
        </is>
      </c>
      <c r="AA3647" s="12">
        <f>N3647*O3647</f>
        <v/>
      </c>
    </row>
    <row r="3648">
      <c r="A3648" s="12" t="inlineStr">
        <is>
          <t>G-P-0237</t>
        </is>
      </c>
      <c r="B3648" s="12" t="inlineStr">
        <is>
          <t>G</t>
        </is>
      </c>
      <c r="C3648" s="12" t="inlineStr">
        <is>
          <t>Carbon capture</t>
        </is>
      </c>
      <c r="D3648" s="12" t="inlineStr">
        <is>
          <t>MOV 3: power</t>
        </is>
      </c>
      <c r="E3648" s="12" t="inlineStr"/>
      <c r="F3648" s="12" t="inlineStr">
        <is>
          <t>CCS MV switchgear building (VFDs)</t>
        </is>
      </c>
      <c r="G3648" s="12" t="inlineStr">
        <is>
          <t>STR-C</t>
        </is>
      </c>
      <c r="H3648" s="12" t="inlineStr">
        <is>
          <t>STR-C: stripper / regenerator (45 ft dia x 207 ft)</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2.5</v>
      </c>
      <c r="R3648" s="12" t="n">
        <v>3.5</v>
      </c>
      <c r="S3648" s="12" t="inlineStr">
        <is>
          <t>Duct bank</t>
        </is>
      </c>
      <c r="T3648" s="15" t="n">
        <v>196</v>
      </c>
      <c r="U3648" s="15" t="n">
        <v>36</v>
      </c>
      <c r="V3648" s="15">
        <f>ROUNDUP((T3648+U3648+2*'Read Me'!$B$13)*(1+'Read Me'!$B$12),-1)</f>
        <v/>
      </c>
      <c r="W3648" s="15">
        <f>V3648*N3648*O3648</f>
        <v/>
      </c>
      <c r="X3648" s="12">
        <f>IF(LEFT(I3648,2)="MV",2*N3648*IF(L3648="1/C",O3648,1),0)</f>
        <v/>
      </c>
      <c r="Y3648" s="12">
        <f>IF(OR(LEFT(K3648,4)="LVAX",LEFT(K3648,6)="MV15AX",LEFT(K3648,4)="CTAX",LEFT(K3648,2)="W|"),2*N3648*O3648,0)</f>
        <v/>
      </c>
      <c r="Z3648" s="12" t="inlineStr">
        <is>
          <t>VD 0.4 %</t>
        </is>
      </c>
      <c r="AA3648" s="12">
        <f>N3648*O3648</f>
        <v/>
      </c>
    </row>
    <row r="3649">
      <c r="A3649" s="12" t="inlineStr">
        <is>
          <t>G-P-0238</t>
        </is>
      </c>
      <c r="B3649" s="12" t="inlineStr">
        <is>
          <t>G</t>
        </is>
      </c>
      <c r="C3649" s="12" t="inlineStr">
        <is>
          <t>Carbon capture</t>
        </is>
      </c>
      <c r="D3649" s="12" t="inlineStr">
        <is>
          <t>MOV 4: power</t>
        </is>
      </c>
      <c r="E3649" s="12" t="inlineStr"/>
      <c r="F3649" s="12" t="inlineStr">
        <is>
          <t>CCS MV switchgear building (VFDs)</t>
        </is>
      </c>
      <c r="G3649" s="12" t="inlineStr">
        <is>
          <t>STR-C</t>
        </is>
      </c>
      <c r="H3649" s="12" t="inlineStr">
        <is>
          <t>STR-C: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2.5</v>
      </c>
      <c r="R3649" s="12" t="n">
        <v>3.5</v>
      </c>
      <c r="S3649" s="12" t="inlineStr">
        <is>
          <t>Duct bank</t>
        </is>
      </c>
      <c r="T3649" s="15" t="n">
        <v>196</v>
      </c>
      <c r="U3649" s="15" t="n">
        <v>36</v>
      </c>
      <c r="V3649" s="15">
        <f>ROUNDUP((T3649+U3649+2*'Read Me'!$B$13)*(1+'Read Me'!$B$12),-1)</f>
        <v/>
      </c>
      <c r="W3649" s="15">
        <f>V3649*N3649*O3649</f>
        <v/>
      </c>
      <c r="X3649" s="12">
        <f>IF(LEFT(I3649,2)="MV",2*N3649*IF(L3649="1/C",O3649,1),0)</f>
        <v/>
      </c>
      <c r="Y3649" s="12">
        <f>IF(OR(LEFT(K3649,4)="LVAX",LEFT(K3649,6)="MV15AX",LEFT(K3649,4)="CTAX",LEFT(K3649,2)="W|"),2*N3649*O3649,0)</f>
        <v/>
      </c>
      <c r="Z3649" s="12" t="inlineStr">
        <is>
          <t>VD 0.4 %</t>
        </is>
      </c>
      <c r="AA3649" s="12">
        <f>N3649*O3649</f>
        <v/>
      </c>
    </row>
    <row r="3650">
      <c r="A3650" s="12" t="inlineStr">
        <is>
          <t>G-P-0239</t>
        </is>
      </c>
      <c r="B3650" s="12" t="inlineStr">
        <is>
          <t>G</t>
        </is>
      </c>
      <c r="C3650" s="12" t="inlineStr">
        <is>
          <t>Carbon capture</t>
        </is>
      </c>
      <c r="D3650" s="12" t="inlineStr">
        <is>
          <t>MOV 5: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5" t="n">
        <v>196</v>
      </c>
      <c r="U3650" s="15" t="n">
        <v>36</v>
      </c>
      <c r="V3650" s="15">
        <f>ROUNDUP((T3650+U3650+2*'Read Me'!$B$13)*(1+'Read Me'!$B$12),-1)</f>
        <v/>
      </c>
      <c r="W3650" s="15">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G-P-0240</t>
        </is>
      </c>
      <c r="B3651" s="12" t="inlineStr">
        <is>
          <t>G</t>
        </is>
      </c>
      <c r="C3651" s="12" t="inlineStr">
        <is>
          <t>Carbon capture</t>
        </is>
      </c>
      <c r="D3651" s="12" t="inlineStr">
        <is>
          <t>MOV 6: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5" t="n">
        <v>196</v>
      </c>
      <c r="U3651" s="15" t="n">
        <v>36</v>
      </c>
      <c r="V3651" s="15">
        <f>ROUNDUP((T3651+U3651+2*'Read Me'!$B$13)*(1+'Read Me'!$B$12),-1)</f>
        <v/>
      </c>
      <c r="W3651" s="15">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G-P-0241</t>
        </is>
      </c>
      <c r="B3652" s="12" t="inlineStr">
        <is>
          <t>G</t>
        </is>
      </c>
      <c r="C3652" s="12" t="inlineStr">
        <is>
          <t>Carbon capture</t>
        </is>
      </c>
      <c r="D3652" s="12" t="inlineStr">
        <is>
          <t>LV power feeder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LV|3/C+G|6</t>
        </is>
      </c>
      <c r="L3652" s="12" t="inlineStr">
        <is>
          <t>3/C+G</t>
        </is>
      </c>
      <c r="M3652" s="12" t="inlineStr">
        <is>
          <t>6</t>
        </is>
      </c>
      <c r="N3652" s="12" t="n">
        <v>1</v>
      </c>
      <c r="O3652" s="12" t="n">
        <v>1</v>
      </c>
      <c r="P3652" s="12" t="n">
        <v>480</v>
      </c>
      <c r="Q3652" s="12" t="n">
        <v>30</v>
      </c>
      <c r="R3652" s="12" t="n">
        <v>42.5</v>
      </c>
      <c r="S3652" s="12" t="inlineStr">
        <is>
          <t>Duct bank</t>
        </is>
      </c>
      <c r="T3652" s="15" t="n">
        <v>196</v>
      </c>
      <c r="U3652" s="15" t="n">
        <v>36</v>
      </c>
      <c r="V3652" s="15">
        <f>ROUNDUP((T3652+U3652+2*'Read Me'!$B$13)*(1+'Read Me'!$B$12),-1)</f>
        <v/>
      </c>
      <c r="W3652" s="15">
        <f>V3652*N3652*O3652</f>
        <v/>
      </c>
      <c r="X3652" s="12">
        <f>IF(LEFT(I3652,2)="MV",2*N3652*IF(L3652="1/C",O3652,1),0)</f>
        <v/>
      </c>
      <c r="Y3652" s="12">
        <f>IF(OR(LEFT(K3652,4)="LVAX",LEFT(K3652,6)="MV15AX",LEFT(K3652,4)="CTAX",LEFT(K3652,2)="W|"),2*N3652*O3652,0)</f>
        <v/>
      </c>
      <c r="Z3652" s="12" t="inlineStr">
        <is>
          <t>VD 1.9 %</t>
        </is>
      </c>
      <c r="AA3652" s="12">
        <f>N3652*O3652</f>
        <v/>
      </c>
    </row>
    <row r="3653">
      <c r="A3653" s="12" t="inlineStr">
        <is>
          <t>G-P-0242</t>
        </is>
      </c>
      <c r="B3653" s="12" t="inlineStr">
        <is>
          <t>G</t>
        </is>
      </c>
      <c r="C3653" s="12" t="inlineStr">
        <is>
          <t>Carbon capture</t>
        </is>
      </c>
      <c r="D3653" s="12" t="inlineStr">
        <is>
          <t>Area / platform lighting circuit 1 (12 fixtures)</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3</v>
      </c>
      <c r="R3653" s="12" t="n">
        <v>5</v>
      </c>
      <c r="S3653" s="12" t="inlineStr">
        <is>
          <t>Duct bank</t>
        </is>
      </c>
      <c r="T3653" s="15" t="n">
        <v>496</v>
      </c>
      <c r="U3653" s="15" t="n">
        <v>36</v>
      </c>
      <c r="V3653" s="15">
        <f>ROUNDUP((T3653+U3653+2*'Read Me'!$B$13)*(1+'Read Me'!$B$12),-1)</f>
        <v/>
      </c>
      <c r="W3653" s="15">
        <f>V3653*N3653*O3653</f>
        <v/>
      </c>
      <c r="X3653" s="12">
        <f>IF(LEFT(I3653,2)="MV",2*N3653*IF(L3653="1/C",O3653,1),0)</f>
        <v/>
      </c>
      <c r="Y3653" s="12">
        <f>IF(OR(LEFT(K3653,4)="LVAX",LEFT(K3653,6)="MV15AX",LEFT(K3653,4)="CTAX",LEFT(K3653,2)="W|"),2*N3653*O3653,0)</f>
        <v/>
      </c>
      <c r="Z3653" s="12" t="inlineStr">
        <is>
          <t>fixture-to-fixture run included</t>
        </is>
      </c>
      <c r="AA3653" s="12">
        <f>N3653*O3653</f>
        <v/>
      </c>
    </row>
    <row r="3654">
      <c r="A3654" s="12" t="inlineStr">
        <is>
          <t>G-P-0243</t>
        </is>
      </c>
      <c r="B3654" s="12" t="inlineStr">
        <is>
          <t>G</t>
        </is>
      </c>
      <c r="C3654" s="12" t="inlineStr">
        <is>
          <t>Carbon capture</t>
        </is>
      </c>
      <c r="D3654" s="12" t="inlineStr">
        <is>
          <t>Area / platform lighting circuit 2 (8 fixtures)</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3</v>
      </c>
      <c r="R3654" s="12" t="n">
        <v>5</v>
      </c>
      <c r="S3654" s="12" t="inlineStr">
        <is>
          <t>Duct bank</t>
        </is>
      </c>
      <c r="T3654" s="15" t="n">
        <v>496</v>
      </c>
      <c r="U3654" s="15" t="n">
        <v>36</v>
      </c>
      <c r="V3654" s="15">
        <f>ROUNDUP((T3654+U3654+2*'Read Me'!$B$13)*(1+'Read Me'!$B$12),-1)</f>
        <v/>
      </c>
      <c r="W3654" s="15">
        <f>V3654*N3654*O3654</f>
        <v/>
      </c>
      <c r="X3654" s="12">
        <f>IF(LEFT(I3654,2)="MV",2*N3654*IF(L3654="1/C",O3654,1),0)</f>
        <v/>
      </c>
      <c r="Y3654" s="12">
        <f>IF(OR(LEFT(K3654,4)="LVAX",LEFT(K3654,6)="MV15AX",LEFT(K3654,4)="CTAX",LEFT(K3654,2)="W|"),2*N3654*O3654,0)</f>
        <v/>
      </c>
      <c r="Z3654" s="12" t="inlineStr">
        <is>
          <t>fixture-to-fixture run included</t>
        </is>
      </c>
      <c r="AA3654" s="12">
        <f>N3654*O3654</f>
        <v/>
      </c>
    </row>
    <row r="3655">
      <c r="A3655" s="12" t="inlineStr">
        <is>
          <t>G-P-0244</t>
        </is>
      </c>
      <c r="B3655" s="12" t="inlineStr">
        <is>
          <t>G</t>
        </is>
      </c>
      <c r="C3655" s="12" t="inlineStr">
        <is>
          <t>Carbon capture</t>
        </is>
      </c>
      <c r="D3655" s="12" t="inlineStr">
        <is>
          <t>480 V welding receptacle 1</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LV|3/C+G|2</t>
        </is>
      </c>
      <c r="L3655" s="12" t="inlineStr">
        <is>
          <t>3/C+G</t>
        </is>
      </c>
      <c r="M3655" s="12" t="inlineStr">
        <is>
          <t>2</t>
        </is>
      </c>
      <c r="N3655" s="12" t="n">
        <v>1</v>
      </c>
      <c r="O3655" s="12" t="n">
        <v>1</v>
      </c>
      <c r="P3655" s="12" t="n">
        <v>480</v>
      </c>
      <c r="Q3655" s="12" t="n">
        <v>60</v>
      </c>
      <c r="R3655" s="12" t="n">
        <v>76</v>
      </c>
      <c r="S3655" s="12" t="inlineStr">
        <is>
          <t>Duct bank</t>
        </is>
      </c>
      <c r="T3655" s="15" t="n">
        <v>196</v>
      </c>
      <c r="U3655" s="15" t="n">
        <v>36</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G-P-0245</t>
        </is>
      </c>
      <c r="B3656" s="12" t="inlineStr">
        <is>
          <t>G</t>
        </is>
      </c>
      <c r="C3656" s="12" t="inlineStr">
        <is>
          <t>Carbon capture</t>
        </is>
      </c>
      <c r="D3656" s="12" t="inlineStr">
        <is>
          <t>480 V welding receptacle 2</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LV|3/C+G|2</t>
        </is>
      </c>
      <c r="L3656" s="12" t="inlineStr">
        <is>
          <t>3/C+G</t>
        </is>
      </c>
      <c r="M3656" s="12" t="inlineStr">
        <is>
          <t>2</t>
        </is>
      </c>
      <c r="N3656" s="12" t="n">
        <v>1</v>
      </c>
      <c r="O3656" s="12" t="n">
        <v>1</v>
      </c>
      <c r="P3656" s="12" t="n">
        <v>480</v>
      </c>
      <c r="Q3656" s="12" t="n">
        <v>60</v>
      </c>
      <c r="R3656" s="12" t="n">
        <v>76</v>
      </c>
      <c r="S3656" s="12" t="inlineStr">
        <is>
          <t>Duct bank</t>
        </is>
      </c>
      <c r="T3656" s="15" t="n">
        <v>196</v>
      </c>
      <c r="U3656" s="15" t="n">
        <v>36</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G-P-0246</t>
        </is>
      </c>
      <c r="B3657" s="12" t="inlineStr">
        <is>
          <t>G</t>
        </is>
      </c>
      <c r="C3657" s="12" t="inlineStr">
        <is>
          <t>Carbon capture</t>
        </is>
      </c>
      <c r="D3657" s="12" t="inlineStr">
        <is>
          <t>480 V welding receptacle 3</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LV|3/C+G|2</t>
        </is>
      </c>
      <c r="L3657" s="12" t="inlineStr">
        <is>
          <t>3/C+G</t>
        </is>
      </c>
      <c r="M3657" s="12" t="inlineStr">
        <is>
          <t>2</t>
        </is>
      </c>
      <c r="N3657" s="12" t="n">
        <v>1</v>
      </c>
      <c r="O3657" s="12" t="n">
        <v>1</v>
      </c>
      <c r="P3657" s="12" t="n">
        <v>480</v>
      </c>
      <c r="Q3657" s="12" t="n">
        <v>60</v>
      </c>
      <c r="R3657" s="12" t="n">
        <v>76</v>
      </c>
      <c r="S3657" s="12" t="inlineStr">
        <is>
          <t>Duct bank</t>
        </is>
      </c>
      <c r="T3657" s="15" t="n">
        <v>196</v>
      </c>
      <c r="U3657" s="15" t="n">
        <v>36</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G-P-0247</t>
        </is>
      </c>
      <c r="B3658" s="12" t="inlineStr">
        <is>
          <t>G</t>
        </is>
      </c>
      <c r="C3658" s="12" t="inlineStr">
        <is>
          <t>Carbon capture</t>
        </is>
      </c>
      <c r="D3658" s="12" t="inlineStr">
        <is>
          <t>480 V welding receptacle 4</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LV|3/C+G|2</t>
        </is>
      </c>
      <c r="L3658" s="12" t="inlineStr">
        <is>
          <t>3/C+G</t>
        </is>
      </c>
      <c r="M3658" s="12" t="inlineStr">
        <is>
          <t>2</t>
        </is>
      </c>
      <c r="N3658" s="12" t="n">
        <v>1</v>
      </c>
      <c r="O3658" s="12" t="n">
        <v>1</v>
      </c>
      <c r="P3658" s="12" t="n">
        <v>480</v>
      </c>
      <c r="Q3658" s="12" t="n">
        <v>60</v>
      </c>
      <c r="R3658" s="12" t="n">
        <v>76</v>
      </c>
      <c r="S3658" s="12" t="inlineStr">
        <is>
          <t>Duct bank</t>
        </is>
      </c>
      <c r="T3658" s="15" t="n">
        <v>196</v>
      </c>
      <c r="U3658" s="15" t="n">
        <v>36</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G-P-0248</t>
        </is>
      </c>
      <c r="B3659" s="12" t="inlineStr">
        <is>
          <t>G</t>
        </is>
      </c>
      <c r="C3659" s="12" t="inlineStr">
        <is>
          <t>Carbon capture</t>
        </is>
      </c>
      <c r="D3659" s="12" t="inlineStr">
        <is>
          <t>Motor 1 of 4, 15 kW</t>
        </is>
      </c>
      <c r="E3659" s="12" t="inlineStr"/>
      <c r="F3659" s="12" t="inlineStr">
        <is>
          <t>CCS MV switchgear building (VFDs)</t>
        </is>
      </c>
      <c r="G3659" s="12" t="inlineStr"/>
      <c r="H3659" s="12" t="inlineStr">
        <is>
          <t>Solvent + NaOH storage</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15</v>
      </c>
      <c r="R3659" s="12" t="n">
        <v>21.2</v>
      </c>
      <c r="S3659" s="12" t="inlineStr">
        <is>
          <t>Duct bank</t>
        </is>
      </c>
      <c r="T3659" s="15" t="n">
        <v>250</v>
      </c>
      <c r="U3659" s="15" t="n">
        <v>37</v>
      </c>
      <c r="V3659" s="15">
        <f>ROUNDUP((T3659+U3659+2*'Read Me'!$B$13)*(1+'Read Me'!$B$12),-1)</f>
        <v/>
      </c>
      <c r="W3659" s="15">
        <f>V3659*N3659*O3659</f>
        <v/>
      </c>
      <c r="X3659" s="12">
        <f>IF(LEFT(I3659,2)="MV",2*N3659*IF(L3659="1/C",O3659,1),0)</f>
        <v/>
      </c>
      <c r="Y3659" s="12">
        <f>IF(OR(LEFT(K3659,4)="LVAX",LEFT(K3659,6)="MV15AX",LEFT(K3659,4)="CTAX",LEFT(K3659,2)="W|"),2*N3659*O3659,0)</f>
        <v/>
      </c>
      <c r="Z3659" s="12" t="inlineStr">
        <is>
          <t>VD 2.9 %</t>
        </is>
      </c>
      <c r="AA3659" s="12">
        <f>N3659*O3659</f>
        <v/>
      </c>
    </row>
    <row r="3660">
      <c r="A3660" s="12" t="inlineStr">
        <is>
          <t>G-P-0249</t>
        </is>
      </c>
      <c r="B3660" s="12" t="inlineStr">
        <is>
          <t>G</t>
        </is>
      </c>
      <c r="C3660" s="12" t="inlineStr">
        <is>
          <t>Carbon capture</t>
        </is>
      </c>
      <c r="D3660" s="12" t="inlineStr">
        <is>
          <t>Motor 2 of 4, 15 kW</t>
        </is>
      </c>
      <c r="E3660" s="12" t="inlineStr"/>
      <c r="F3660" s="12" t="inlineStr">
        <is>
          <t>CCS MV switchgear building (VFDs)</t>
        </is>
      </c>
      <c r="G3660" s="12" t="inlineStr"/>
      <c r="H3660" s="12" t="inlineStr">
        <is>
          <t>Solvent + NaOH storage</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5" t="n">
        <v>250</v>
      </c>
      <c r="U3660" s="15" t="n">
        <v>37</v>
      </c>
      <c r="V3660" s="15">
        <f>ROUNDUP((T3660+U3660+2*'Read Me'!$B$13)*(1+'Read Me'!$B$12),-1)</f>
        <v/>
      </c>
      <c r="W3660" s="15">
        <f>V3660*N3660*O3660</f>
        <v/>
      </c>
      <c r="X3660" s="12">
        <f>IF(LEFT(I3660,2)="MV",2*N3660*IF(L3660="1/C",O3660,1),0)</f>
        <v/>
      </c>
      <c r="Y3660" s="12">
        <f>IF(OR(LEFT(K3660,4)="LVAX",LEFT(K3660,6)="MV15AX",LEFT(K3660,4)="CTAX",LEFT(K3660,2)="W|"),2*N3660*O3660,0)</f>
        <v/>
      </c>
      <c r="Z3660" s="12" t="inlineStr">
        <is>
          <t>VD 2.9 %</t>
        </is>
      </c>
      <c r="AA3660" s="12">
        <f>N3660*O3660</f>
        <v/>
      </c>
    </row>
    <row r="3661">
      <c r="A3661" s="12" t="inlineStr">
        <is>
          <t>G-P-0250</t>
        </is>
      </c>
      <c r="B3661" s="12" t="inlineStr">
        <is>
          <t>G</t>
        </is>
      </c>
      <c r="C3661" s="12" t="inlineStr">
        <is>
          <t>Carbon capture</t>
        </is>
      </c>
      <c r="D3661" s="12" t="inlineStr">
        <is>
          <t>Motor 3 of 4, 15 kW</t>
        </is>
      </c>
      <c r="E3661" s="12" t="inlineStr"/>
      <c r="F3661" s="12" t="inlineStr">
        <is>
          <t>CCS MV switchgear building (VFDs)</t>
        </is>
      </c>
      <c r="G3661" s="12" t="inlineStr"/>
      <c r="H3661" s="12" t="inlineStr">
        <is>
          <t>Solvent + NaOH storage</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5" t="n">
        <v>250</v>
      </c>
      <c r="U3661" s="15" t="n">
        <v>37</v>
      </c>
      <c r="V3661" s="15">
        <f>ROUNDUP((T3661+U3661+2*'Read Me'!$B$13)*(1+'Read Me'!$B$12),-1)</f>
        <v/>
      </c>
      <c r="W3661" s="15">
        <f>V3661*N3661*O3661</f>
        <v/>
      </c>
      <c r="X3661" s="12">
        <f>IF(LEFT(I3661,2)="MV",2*N3661*IF(L3661="1/C",O3661,1),0)</f>
        <v/>
      </c>
      <c r="Y3661" s="12">
        <f>IF(OR(LEFT(K3661,4)="LVAX",LEFT(K3661,6)="MV15AX",LEFT(K3661,4)="CTAX",LEFT(K3661,2)="W|"),2*N3661*O3661,0)</f>
        <v/>
      </c>
      <c r="Z3661" s="12" t="inlineStr">
        <is>
          <t>VD 2.9 %</t>
        </is>
      </c>
      <c r="AA3661" s="12">
        <f>N3661*O3661</f>
        <v/>
      </c>
    </row>
    <row r="3662">
      <c r="A3662" s="12" t="inlineStr">
        <is>
          <t>G-P-0251</t>
        </is>
      </c>
      <c r="B3662" s="12" t="inlineStr">
        <is>
          <t>G</t>
        </is>
      </c>
      <c r="C3662" s="12" t="inlineStr">
        <is>
          <t>Carbon capture</t>
        </is>
      </c>
      <c r="D3662" s="12" t="inlineStr">
        <is>
          <t>Motor 4 of 4, 15 kW</t>
        </is>
      </c>
      <c r="E3662" s="12" t="inlineStr"/>
      <c r="F3662" s="12" t="inlineStr">
        <is>
          <t>CCS MV switchgear building (VFDs)</t>
        </is>
      </c>
      <c r="G3662" s="12" t="inlineStr"/>
      <c r="H3662" s="12" t="inlineStr">
        <is>
          <t>Solvent + NaOH storage</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5" t="n">
        <v>250</v>
      </c>
      <c r="U3662" s="15" t="n">
        <v>37</v>
      </c>
      <c r="V3662" s="15">
        <f>ROUNDUP((T3662+U3662+2*'Read Me'!$B$13)*(1+'Read Me'!$B$12),-1)</f>
        <v/>
      </c>
      <c r="W3662" s="15">
        <f>V3662*N3662*O3662</f>
        <v/>
      </c>
      <c r="X3662" s="12">
        <f>IF(LEFT(I3662,2)="MV",2*N3662*IF(L3662="1/C",O3662,1),0)</f>
        <v/>
      </c>
      <c r="Y3662" s="12">
        <f>IF(OR(LEFT(K3662,4)="LVAX",LEFT(K3662,6)="MV15AX",LEFT(K3662,4)="CTAX",LEFT(K3662,2)="W|"),2*N3662*O3662,0)</f>
        <v/>
      </c>
      <c r="Z3662" s="12" t="inlineStr">
        <is>
          <t>VD 2.9 %</t>
        </is>
      </c>
      <c r="AA3662" s="12">
        <f>N3662*O3662</f>
        <v/>
      </c>
    </row>
    <row r="3663">
      <c r="A3663" s="12" t="inlineStr">
        <is>
          <t>G-P-0252</t>
        </is>
      </c>
      <c r="B3663" s="12" t="inlineStr">
        <is>
          <t>G</t>
        </is>
      </c>
      <c r="C3663" s="12" t="inlineStr">
        <is>
          <t>Carbon capture</t>
        </is>
      </c>
      <c r="D3663" s="12" t="inlineStr">
        <is>
          <t>Motor 1 of 2, 110 kW</t>
        </is>
      </c>
      <c r="E3663" s="12" t="inlineStr"/>
      <c r="F3663" s="12" t="inlineStr">
        <is>
          <t>CCS MV switchgear building (VFDs)</t>
        </is>
      </c>
      <c r="G3663" s="12" t="inlineStr"/>
      <c r="H3663" s="12" t="inlineStr">
        <is>
          <t>Water-wash pumps A</t>
        </is>
      </c>
      <c r="I3663" s="12" t="inlineStr">
        <is>
          <t>LV 600 V</t>
        </is>
      </c>
      <c r="J3663" s="12" t="inlineStr">
        <is>
          <t>Type TC-ER 600 V 3/C Cu XHHW-2 + ground, PVC jacket</t>
        </is>
      </c>
      <c r="K3663" s="12" t="inlineStr">
        <is>
          <t>LV|3/C+G|3/0</t>
        </is>
      </c>
      <c r="L3663" s="12" t="inlineStr">
        <is>
          <t>3/C+G</t>
        </is>
      </c>
      <c r="M3663" s="12" t="inlineStr">
        <is>
          <t>3/0</t>
        </is>
      </c>
      <c r="N3663" s="12" t="n">
        <v>1</v>
      </c>
      <c r="O3663" s="12" t="n">
        <v>1</v>
      </c>
      <c r="P3663" s="12" t="n">
        <v>480</v>
      </c>
      <c r="Q3663" s="12" t="n">
        <v>110</v>
      </c>
      <c r="R3663" s="12" t="n">
        <v>155.7</v>
      </c>
      <c r="S3663" s="12" t="inlineStr">
        <is>
          <t>Tray</t>
        </is>
      </c>
      <c r="T3663" s="15" t="n">
        <v>519</v>
      </c>
      <c r="U3663" s="15" t="n">
        <v>66</v>
      </c>
      <c r="V3663" s="15">
        <f>ROUNDUP((T3663+U3663+2*'Read Me'!$B$13)*(1+'Read Me'!$B$12),-1)</f>
        <v/>
      </c>
      <c r="W3663" s="15">
        <f>V3663*N3663*O3663</f>
        <v/>
      </c>
      <c r="X3663" s="12">
        <f>IF(LEFT(I3663,2)="MV",2*N3663*IF(L3663="1/C",O3663,1),0)</f>
        <v/>
      </c>
      <c r="Y3663" s="12">
        <f>IF(OR(LEFT(K3663,4)="LVAX",LEFT(K3663,6)="MV15AX",LEFT(K3663,4)="CTAX",LEFT(K3663,2)="W|"),2*N3663*O3663,0)</f>
        <v/>
      </c>
      <c r="Z3663" s="12" t="inlineStr">
        <is>
          <t>VD 2.8 %</t>
        </is>
      </c>
      <c r="AA3663" s="12">
        <f>N3663*O3663</f>
        <v/>
      </c>
    </row>
    <row r="3664">
      <c r="A3664" s="12" t="inlineStr">
        <is>
          <t>G-P-0253</t>
        </is>
      </c>
      <c r="B3664" s="12" t="inlineStr">
        <is>
          <t>G</t>
        </is>
      </c>
      <c r="C3664" s="12" t="inlineStr">
        <is>
          <t>Carbon capture</t>
        </is>
      </c>
      <c r="D3664" s="12" t="inlineStr">
        <is>
          <t>Motor 2 of 2, 110 kW</t>
        </is>
      </c>
      <c r="E3664" s="12" t="inlineStr"/>
      <c r="F3664" s="12" t="inlineStr">
        <is>
          <t>CCS MV switchgear building (VFDs)</t>
        </is>
      </c>
      <c r="G3664" s="12" t="inlineStr"/>
      <c r="H3664" s="12" t="inlineStr">
        <is>
          <t>Water-wash pumps A</t>
        </is>
      </c>
      <c r="I3664" s="12" t="inlineStr">
        <is>
          <t>LV 600 V</t>
        </is>
      </c>
      <c r="J3664" s="12" t="inlineStr">
        <is>
          <t>Type TC-ER 600 V 3/C Cu XHHW-2 + ground, PVC jacket</t>
        </is>
      </c>
      <c r="K3664" s="12" t="inlineStr">
        <is>
          <t>LV|3/C+G|3/0</t>
        </is>
      </c>
      <c r="L3664" s="12" t="inlineStr">
        <is>
          <t>3/C+G</t>
        </is>
      </c>
      <c r="M3664" s="12" t="inlineStr">
        <is>
          <t>3/0</t>
        </is>
      </c>
      <c r="N3664" s="12" t="n">
        <v>1</v>
      </c>
      <c r="O3664" s="12" t="n">
        <v>1</v>
      </c>
      <c r="P3664" s="12" t="n">
        <v>480</v>
      </c>
      <c r="Q3664" s="12" t="n">
        <v>110</v>
      </c>
      <c r="R3664" s="12" t="n">
        <v>155.7</v>
      </c>
      <c r="S3664" s="12" t="inlineStr">
        <is>
          <t>Tray</t>
        </is>
      </c>
      <c r="T3664" s="15" t="n">
        <v>519</v>
      </c>
      <c r="U3664" s="15" t="n">
        <v>66</v>
      </c>
      <c r="V3664" s="15">
        <f>ROUNDUP((T3664+U3664+2*'Read Me'!$B$13)*(1+'Read Me'!$B$12),-1)</f>
        <v/>
      </c>
      <c r="W3664" s="15">
        <f>V3664*N3664*O3664</f>
        <v/>
      </c>
      <c r="X3664" s="12">
        <f>IF(LEFT(I3664,2)="MV",2*N3664*IF(L3664="1/C",O3664,1),0)</f>
        <v/>
      </c>
      <c r="Y3664" s="12">
        <f>IF(OR(LEFT(K3664,4)="LVAX",LEFT(K3664,6)="MV15AX",LEFT(K3664,4)="CTAX",LEFT(K3664,2)="W|"),2*N3664*O3664,0)</f>
        <v/>
      </c>
      <c r="Z3664" s="12" t="inlineStr">
        <is>
          <t>VD 2.8 %</t>
        </is>
      </c>
      <c r="AA3664" s="12">
        <f>N3664*O3664</f>
        <v/>
      </c>
    </row>
    <row r="3665">
      <c r="A3665" s="12" t="inlineStr">
        <is>
          <t>G-P-0254</t>
        </is>
      </c>
      <c r="B3665" s="12" t="inlineStr">
        <is>
          <t>G</t>
        </is>
      </c>
      <c r="C3665" s="12" t="inlineStr">
        <is>
          <t>Carbon capture</t>
        </is>
      </c>
      <c r="D3665" s="12" t="inlineStr">
        <is>
          <t>Motor 1 of 2, 110 kW</t>
        </is>
      </c>
      <c r="E3665" s="12" t="inlineStr"/>
      <c r="F3665" s="12" t="inlineStr">
        <is>
          <t>CCS MV switchgear building (VFDs)</t>
        </is>
      </c>
      <c r="G3665" s="12" t="inlineStr"/>
      <c r="H3665" s="12" t="inlineStr">
        <is>
          <t>Water-wash pumps B</t>
        </is>
      </c>
      <c r="I3665" s="12" t="inlineStr">
        <is>
          <t>LV 600 V</t>
        </is>
      </c>
      <c r="J3665" s="12" t="inlineStr">
        <is>
          <t>Type TC-ER 600 V 3/C Cu XHHW-2 + ground, PVC jacket</t>
        </is>
      </c>
      <c r="K3665" s="12" t="inlineStr">
        <is>
          <t>LV|3/C+G|3/0</t>
        </is>
      </c>
      <c r="L3665" s="12" t="inlineStr">
        <is>
          <t>3/C+G</t>
        </is>
      </c>
      <c r="M3665" s="12" t="inlineStr">
        <is>
          <t>3/0</t>
        </is>
      </c>
      <c r="N3665" s="12" t="n">
        <v>1</v>
      </c>
      <c r="O3665" s="12" t="n">
        <v>1</v>
      </c>
      <c r="P3665" s="12" t="n">
        <v>480</v>
      </c>
      <c r="Q3665" s="12" t="n">
        <v>110</v>
      </c>
      <c r="R3665" s="12" t="n">
        <v>155.7</v>
      </c>
      <c r="S3665" s="12" t="inlineStr">
        <is>
          <t>Tray</t>
        </is>
      </c>
      <c r="T3665" s="15" t="n">
        <v>359</v>
      </c>
      <c r="U3665" s="15" t="n">
        <v>66</v>
      </c>
      <c r="V3665" s="15">
        <f>ROUNDUP((T3665+U3665+2*'Read Me'!$B$13)*(1+'Read Me'!$B$12),-1)</f>
        <v/>
      </c>
      <c r="W3665" s="15">
        <f>V3665*N3665*O3665</f>
        <v/>
      </c>
      <c r="X3665" s="12">
        <f>IF(LEFT(I3665,2)="MV",2*N3665*IF(L3665="1/C",O3665,1),0)</f>
        <v/>
      </c>
      <c r="Y3665" s="12">
        <f>IF(OR(LEFT(K3665,4)="LVAX",LEFT(K3665,6)="MV15AX",LEFT(K3665,4)="CTAX",LEFT(K3665,2)="W|"),2*N3665*O3665,0)</f>
        <v/>
      </c>
      <c r="Z3665" s="12" t="inlineStr">
        <is>
          <t>VD 2.0 %</t>
        </is>
      </c>
      <c r="AA3665" s="12">
        <f>N3665*O3665</f>
        <v/>
      </c>
    </row>
    <row r="3666">
      <c r="A3666" s="12" t="inlineStr">
        <is>
          <t>G-P-0255</t>
        </is>
      </c>
      <c r="B3666" s="12" t="inlineStr">
        <is>
          <t>G</t>
        </is>
      </c>
      <c r="C3666" s="12" t="inlineStr">
        <is>
          <t>Carbon capture</t>
        </is>
      </c>
      <c r="D3666" s="12" t="inlineStr">
        <is>
          <t>Motor 2 of 2, 110 kW</t>
        </is>
      </c>
      <c r="E3666" s="12" t="inlineStr"/>
      <c r="F3666" s="12" t="inlineStr">
        <is>
          <t>CCS MV switchgear building (VFDs)</t>
        </is>
      </c>
      <c r="G3666" s="12" t="inlineStr"/>
      <c r="H3666" s="12" t="inlineStr">
        <is>
          <t>Water-wash pumps B</t>
        </is>
      </c>
      <c r="I3666" s="12" t="inlineStr">
        <is>
          <t>LV 600 V</t>
        </is>
      </c>
      <c r="J3666" s="12" t="inlineStr">
        <is>
          <t>Type TC-ER 600 V 3/C Cu XHHW-2 + ground, PVC jacket</t>
        </is>
      </c>
      <c r="K3666" s="12" t="inlineStr">
        <is>
          <t>LV|3/C+G|3/0</t>
        </is>
      </c>
      <c r="L3666" s="12" t="inlineStr">
        <is>
          <t>3/C+G</t>
        </is>
      </c>
      <c r="M3666" s="12" t="inlineStr">
        <is>
          <t>3/0</t>
        </is>
      </c>
      <c r="N3666" s="12" t="n">
        <v>1</v>
      </c>
      <c r="O3666" s="12" t="n">
        <v>1</v>
      </c>
      <c r="P3666" s="12" t="n">
        <v>480</v>
      </c>
      <c r="Q3666" s="12" t="n">
        <v>110</v>
      </c>
      <c r="R3666" s="12" t="n">
        <v>155.7</v>
      </c>
      <c r="S3666" s="12" t="inlineStr">
        <is>
          <t>Tray</t>
        </is>
      </c>
      <c r="T3666" s="15" t="n">
        <v>359</v>
      </c>
      <c r="U3666" s="15" t="n">
        <v>66</v>
      </c>
      <c r="V3666" s="15">
        <f>ROUNDUP((T3666+U3666+2*'Read Me'!$B$13)*(1+'Read Me'!$B$12),-1)</f>
        <v/>
      </c>
      <c r="W3666" s="15">
        <f>V3666*N3666*O3666</f>
        <v/>
      </c>
      <c r="X3666" s="12">
        <f>IF(LEFT(I3666,2)="MV",2*N3666*IF(L3666="1/C",O3666,1),0)</f>
        <v/>
      </c>
      <c r="Y3666" s="12">
        <f>IF(OR(LEFT(K3666,4)="LVAX",LEFT(K3666,6)="MV15AX",LEFT(K3666,4)="CTAX",LEFT(K3666,2)="W|"),2*N3666*O3666,0)</f>
        <v/>
      </c>
      <c r="Z3666" s="12" t="inlineStr">
        <is>
          <t>VD 2.0 %</t>
        </is>
      </c>
      <c r="AA3666" s="12">
        <f>N3666*O3666</f>
        <v/>
      </c>
    </row>
    <row r="3667">
      <c r="A3667" s="12" t="inlineStr">
        <is>
          <t>G-P-0256</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C</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5" t="n">
        <v>199</v>
      </c>
      <c r="U3667" s="15" t="n">
        <v>66</v>
      </c>
      <c r="V3667" s="15">
        <f>ROUNDUP((T3667+U3667+2*'Read Me'!$B$13)*(1+'Read Me'!$B$12),-1)</f>
        <v/>
      </c>
      <c r="W3667" s="15">
        <f>V3667*N3667*O3667</f>
        <v/>
      </c>
      <c r="X3667" s="12">
        <f>IF(LEFT(I3667,2)="MV",2*N3667*IF(L3667="1/C",O3667,1),0)</f>
        <v/>
      </c>
      <c r="Y3667" s="12">
        <f>IF(OR(LEFT(K3667,4)="LVAX",LEFT(K3667,6)="MV15AX",LEFT(K3667,4)="CTAX",LEFT(K3667,2)="W|"),2*N3667*O3667,0)</f>
        <v/>
      </c>
      <c r="Z3667" s="12" t="inlineStr">
        <is>
          <t>VD 1.3 %</t>
        </is>
      </c>
      <c r="AA3667" s="12">
        <f>N3667*O3667</f>
        <v/>
      </c>
    </row>
    <row r="3668">
      <c r="A3668" s="12" t="inlineStr">
        <is>
          <t>G-P-0257</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C</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5" t="n">
        <v>199</v>
      </c>
      <c r="U3668" s="15" t="n">
        <v>66</v>
      </c>
      <c r="V3668" s="15">
        <f>ROUNDUP((T3668+U3668+2*'Read Me'!$B$13)*(1+'Read Me'!$B$12),-1)</f>
        <v/>
      </c>
      <c r="W3668" s="15">
        <f>V3668*N3668*O3668</f>
        <v/>
      </c>
      <c r="X3668" s="12">
        <f>IF(LEFT(I3668,2)="MV",2*N3668*IF(L3668="1/C",O3668,1),0)</f>
        <v/>
      </c>
      <c r="Y3668" s="12">
        <f>IF(OR(LEFT(K3668,4)="LVAX",LEFT(K3668,6)="MV15AX",LEFT(K3668,4)="CTAX",LEFT(K3668,2)="W|"),2*N3668*O3668,0)</f>
        <v/>
      </c>
      <c r="Z3668" s="12" t="inlineStr">
        <is>
          <t>VD 1.3 %</t>
        </is>
      </c>
      <c r="AA3668" s="12">
        <f>N3668*O3668</f>
        <v/>
      </c>
    </row>
    <row r="3669">
      <c r="A3669" s="12" t="inlineStr">
        <is>
          <t>G-MV-0001</t>
        </is>
      </c>
      <c r="B3669" s="12" t="inlineStr">
        <is>
          <t>G</t>
        </is>
      </c>
      <c r="C3669" s="12" t="inlineStr">
        <is>
          <t>Carbon capture</t>
        </is>
      </c>
      <c r="D3669" s="12" t="inlineStr">
        <is>
          <t>Booster fan BF-A (MV VFD output)</t>
        </is>
      </c>
      <c r="E3669" s="12" t="inlineStr"/>
      <c r="F3669" s="12" t="inlineStr">
        <is>
          <t>CCS MV switchgear building (VFDs)</t>
        </is>
      </c>
      <c r="G3669" s="12" t="inlineStr">
        <is>
          <t>BF-A</t>
        </is>
      </c>
      <c r="H3669" s="12" t="inlineStr">
        <is>
          <t>BF-A: booster fan (~16 MW)</t>
        </is>
      </c>
      <c r="I3669" s="12" t="inlineStr">
        <is>
          <t>MV 15 kV</t>
        </is>
      </c>
      <c r="J3669" s="12" t="inlineStr">
        <is>
          <t>MV-105 15 kV 1/C Cu, EPR 133%, Cu tape shield, PVC jacket (triplexed)</t>
        </is>
      </c>
      <c r="K3669" s="12" t="inlineStr">
        <is>
          <t>MV15|1/C|750</t>
        </is>
      </c>
      <c r="L3669" s="12" t="inlineStr">
        <is>
          <t>1/C</t>
        </is>
      </c>
      <c r="M3669" s="12" t="inlineStr">
        <is>
          <t>750 kcmil</t>
        </is>
      </c>
      <c r="N3669" s="12" t="n">
        <v>2</v>
      </c>
      <c r="O3669" s="12" t="n">
        <v>3</v>
      </c>
      <c r="P3669" s="12" t="n">
        <v>13800</v>
      </c>
      <c r="Q3669" s="12" t="n">
        <v>16000</v>
      </c>
      <c r="R3669" s="12" t="n">
        <v>744</v>
      </c>
      <c r="S3669" s="12" t="inlineStr">
        <is>
          <t>Duct bank</t>
        </is>
      </c>
      <c r="T3669" s="15" t="n">
        <v>460</v>
      </c>
      <c r="U3669" s="15" t="n">
        <v>32</v>
      </c>
      <c r="V3669" s="15">
        <f>ROUNDUP((T3669+U3669+2*'Read Me'!$B$13)*(1+'Read Me'!$B$12),-1)</f>
        <v/>
      </c>
      <c r="W3669" s="15">
        <f>V3669*N3669*O3669</f>
        <v/>
      </c>
      <c r="X3669" s="12">
        <f>IF(LEFT(I3669,2)="MV",2*N3669*IF(L3669="1/C",O3669,1),0)</f>
        <v/>
      </c>
      <c r="Y3669" s="12">
        <f>IF(OR(LEFT(K3669,4)="LVAX",LEFT(K3669,6)="MV15AX",LEFT(K3669,4)="CTAX",LEFT(K3669,2)="W|"),2*N3669*O3669,0)</f>
        <v/>
      </c>
      <c r="Z3669" s="12" t="inlineStr">
        <is>
          <t>~16 MW per drawing</t>
        </is>
      </c>
      <c r="AA3669" s="12">
        <f>N3669*O3669</f>
        <v/>
      </c>
    </row>
    <row r="3670">
      <c r="A3670" s="12" t="inlineStr">
        <is>
          <t>G-MV-0002</t>
        </is>
      </c>
      <c r="B3670" s="12" t="inlineStr">
        <is>
          <t>G</t>
        </is>
      </c>
      <c r="C3670" s="12" t="inlineStr">
        <is>
          <t>Carbon capture</t>
        </is>
      </c>
      <c r="D3670" s="12" t="inlineStr">
        <is>
          <t>Booster fan BF-B (MV VFD output)</t>
        </is>
      </c>
      <c r="E3670" s="12" t="inlineStr"/>
      <c r="F3670" s="12" t="inlineStr">
        <is>
          <t>CCS MV switchgear building (VFDs)</t>
        </is>
      </c>
      <c r="G3670" s="12" t="inlineStr">
        <is>
          <t>BF-B</t>
        </is>
      </c>
      <c r="H3670" s="12" t="inlineStr">
        <is>
          <t>BF-B: booster fan (~16 MW)</t>
        </is>
      </c>
      <c r="I3670" s="12" t="inlineStr">
        <is>
          <t>MV 15 kV</t>
        </is>
      </c>
      <c r="J3670" s="12" t="inlineStr">
        <is>
          <t>MV-105 15 kV 1/C Cu, EPR 133%, Cu tape shield, PVC jacket (triplexed)</t>
        </is>
      </c>
      <c r="K3670" s="12" t="inlineStr">
        <is>
          <t>MV15|1/C|750</t>
        </is>
      </c>
      <c r="L3670" s="12" t="inlineStr">
        <is>
          <t>1/C</t>
        </is>
      </c>
      <c r="M3670" s="12" t="inlineStr">
        <is>
          <t>750 kcmil</t>
        </is>
      </c>
      <c r="N3670" s="12" t="n">
        <v>2</v>
      </c>
      <c r="O3670" s="12" t="n">
        <v>3</v>
      </c>
      <c r="P3670" s="12" t="n">
        <v>13800</v>
      </c>
      <c r="Q3670" s="12" t="n">
        <v>16000</v>
      </c>
      <c r="R3670" s="12" t="n">
        <v>744</v>
      </c>
      <c r="S3670" s="12" t="inlineStr">
        <is>
          <t>Duct bank</t>
        </is>
      </c>
      <c r="T3670" s="15" t="n">
        <v>300</v>
      </c>
      <c r="U3670" s="15" t="n">
        <v>32</v>
      </c>
      <c r="V3670" s="15">
        <f>ROUNDUP((T3670+U3670+2*'Read Me'!$B$13)*(1+'Read Me'!$B$12),-1)</f>
        <v/>
      </c>
      <c r="W3670" s="15">
        <f>V3670*N3670*O3670</f>
        <v/>
      </c>
      <c r="X3670" s="12">
        <f>IF(LEFT(I3670,2)="MV",2*N3670*IF(L3670="1/C",O3670,1),0)</f>
        <v/>
      </c>
      <c r="Y3670" s="12">
        <f>IF(OR(LEFT(K3670,4)="LVAX",LEFT(K3670,6)="MV15AX",LEFT(K3670,4)="CTAX",LEFT(K3670,2)="W|"),2*N3670*O3670,0)</f>
        <v/>
      </c>
      <c r="Z3670" s="12" t="inlineStr">
        <is>
          <t>~16 MW per drawing</t>
        </is>
      </c>
      <c r="AA3670" s="12">
        <f>N3670*O3670</f>
        <v/>
      </c>
    </row>
    <row r="3671">
      <c r="A3671" s="12" t="inlineStr">
        <is>
          <t>G-MV-0003</t>
        </is>
      </c>
      <c r="B3671" s="12" t="inlineStr">
        <is>
          <t>G</t>
        </is>
      </c>
      <c r="C3671" s="12" t="inlineStr">
        <is>
          <t>Carbon capture</t>
        </is>
      </c>
      <c r="D3671" s="12" t="inlineStr">
        <is>
          <t>Booster fan BF-C (MV VFD output)</t>
        </is>
      </c>
      <c r="E3671" s="12" t="inlineStr"/>
      <c r="F3671" s="12" t="inlineStr">
        <is>
          <t>CCS MV switchgear building (VFDs)</t>
        </is>
      </c>
      <c r="G3671" s="12" t="inlineStr">
        <is>
          <t>BF-C</t>
        </is>
      </c>
      <c r="H3671" s="12" t="inlineStr">
        <is>
          <t>BF-C: booster fan (~16 MW)</t>
        </is>
      </c>
      <c r="I3671" s="12" t="inlineStr">
        <is>
          <t>MV 15 kV</t>
        </is>
      </c>
      <c r="J3671" s="12" t="inlineStr">
        <is>
          <t>MV-105 15 kV 1/C Cu, EPR 133%, Cu tape shield, PVC jacket (triplexed)</t>
        </is>
      </c>
      <c r="K3671" s="12" t="inlineStr">
        <is>
          <t>MV15|1/C|750</t>
        </is>
      </c>
      <c r="L3671" s="12" t="inlineStr">
        <is>
          <t>1/C</t>
        </is>
      </c>
      <c r="M3671" s="12" t="inlineStr">
        <is>
          <t>750 kcmil</t>
        </is>
      </c>
      <c r="N3671" s="12" t="n">
        <v>2</v>
      </c>
      <c r="O3671" s="12" t="n">
        <v>3</v>
      </c>
      <c r="P3671" s="12" t="n">
        <v>13800</v>
      </c>
      <c r="Q3671" s="12" t="n">
        <v>16000</v>
      </c>
      <c r="R3671" s="12" t="n">
        <v>744</v>
      </c>
      <c r="S3671" s="12" t="inlineStr">
        <is>
          <t>Duct bank</t>
        </is>
      </c>
      <c r="T3671" s="15" t="n">
        <v>140</v>
      </c>
      <c r="U3671" s="15" t="n">
        <v>32</v>
      </c>
      <c r="V3671" s="15">
        <f>ROUNDUP((T3671+U3671+2*'Read Me'!$B$13)*(1+'Read Me'!$B$12),-1)</f>
        <v/>
      </c>
      <c r="W3671" s="15">
        <f>V3671*N3671*O3671</f>
        <v/>
      </c>
      <c r="X3671" s="12">
        <f>IF(LEFT(I3671,2)="MV",2*N3671*IF(L3671="1/C",O3671,1),0)</f>
        <v/>
      </c>
      <c r="Y3671" s="12">
        <f>IF(OR(LEFT(K3671,4)="LVAX",LEFT(K3671,6)="MV15AX",LEFT(K3671,4)="CTAX",LEFT(K3671,2)="W|"),2*N3671*O3671,0)</f>
        <v/>
      </c>
      <c r="Z3671" s="12" t="inlineStr">
        <is>
          <t>~16 MW per drawing</t>
        </is>
      </c>
      <c r="AA3671" s="12">
        <f>N3671*O3671</f>
        <v/>
      </c>
    </row>
    <row r="3672">
      <c r="A3672" s="12" t="inlineStr">
        <is>
          <t>G-MV-0004</t>
        </is>
      </c>
      <c r="B3672" s="12" t="inlineStr">
        <is>
          <t>G</t>
        </is>
      </c>
      <c r="C3672" s="12" t="inlineStr">
        <is>
          <t>Carbon capture</t>
        </is>
      </c>
      <c r="D3672" s="12" t="inlineStr">
        <is>
          <t>CCS T-1 secondary to CCS 13.8 kV switchgear</t>
        </is>
      </c>
      <c r="E3672" s="12" t="inlineStr">
        <is>
          <t>CCS T-1</t>
        </is>
      </c>
      <c r="F3672" s="12" t="inlineStr">
        <is>
          <t>CCS T-1: 230/13.8 kV</t>
        </is>
      </c>
      <c r="G3672" s="12" t="inlineStr"/>
      <c r="H3672" s="12" t="inlineStr">
        <is>
          <t>CCS MV switchgear building (VFDs)</t>
        </is>
      </c>
      <c r="I3672" s="12" t="inlineStr">
        <is>
          <t>MV 15 kV</t>
        </is>
      </c>
      <c r="J3672" s="12" t="inlineStr">
        <is>
          <t>MV-105 15 kV 1/C Cu, EPR 133%, Cu tape shield, PVC jacket (triplexed)</t>
        </is>
      </c>
      <c r="K3672" s="12" t="inlineStr">
        <is>
          <t>MV15|1/C|1000</t>
        </is>
      </c>
      <c r="L3672" s="12" t="inlineStr">
        <is>
          <t>1/C</t>
        </is>
      </c>
      <c r="M3672" s="12" t="inlineStr">
        <is>
          <t>1000 kcmil</t>
        </is>
      </c>
      <c r="N3672" s="12" t="n">
        <v>5</v>
      </c>
      <c r="O3672" s="12" t="n">
        <v>3</v>
      </c>
      <c r="P3672" s="12" t="n">
        <v>13800</v>
      </c>
      <c r="Q3672" s="12" t="n">
        <v>60000</v>
      </c>
      <c r="R3672" s="12" t="n">
        <v>2510</v>
      </c>
      <c r="S3672" s="12" t="inlineStr">
        <is>
          <t>Duct bank</t>
        </is>
      </c>
      <c r="T3672" s="15" t="n">
        <v>361</v>
      </c>
      <c r="U3672" s="15" t="n">
        <v>33</v>
      </c>
      <c r="V3672" s="15">
        <f>ROUNDUP((T3672+U3672+2*'Read Me'!$B$13)*(1+'Read Me'!$B$12),-1)</f>
        <v/>
      </c>
      <c r="W3672" s="15">
        <f>V3672*N3672*O3672</f>
        <v/>
      </c>
      <c r="X3672" s="12">
        <f>IF(LEFT(I3672,2)="MV",2*N3672*IF(L3672="1/C",O3672,1),0)</f>
        <v/>
      </c>
      <c r="Y3672" s="12">
        <f>IF(OR(LEFT(K3672,4)="LVAX",LEFT(K3672,6)="MV15AX",LEFT(K3672,4)="CTAX",LEFT(K3672,2)="W|"),2*N3672*O3672,0)</f>
        <v/>
      </c>
      <c r="Z3672" s="12" t="inlineStr">
        <is>
          <t>60 MVA (typ.)</t>
        </is>
      </c>
      <c r="AA3672" s="12">
        <f>N3672*O3672</f>
        <v/>
      </c>
    </row>
    <row r="3673">
      <c r="A3673" s="12" t="inlineStr">
        <is>
          <t>G-MV-0005</t>
        </is>
      </c>
      <c r="B3673" s="12" t="inlineStr">
        <is>
          <t>G</t>
        </is>
      </c>
      <c r="C3673" s="12" t="inlineStr">
        <is>
          <t>Carbon capture</t>
        </is>
      </c>
      <c r="D3673" s="12" t="inlineStr">
        <is>
          <t>CCS T-2 secondary to CCS 13.8 kV switchgear</t>
        </is>
      </c>
      <c r="E3673" s="12" t="inlineStr">
        <is>
          <t>CCS T-2</t>
        </is>
      </c>
      <c r="F3673" s="12" t="inlineStr">
        <is>
          <t>CCS T-2: 230/13.8 kV</t>
        </is>
      </c>
      <c r="G3673" s="12" t="inlineStr"/>
      <c r="H3673" s="12" t="inlineStr">
        <is>
          <t>CCS MV switchgear building (VFDs)</t>
        </is>
      </c>
      <c r="I3673" s="12" t="inlineStr">
        <is>
          <t>MV 15 kV</t>
        </is>
      </c>
      <c r="J3673" s="12" t="inlineStr">
        <is>
          <t>MV-105 15 kV 1/C Cu, EPR 133%, Cu tape shield, PVC jacket (triplexed)</t>
        </is>
      </c>
      <c r="K3673" s="12" t="inlineStr">
        <is>
          <t>MV15|1/C|1000</t>
        </is>
      </c>
      <c r="L3673" s="12" t="inlineStr">
        <is>
          <t>1/C</t>
        </is>
      </c>
      <c r="M3673" s="12" t="inlineStr">
        <is>
          <t>1000 kcmil</t>
        </is>
      </c>
      <c r="N3673" s="12" t="n">
        <v>5</v>
      </c>
      <c r="O3673" s="12" t="n">
        <v>3</v>
      </c>
      <c r="P3673" s="12" t="n">
        <v>13800</v>
      </c>
      <c r="Q3673" s="12" t="n">
        <v>60000</v>
      </c>
      <c r="R3673" s="12" t="n">
        <v>2510</v>
      </c>
      <c r="S3673" s="12" t="inlineStr">
        <is>
          <t>Duct bank</t>
        </is>
      </c>
      <c r="T3673" s="15" t="n">
        <v>410</v>
      </c>
      <c r="U3673" s="15" t="n">
        <v>32</v>
      </c>
      <c r="V3673" s="15">
        <f>ROUNDUP((T3673+U3673+2*'Read Me'!$B$13)*(1+'Read Me'!$B$12),-1)</f>
        <v/>
      </c>
      <c r="W3673" s="15">
        <f>V3673*N3673*O3673</f>
        <v/>
      </c>
      <c r="X3673" s="12">
        <f>IF(LEFT(I3673,2)="MV",2*N3673*IF(L3673="1/C",O3673,1),0)</f>
        <v/>
      </c>
      <c r="Y3673" s="12">
        <f>IF(OR(LEFT(K3673,4)="LVAX",LEFT(K3673,6)="MV15AX",LEFT(K3673,4)="CTAX",LEFT(K3673,2)="W|"),2*N3673*O3673,0)</f>
        <v/>
      </c>
      <c r="Z3673" s="12" t="inlineStr">
        <is>
          <t>60 MVA (typ.)</t>
        </is>
      </c>
      <c r="AA3673" s="12">
        <f>N3673*O3673</f>
        <v/>
      </c>
    </row>
    <row r="3674">
      <c r="A3674" s="12" t="inlineStr">
        <is>
          <t>G-MV-0006</t>
        </is>
      </c>
      <c r="B3674" s="12" t="inlineStr">
        <is>
          <t>G</t>
        </is>
      </c>
      <c r="C3674" s="12" t="inlineStr">
        <is>
          <t>Carbon capture</t>
        </is>
      </c>
      <c r="D3674" s="12" t="inlineStr">
        <is>
          <t>CO2 compressor train 1</t>
        </is>
      </c>
      <c r="E3674" s="12" t="inlineStr"/>
      <c r="F3674" s="12" t="inlineStr">
        <is>
          <t>CCS MV switchgear building (VFDs)</t>
        </is>
      </c>
      <c r="G3674" s="12" t="inlineStr"/>
      <c r="H3674" s="12" t="inlineStr">
        <is>
          <t>CO2 compression 3 x ~19 MW + dehydration</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19000</v>
      </c>
      <c r="R3674" s="12" t="n">
        <v>883</v>
      </c>
      <c r="S3674" s="12" t="inlineStr">
        <is>
          <t>Duct bank</t>
        </is>
      </c>
      <c r="T3674" s="15" t="n">
        <v>291</v>
      </c>
      <c r="U3674" s="15" t="n">
        <v>36</v>
      </c>
      <c r="V3674" s="15">
        <f>ROUNDUP((T3674+U3674+2*'Read Me'!$B$13)*(1+'Read Me'!$B$12),-1)</f>
        <v/>
      </c>
      <c r="W3674" s="15">
        <f>V3674*N3674*O3674</f>
        <v/>
      </c>
      <c r="X3674" s="12">
        <f>IF(LEFT(I3674,2)="MV",2*N3674*IF(L3674="1/C",O3674,1),0)</f>
        <v/>
      </c>
      <c r="Y3674" s="12">
        <f>IF(OR(LEFT(K3674,4)="LVAX",LEFT(K3674,6)="MV15AX",LEFT(K3674,4)="CTAX",LEFT(K3674,2)="W|"),2*N3674*O3674,0)</f>
        <v/>
      </c>
      <c r="Z3674" s="12" t="inlineStr">
        <is>
          <t>~19 MW per drawing</t>
        </is>
      </c>
      <c r="AA3674" s="12">
        <f>N3674*O3674</f>
        <v/>
      </c>
    </row>
    <row r="3675">
      <c r="A3675" s="12" t="inlineStr">
        <is>
          <t>G-MV-0007</t>
        </is>
      </c>
      <c r="B3675" s="12" t="inlineStr">
        <is>
          <t>G</t>
        </is>
      </c>
      <c r="C3675" s="12" t="inlineStr">
        <is>
          <t>Carbon capture</t>
        </is>
      </c>
      <c r="D3675" s="12" t="inlineStr">
        <is>
          <t>CO2 compressor train 2</t>
        </is>
      </c>
      <c r="E3675" s="12" t="inlineStr"/>
      <c r="F3675" s="12" t="inlineStr">
        <is>
          <t>CCS MV switchgear building (VFDs)</t>
        </is>
      </c>
      <c r="G3675" s="12" t="inlineStr"/>
      <c r="H3675" s="12" t="inlineStr">
        <is>
          <t>CO2 compression 3 x ~19 MW + dehydration</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19000</v>
      </c>
      <c r="R3675" s="12" t="n">
        <v>883</v>
      </c>
      <c r="S3675" s="12" t="inlineStr">
        <is>
          <t>Duct bank</t>
        </is>
      </c>
      <c r="T3675" s="15" t="n">
        <v>291</v>
      </c>
      <c r="U3675" s="15" t="n">
        <v>36</v>
      </c>
      <c r="V3675" s="15">
        <f>ROUNDUP((T3675+U3675+2*'Read Me'!$B$13)*(1+'Read Me'!$B$12),-1)</f>
        <v/>
      </c>
      <c r="W3675" s="15">
        <f>V3675*N3675*O3675</f>
        <v/>
      </c>
      <c r="X3675" s="12">
        <f>IF(LEFT(I3675,2)="MV",2*N3675*IF(L3675="1/C",O3675,1),0)</f>
        <v/>
      </c>
      <c r="Y3675" s="12">
        <f>IF(OR(LEFT(K3675,4)="LVAX",LEFT(K3675,6)="MV15AX",LEFT(K3675,4)="CTAX",LEFT(K3675,2)="W|"),2*N3675*O3675,0)</f>
        <v/>
      </c>
      <c r="Z3675" s="12" t="inlineStr">
        <is>
          <t>~19 MW per drawing</t>
        </is>
      </c>
      <c r="AA3675" s="12">
        <f>N3675*O3675</f>
        <v/>
      </c>
    </row>
    <row r="3676">
      <c r="A3676" s="12" t="inlineStr">
        <is>
          <t>G-MV-0008</t>
        </is>
      </c>
      <c r="B3676" s="12" t="inlineStr">
        <is>
          <t>G</t>
        </is>
      </c>
      <c r="C3676" s="12" t="inlineStr">
        <is>
          <t>Carbon capture</t>
        </is>
      </c>
      <c r="D3676" s="12" t="inlineStr">
        <is>
          <t>CO2 compressor train 3</t>
        </is>
      </c>
      <c r="E3676" s="12" t="inlineStr"/>
      <c r="F3676" s="12" t="inlineStr">
        <is>
          <t>CCS MV switchgear building (VFDs)</t>
        </is>
      </c>
      <c r="G3676" s="12" t="inlineStr"/>
      <c r="H3676" s="12" t="inlineStr">
        <is>
          <t>CO2 compression 3 x ~19 MW + dehydration</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19000</v>
      </c>
      <c r="R3676" s="12" t="n">
        <v>883</v>
      </c>
      <c r="S3676" s="12" t="inlineStr">
        <is>
          <t>Duct bank</t>
        </is>
      </c>
      <c r="T3676" s="15" t="n">
        <v>291</v>
      </c>
      <c r="U3676" s="15" t="n">
        <v>36</v>
      </c>
      <c r="V3676" s="15">
        <f>ROUNDUP((T3676+U3676+2*'Read Me'!$B$13)*(1+'Read Me'!$B$12),-1)</f>
        <v/>
      </c>
      <c r="W3676" s="15">
        <f>V3676*N3676*O3676</f>
        <v/>
      </c>
      <c r="X3676" s="12">
        <f>IF(LEFT(I3676,2)="MV",2*N3676*IF(L3676="1/C",O3676,1),0)</f>
        <v/>
      </c>
      <c r="Y3676" s="12">
        <f>IF(OR(LEFT(K3676,4)="LVAX",LEFT(K3676,6)="MV15AX",LEFT(K3676,4)="CTAX",LEFT(K3676,2)="W|"),2*N3676*O3676,0)</f>
        <v/>
      </c>
      <c r="Z3676" s="12" t="inlineStr">
        <is>
          <t>~19 MW per drawing</t>
        </is>
      </c>
      <c r="AA3676" s="12">
        <f>N3676*O3676</f>
        <v/>
      </c>
    </row>
    <row r="3677">
      <c r="A3677" s="12" t="inlineStr">
        <is>
          <t>G-MV-0009</t>
        </is>
      </c>
      <c r="B3677" s="12" t="inlineStr">
        <is>
          <t>G</t>
        </is>
      </c>
      <c r="C3677" s="12" t="inlineStr">
        <is>
          <t>Carbon capture</t>
        </is>
      </c>
      <c r="D3677" s="12" t="inlineStr">
        <is>
          <t>HP CO2 export compressor (conditional)</t>
        </is>
      </c>
      <c r="E3677" s="12" t="inlineStr"/>
      <c r="F3677" s="12" t="inlineStr">
        <is>
          <t>CCS MV switchgear building (VFDs)</t>
        </is>
      </c>
      <c r="G3677" s="12" t="inlineStr"/>
      <c r="H3677" s="12" t="inlineStr">
        <is>
          <t>CONDITIONAL: HP export compressor + metering</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1</v>
      </c>
      <c r="O3677" s="12" t="n">
        <v>3</v>
      </c>
      <c r="P3677" s="12" t="n">
        <v>13800</v>
      </c>
      <c r="Q3677" s="12" t="n">
        <v>8000</v>
      </c>
      <c r="R3677" s="12" t="n">
        <v>372</v>
      </c>
      <c r="S3677" s="12" t="inlineStr">
        <is>
          <t>Duct bank</t>
        </is>
      </c>
      <c r="T3677" s="15" t="n">
        <v>303</v>
      </c>
      <c r="U3677" s="15" t="n">
        <v>34</v>
      </c>
      <c r="V3677" s="15">
        <f>ROUNDUP((T3677+U3677+2*'Read Me'!$B$13)*(1+'Read Me'!$B$12),-1)</f>
        <v/>
      </c>
      <c r="W3677" s="15">
        <f>V3677*N3677*O3677</f>
        <v/>
      </c>
      <c r="X3677" s="12">
        <f>IF(LEFT(I3677,2)="MV",2*N3677*IF(L3677="1/C",O3677,1),0)</f>
        <v/>
      </c>
      <c r="Y3677" s="12">
        <f>IF(OR(LEFT(K3677,4)="LVAX",LEFT(K3677,6)="MV15AX",LEFT(K3677,4)="CTAX",LEFT(K3677,2)="W|"),2*N3677*O3677,0)</f>
        <v/>
      </c>
      <c r="Z3677" s="12" t="inlineStr"/>
      <c r="AA3677" s="12">
        <f>N3677*O3677</f>
        <v/>
      </c>
    </row>
    <row r="3678">
      <c r="A3678" s="12" t="inlineStr">
        <is>
          <t>G-MV-0010</t>
        </is>
      </c>
      <c r="B3678" s="12" t="inlineStr">
        <is>
          <t>G</t>
        </is>
      </c>
      <c r="C3678" s="12" t="inlineStr">
        <is>
          <t>Carbon capture</t>
        </is>
      </c>
      <c r="D3678" s="12" t="inlineStr">
        <is>
          <t>CT MCC / VFD e-house transformer</t>
        </is>
      </c>
      <c r="E3678" s="12" t="inlineStr"/>
      <c r="F3678" s="12" t="inlineStr">
        <is>
          <t>CCS MV switchgear building (VFDs)</t>
        </is>
      </c>
      <c r="G3678" s="12" t="inlineStr"/>
      <c r="H3678" s="12" t="inlineStr">
        <is>
          <t>CT MCC / VFD e-house</t>
        </is>
      </c>
      <c r="I3678" s="12" t="inlineStr">
        <is>
          <t>MV 15 kV</t>
        </is>
      </c>
      <c r="J3678" s="12" t="inlineStr">
        <is>
          <t>MV-105 15 kV 1/C Cu, EPR 133%, Cu tape shield, PVC jacket (triplexed)</t>
        </is>
      </c>
      <c r="K3678" s="12" t="inlineStr">
        <is>
          <t>MV15|1/C|1/0</t>
        </is>
      </c>
      <c r="L3678" s="12" t="inlineStr">
        <is>
          <t>1/C</t>
        </is>
      </c>
      <c r="M3678" s="12" t="inlineStr">
        <is>
          <t>1/0</t>
        </is>
      </c>
      <c r="N3678" s="12" t="n">
        <v>1</v>
      </c>
      <c r="O3678" s="12" t="n">
        <v>3</v>
      </c>
      <c r="P3678" s="12" t="n">
        <v>13800</v>
      </c>
      <c r="Q3678" s="12" t="n">
        <v>3000</v>
      </c>
      <c r="R3678" s="12" t="n">
        <v>126</v>
      </c>
      <c r="S3678" s="12" t="inlineStr">
        <is>
          <t>Duct bank</t>
        </is>
      </c>
      <c r="T3678" s="15" t="n">
        <v>770</v>
      </c>
      <c r="U3678" s="15" t="n">
        <v>167</v>
      </c>
      <c r="V3678" s="15">
        <f>ROUNDUP((T3678+U3678+2*'Read Me'!$B$13)*(1+'Read Me'!$B$12),-1)</f>
        <v/>
      </c>
      <c r="W3678" s="15">
        <f>V3678*N3678*O3678</f>
        <v/>
      </c>
      <c r="X3678" s="12">
        <f>IF(LEFT(I3678,2)="MV",2*N3678*IF(L3678="1/C",O3678,1),0)</f>
        <v/>
      </c>
      <c r="Y3678" s="12">
        <f>IF(OR(LEFT(K3678,4)="LVAX",LEFT(K3678,6)="MV15AX",LEFT(K3678,4)="CTAX",LEFT(K3678,2)="W|"),2*N3678*O3678,0)</f>
        <v/>
      </c>
      <c r="Z3678" s="12" t="inlineStr"/>
      <c r="AA3678" s="12">
        <f>N3678*O3678</f>
        <v/>
      </c>
    </row>
    <row r="3679">
      <c r="A3679" s="12" t="inlineStr">
        <is>
          <t>G-MV-0011</t>
        </is>
      </c>
      <c r="B3679" s="12" t="inlineStr">
        <is>
          <t>G</t>
        </is>
      </c>
      <c r="C3679" s="12" t="inlineStr">
        <is>
          <t>Carbon capture</t>
        </is>
      </c>
      <c r="D3679" s="12" t="inlineStr">
        <is>
          <t>CT MCC / VFD e-house transformer</t>
        </is>
      </c>
      <c r="E3679" s="12" t="inlineStr"/>
      <c r="F3679" s="12" t="inlineStr">
        <is>
          <t>CCS MV switchgear building (VFDs)</t>
        </is>
      </c>
      <c r="G3679" s="12" t="inlineStr"/>
      <c r="H3679" s="12" t="inlineStr">
        <is>
          <t>CT MCC / VFD e-house</t>
        </is>
      </c>
      <c r="I3679" s="12" t="inlineStr">
        <is>
          <t>MV 15 kV</t>
        </is>
      </c>
      <c r="J3679" s="12" t="inlineStr">
        <is>
          <t>MV-105 15 kV 1/C Cu, EPR 133%, Cu tape shield, PVC jacket (triplexed)</t>
        </is>
      </c>
      <c r="K3679" s="12" t="inlineStr">
        <is>
          <t>MV15|1/C|1/0</t>
        </is>
      </c>
      <c r="L3679" s="12" t="inlineStr">
        <is>
          <t>1/C</t>
        </is>
      </c>
      <c r="M3679" s="12" t="inlineStr">
        <is>
          <t>1/0</t>
        </is>
      </c>
      <c r="N3679" s="12" t="n">
        <v>1</v>
      </c>
      <c r="O3679" s="12" t="n">
        <v>3</v>
      </c>
      <c r="P3679" s="12" t="n">
        <v>13800</v>
      </c>
      <c r="Q3679" s="12" t="n">
        <v>3000</v>
      </c>
      <c r="R3679" s="12" t="n">
        <v>126</v>
      </c>
      <c r="S3679" s="12" t="inlineStr">
        <is>
          <t>Duct bank</t>
        </is>
      </c>
      <c r="T3679" s="15" t="n">
        <v>770</v>
      </c>
      <c r="U3679" s="15" t="n">
        <v>167</v>
      </c>
      <c r="V3679" s="15">
        <f>ROUNDUP((T3679+U3679+2*'Read Me'!$B$13)*(1+'Read Me'!$B$12),-1)</f>
        <v/>
      </c>
      <c r="W3679" s="15">
        <f>V3679*N3679*O3679</f>
        <v/>
      </c>
      <c r="X3679" s="12">
        <f>IF(LEFT(I3679,2)="MV",2*N3679*IF(L3679="1/C",O3679,1),0)</f>
        <v/>
      </c>
      <c r="Y3679" s="12">
        <f>IF(OR(LEFT(K3679,4)="LVAX",LEFT(K3679,6)="MV15AX",LEFT(K3679,4)="CTAX",LEFT(K3679,2)="W|"),2*N3679*O3679,0)</f>
        <v/>
      </c>
      <c r="Z3679" s="12" t="inlineStr"/>
      <c r="AA3679" s="12">
        <f>N3679*O3679</f>
        <v/>
      </c>
    </row>
    <row r="3680">
      <c r="A3680" s="12" t="inlineStr">
        <is>
          <t>G-MV-0012</t>
        </is>
      </c>
      <c r="B3680" s="12" t="inlineStr">
        <is>
          <t>G</t>
        </is>
      </c>
      <c r="C3680" s="12" t="inlineStr">
        <is>
          <t>Carbon capture</t>
        </is>
      </c>
      <c r="D3680" s="12" t="inlineStr">
        <is>
          <t>CCS circulating-water pump 1</t>
        </is>
      </c>
      <c r="E3680" s="12" t="inlineStr"/>
      <c r="F3680" s="12" t="inlineStr">
        <is>
          <t>CCS MV switchgear building (VFDs)</t>
        </is>
      </c>
      <c r="G3680" s="12" t="inlineStr"/>
      <c r="H3680" s="12" t="inlineStr">
        <is>
          <t>CCS circulating-water pumps</t>
        </is>
      </c>
      <c r="I3680" s="12" t="inlineStr">
        <is>
          <t>MV 5 kV</t>
        </is>
      </c>
      <c r="J3680" s="12" t="inlineStr">
        <is>
          <t>MV-105 5 kV 3/C Cu, EPR 133%, tape shield, gnd, PVC jacket</t>
        </is>
      </c>
      <c r="K3680" s="12" t="inlineStr">
        <is>
          <t>MV5|3/C|4/0</t>
        </is>
      </c>
      <c r="L3680" s="12" t="inlineStr">
        <is>
          <t>3/C</t>
        </is>
      </c>
      <c r="M3680" s="12" t="inlineStr">
        <is>
          <t>4/0</t>
        </is>
      </c>
      <c r="N3680" s="12" t="n">
        <v>1</v>
      </c>
      <c r="O3680" s="12" t="n">
        <v>1</v>
      </c>
      <c r="P3680" s="12" t="n">
        <v>4160</v>
      </c>
      <c r="Q3680" s="12" t="n">
        <v>1200</v>
      </c>
      <c r="R3680" s="12" t="n">
        <v>185</v>
      </c>
      <c r="S3680" s="12" t="inlineStr">
        <is>
          <t>Duct bank</t>
        </is>
      </c>
      <c r="T3680" s="15" t="n">
        <v>770</v>
      </c>
      <c r="U3680" s="15" t="n">
        <v>107</v>
      </c>
      <c r="V3680" s="15">
        <f>ROUNDUP((T3680+U3680+2*'Read Me'!$B$13)*(1+'Read Me'!$B$12),-1)</f>
        <v/>
      </c>
      <c r="W3680" s="15">
        <f>V3680*N3680*O3680</f>
        <v/>
      </c>
      <c r="X3680" s="12">
        <f>IF(LEFT(I3680,2)="MV",2*N3680*IF(L3680="1/C",O3680,1),0)</f>
        <v/>
      </c>
      <c r="Y3680" s="12">
        <f>IF(OR(LEFT(K3680,4)="LVAX",LEFT(K3680,6)="MV15AX",LEFT(K3680,4)="CTAX",LEFT(K3680,2)="W|"),2*N3680*O3680,0)</f>
        <v/>
      </c>
      <c r="Z3680" s="12" t="inlineStr"/>
      <c r="AA3680" s="12">
        <f>N3680*O3680</f>
        <v/>
      </c>
    </row>
    <row r="3681">
      <c r="A3681" s="12" t="inlineStr">
        <is>
          <t>G-MV-0013</t>
        </is>
      </c>
      <c r="B3681" s="12" t="inlineStr">
        <is>
          <t>G</t>
        </is>
      </c>
      <c r="C3681" s="12" t="inlineStr">
        <is>
          <t>Carbon capture</t>
        </is>
      </c>
      <c r="D3681" s="12" t="inlineStr">
        <is>
          <t>CCS circulating-water pump 2</t>
        </is>
      </c>
      <c r="E3681" s="12" t="inlineStr"/>
      <c r="F3681" s="12" t="inlineStr">
        <is>
          <t>CCS MV switchgear building (VFDs)</t>
        </is>
      </c>
      <c r="G3681" s="12" t="inlineStr"/>
      <c r="H3681" s="12" t="inlineStr">
        <is>
          <t>CCS circulating-water pumps</t>
        </is>
      </c>
      <c r="I3681" s="12" t="inlineStr">
        <is>
          <t>MV 5 kV</t>
        </is>
      </c>
      <c r="J3681" s="12" t="inlineStr">
        <is>
          <t>MV-105 5 kV 3/C Cu, EPR 133%, tape shield, gnd, PVC jacket</t>
        </is>
      </c>
      <c r="K3681" s="12" t="inlineStr">
        <is>
          <t>MV5|3/C|4/0</t>
        </is>
      </c>
      <c r="L3681" s="12" t="inlineStr">
        <is>
          <t>3/C</t>
        </is>
      </c>
      <c r="M3681" s="12" t="inlineStr">
        <is>
          <t>4/0</t>
        </is>
      </c>
      <c r="N3681" s="12" t="n">
        <v>1</v>
      </c>
      <c r="O3681" s="12" t="n">
        <v>1</v>
      </c>
      <c r="P3681" s="12" t="n">
        <v>4160</v>
      </c>
      <c r="Q3681" s="12" t="n">
        <v>1200</v>
      </c>
      <c r="R3681" s="12" t="n">
        <v>185</v>
      </c>
      <c r="S3681" s="12" t="inlineStr">
        <is>
          <t>Duct bank</t>
        </is>
      </c>
      <c r="T3681" s="15" t="n">
        <v>770</v>
      </c>
      <c r="U3681" s="15" t="n">
        <v>107</v>
      </c>
      <c r="V3681" s="15">
        <f>ROUNDUP((T3681+U3681+2*'Read Me'!$B$13)*(1+'Read Me'!$B$12),-1)</f>
        <v/>
      </c>
      <c r="W3681" s="15">
        <f>V3681*N3681*O3681</f>
        <v/>
      </c>
      <c r="X3681" s="12">
        <f>IF(LEFT(I3681,2)="MV",2*N3681*IF(L3681="1/C",O3681,1),0)</f>
        <v/>
      </c>
      <c r="Y3681" s="12">
        <f>IF(OR(LEFT(K3681,4)="LVAX",LEFT(K3681,6)="MV15AX",LEFT(K3681,4)="CTAX",LEFT(K3681,2)="W|"),2*N3681*O3681,0)</f>
        <v/>
      </c>
      <c r="Z3681" s="12" t="inlineStr"/>
      <c r="AA3681" s="12">
        <f>N3681*O3681</f>
        <v/>
      </c>
    </row>
    <row r="3682">
      <c r="A3682" s="12" t="inlineStr">
        <is>
          <t>G-MV-0014</t>
        </is>
      </c>
      <c r="B3682" s="12" t="inlineStr">
        <is>
          <t>G</t>
        </is>
      </c>
      <c r="C3682" s="12" t="inlineStr">
        <is>
          <t>Carbon capture</t>
        </is>
      </c>
      <c r="D3682" s="12" t="inlineStr">
        <is>
          <t>CCS circulating-water pump 3</t>
        </is>
      </c>
      <c r="E3682" s="12" t="inlineStr"/>
      <c r="F3682" s="12" t="inlineStr">
        <is>
          <t>CCS MV switchgear building (VFDs)</t>
        </is>
      </c>
      <c r="G3682" s="12" t="inlineStr"/>
      <c r="H3682" s="12" t="inlineStr">
        <is>
          <t>CCS circulating-water pumps</t>
        </is>
      </c>
      <c r="I3682" s="12" t="inlineStr">
        <is>
          <t>MV 5 kV</t>
        </is>
      </c>
      <c r="J3682" s="12" t="inlineStr">
        <is>
          <t>MV-105 5 kV 3/C Cu, EPR 133%, tape shield, gnd, PVC jacket</t>
        </is>
      </c>
      <c r="K3682" s="12" t="inlineStr">
        <is>
          <t>MV5|3/C|4/0</t>
        </is>
      </c>
      <c r="L3682" s="12" t="inlineStr">
        <is>
          <t>3/C</t>
        </is>
      </c>
      <c r="M3682" s="12" t="inlineStr">
        <is>
          <t>4/0</t>
        </is>
      </c>
      <c r="N3682" s="12" t="n">
        <v>1</v>
      </c>
      <c r="O3682" s="12" t="n">
        <v>1</v>
      </c>
      <c r="P3682" s="12" t="n">
        <v>4160</v>
      </c>
      <c r="Q3682" s="12" t="n">
        <v>1200</v>
      </c>
      <c r="R3682" s="12" t="n">
        <v>185</v>
      </c>
      <c r="S3682" s="12" t="inlineStr">
        <is>
          <t>Duct bank</t>
        </is>
      </c>
      <c r="T3682" s="15" t="n">
        <v>770</v>
      </c>
      <c r="U3682" s="15" t="n">
        <v>107</v>
      </c>
      <c r="V3682" s="15">
        <f>ROUNDUP((T3682+U3682+2*'Read Me'!$B$13)*(1+'Read Me'!$B$12),-1)</f>
        <v/>
      </c>
      <c r="W3682" s="15">
        <f>V3682*N3682*O3682</f>
        <v/>
      </c>
      <c r="X3682" s="12">
        <f>IF(LEFT(I3682,2)="MV",2*N3682*IF(L3682="1/C",O3682,1),0)</f>
        <v/>
      </c>
      <c r="Y3682" s="12">
        <f>IF(OR(LEFT(K3682,4)="LVAX",LEFT(K3682,6)="MV15AX",LEFT(K3682,4)="CTAX",LEFT(K3682,2)="W|"),2*N3682*O3682,0)</f>
        <v/>
      </c>
      <c r="Z3682" s="12" t="inlineStr"/>
      <c r="AA3682" s="12">
        <f>N3682*O3682</f>
        <v/>
      </c>
    </row>
    <row r="3683">
      <c r="A3683" s="12" t="inlineStr">
        <is>
          <t>G-MV-0015</t>
        </is>
      </c>
      <c r="B3683" s="12" t="inlineStr">
        <is>
          <t>G</t>
        </is>
      </c>
      <c r="C3683" s="12" t="inlineStr">
        <is>
          <t>Carbon capture</t>
        </is>
      </c>
      <c r="D3683" s="12" t="inlineStr">
        <is>
          <t>CCS circulating-water pump 4</t>
        </is>
      </c>
      <c r="E3683" s="12" t="inlineStr"/>
      <c r="F3683" s="12" t="inlineStr">
        <is>
          <t>CCS MV switchgear building (VFDs)</t>
        </is>
      </c>
      <c r="G3683" s="12" t="inlineStr"/>
      <c r="H3683" s="12" t="inlineStr">
        <is>
          <t>CCS circulating-water pumps</t>
        </is>
      </c>
      <c r="I3683" s="12" t="inlineStr">
        <is>
          <t>MV 5 kV</t>
        </is>
      </c>
      <c r="J3683" s="12" t="inlineStr">
        <is>
          <t>MV-105 5 kV 3/C Cu, EPR 133%, tape shield, gnd, PVC jacket</t>
        </is>
      </c>
      <c r="K3683" s="12" t="inlineStr">
        <is>
          <t>MV5|3/C|4/0</t>
        </is>
      </c>
      <c r="L3683" s="12" t="inlineStr">
        <is>
          <t>3/C</t>
        </is>
      </c>
      <c r="M3683" s="12" t="inlineStr">
        <is>
          <t>4/0</t>
        </is>
      </c>
      <c r="N3683" s="12" t="n">
        <v>1</v>
      </c>
      <c r="O3683" s="12" t="n">
        <v>1</v>
      </c>
      <c r="P3683" s="12" t="n">
        <v>4160</v>
      </c>
      <c r="Q3683" s="12" t="n">
        <v>1200</v>
      </c>
      <c r="R3683" s="12" t="n">
        <v>185</v>
      </c>
      <c r="S3683" s="12" t="inlineStr">
        <is>
          <t>Duct bank</t>
        </is>
      </c>
      <c r="T3683" s="15" t="n">
        <v>770</v>
      </c>
      <c r="U3683" s="15" t="n">
        <v>107</v>
      </c>
      <c r="V3683" s="15">
        <f>ROUNDUP((T3683+U3683+2*'Read Me'!$B$13)*(1+'Read Me'!$B$12),-1)</f>
        <v/>
      </c>
      <c r="W3683" s="15">
        <f>V3683*N3683*O3683</f>
        <v/>
      </c>
      <c r="X3683" s="12">
        <f>IF(LEFT(I3683,2)="MV",2*N3683*IF(L3683="1/C",O3683,1),0)</f>
        <v/>
      </c>
      <c r="Y3683" s="12">
        <f>IF(OR(LEFT(K3683,4)="LVAX",LEFT(K3683,6)="MV15AX",LEFT(K3683,4)="CTAX",LEFT(K3683,2)="W|"),2*N3683*O3683,0)</f>
        <v/>
      </c>
      <c r="Z3683" s="12" t="inlineStr"/>
      <c r="AA3683" s="12">
        <f>N3683*O3683</f>
        <v/>
      </c>
    </row>
    <row r="3684">
      <c r="A3684" s="12" t="inlineStr">
        <is>
          <t>G-MV-0016</t>
        </is>
      </c>
      <c r="B3684" s="12" t="inlineStr">
        <is>
          <t>G</t>
        </is>
      </c>
      <c r="C3684" s="12" t="inlineStr">
        <is>
          <t>Carbon capture</t>
        </is>
      </c>
      <c r="D3684" s="12" t="inlineStr">
        <is>
          <t>Rich / lean amine pumps (A)</t>
        </is>
      </c>
      <c r="E3684" s="12" t="inlineStr"/>
      <c r="F3684" s="12" t="inlineStr">
        <is>
          <t>CCS MV switchgear building (VFDs)</t>
        </is>
      </c>
      <c r="G3684" s="12" t="inlineStr"/>
      <c r="H3684" s="12" t="inlineStr">
        <is>
          <t>Rich/lean pumps, cross exchanger, lean cooler A</t>
        </is>
      </c>
      <c r="I3684" s="12" t="inlineStr">
        <is>
          <t>MV 5 kV</t>
        </is>
      </c>
      <c r="J3684" s="12" t="inlineStr">
        <is>
          <t>MV-105 5 kV 3/C Cu, EPR 133%, tape shield, gnd, PVC jacket</t>
        </is>
      </c>
      <c r="K3684" s="12" t="inlineStr">
        <is>
          <t>MV5|3/C|2</t>
        </is>
      </c>
      <c r="L3684" s="12" t="inlineStr">
        <is>
          <t>3/C</t>
        </is>
      </c>
      <c r="M3684" s="12" t="inlineStr">
        <is>
          <t>2</t>
        </is>
      </c>
      <c r="N3684" s="12" t="n">
        <v>1</v>
      </c>
      <c r="O3684" s="12" t="n">
        <v>1</v>
      </c>
      <c r="P3684" s="12" t="n">
        <v>4160</v>
      </c>
      <c r="Q3684" s="12" t="n">
        <v>450</v>
      </c>
      <c r="R3684" s="12" t="n">
        <v>69</v>
      </c>
      <c r="S3684" s="12" t="inlineStr">
        <is>
          <t>Tray</t>
        </is>
      </c>
      <c r="T3684" s="15" t="n">
        <v>519</v>
      </c>
      <c r="U3684" s="15" t="n">
        <v>82</v>
      </c>
      <c r="V3684" s="15">
        <f>ROUNDUP((T3684+U3684+2*'Read Me'!$B$13)*(1+'Read Me'!$B$12),-1)</f>
        <v/>
      </c>
      <c r="W3684" s="15">
        <f>V3684*N3684*O3684</f>
        <v/>
      </c>
      <c r="X3684" s="12">
        <f>IF(LEFT(I3684,2)="MV",2*N3684*IF(L3684="1/C",O3684,1),0)</f>
        <v/>
      </c>
      <c r="Y3684" s="12">
        <f>IF(OR(LEFT(K3684,4)="LVAX",LEFT(K3684,6)="MV15AX",LEFT(K3684,4)="CTAX",LEFT(K3684,2)="W|"),2*N3684*O3684,0)</f>
        <v/>
      </c>
      <c r="Z3684" s="12" t="inlineStr"/>
      <c r="AA3684" s="12">
        <f>N3684*O3684</f>
        <v/>
      </c>
    </row>
    <row r="3685">
      <c r="A3685" s="12" t="inlineStr">
        <is>
          <t>G-MV-0017</t>
        </is>
      </c>
      <c r="B3685" s="12" t="inlineStr">
        <is>
          <t>G</t>
        </is>
      </c>
      <c r="C3685" s="12" t="inlineStr">
        <is>
          <t>Carbon capture</t>
        </is>
      </c>
      <c r="D3685" s="12" t="inlineStr">
        <is>
          <t>Rich / lean amine pumps (A)</t>
        </is>
      </c>
      <c r="E3685" s="12" t="inlineStr"/>
      <c r="F3685" s="12" t="inlineStr">
        <is>
          <t>CCS MV switchgear building (VFDs)</t>
        </is>
      </c>
      <c r="G3685" s="12" t="inlineStr"/>
      <c r="H3685" s="12" t="inlineStr">
        <is>
          <t>Rich/lean pumps, cross exchanger, lean cooler A</t>
        </is>
      </c>
      <c r="I3685" s="12" t="inlineStr">
        <is>
          <t>MV 5 kV</t>
        </is>
      </c>
      <c r="J3685" s="12" t="inlineStr">
        <is>
          <t>MV-105 5 kV 3/C Cu, EPR 133%, tape shield, gnd, PVC jacket</t>
        </is>
      </c>
      <c r="K3685" s="12" t="inlineStr">
        <is>
          <t>MV5|3/C|2</t>
        </is>
      </c>
      <c r="L3685" s="12" t="inlineStr">
        <is>
          <t>3/C</t>
        </is>
      </c>
      <c r="M3685" s="12" t="inlineStr">
        <is>
          <t>2</t>
        </is>
      </c>
      <c r="N3685" s="12" t="n">
        <v>1</v>
      </c>
      <c r="O3685" s="12" t="n">
        <v>1</v>
      </c>
      <c r="P3685" s="12" t="n">
        <v>4160</v>
      </c>
      <c r="Q3685" s="12" t="n">
        <v>450</v>
      </c>
      <c r="R3685" s="12" t="n">
        <v>69</v>
      </c>
      <c r="S3685" s="12" t="inlineStr">
        <is>
          <t>Tray</t>
        </is>
      </c>
      <c r="T3685" s="15" t="n">
        <v>519</v>
      </c>
      <c r="U3685" s="15" t="n">
        <v>82</v>
      </c>
      <c r="V3685" s="15">
        <f>ROUNDUP((T3685+U3685+2*'Read Me'!$B$13)*(1+'Read Me'!$B$12),-1)</f>
        <v/>
      </c>
      <c r="W3685" s="15">
        <f>V3685*N3685*O3685</f>
        <v/>
      </c>
      <c r="X3685" s="12">
        <f>IF(LEFT(I3685,2)="MV",2*N3685*IF(L3685="1/C",O3685,1),0)</f>
        <v/>
      </c>
      <c r="Y3685" s="12">
        <f>IF(OR(LEFT(K3685,4)="LVAX",LEFT(K3685,6)="MV15AX",LEFT(K3685,4)="CTAX",LEFT(K3685,2)="W|"),2*N3685*O3685,0)</f>
        <v/>
      </c>
      <c r="Z3685" s="12" t="inlineStr"/>
      <c r="AA3685" s="12">
        <f>N3685*O3685</f>
        <v/>
      </c>
    </row>
    <row r="3686">
      <c r="A3686" s="12" t="inlineStr">
        <is>
          <t>G-MV-0018</t>
        </is>
      </c>
      <c r="B3686" s="12" t="inlineStr">
        <is>
          <t>G</t>
        </is>
      </c>
      <c r="C3686" s="12" t="inlineStr">
        <is>
          <t>Carbon capture</t>
        </is>
      </c>
      <c r="D3686" s="12" t="inlineStr">
        <is>
          <t>Rich / lean amine pumps (B)</t>
        </is>
      </c>
      <c r="E3686" s="12" t="inlineStr"/>
      <c r="F3686" s="12" t="inlineStr">
        <is>
          <t>CCS MV switchgear building (VFDs)</t>
        </is>
      </c>
      <c r="G3686" s="12" t="inlineStr"/>
      <c r="H3686" s="12" t="inlineStr">
        <is>
          <t>Rich/lean pumps, cross exchanger, lean cooler B</t>
        </is>
      </c>
      <c r="I3686" s="12" t="inlineStr">
        <is>
          <t>MV 5 kV</t>
        </is>
      </c>
      <c r="J3686" s="12" t="inlineStr">
        <is>
          <t>MV-105 5 kV 3/C Cu, EPR 133%, tape shield, gnd, PVC jacket</t>
        </is>
      </c>
      <c r="K3686" s="12" t="inlineStr">
        <is>
          <t>MV5|3/C|2</t>
        </is>
      </c>
      <c r="L3686" s="12" t="inlineStr">
        <is>
          <t>3/C</t>
        </is>
      </c>
      <c r="M3686" s="12" t="inlineStr">
        <is>
          <t>2</t>
        </is>
      </c>
      <c r="N3686" s="12" t="n">
        <v>1</v>
      </c>
      <c r="O3686" s="12" t="n">
        <v>1</v>
      </c>
      <c r="P3686" s="12" t="n">
        <v>4160</v>
      </c>
      <c r="Q3686" s="12" t="n">
        <v>450</v>
      </c>
      <c r="R3686" s="12" t="n">
        <v>69</v>
      </c>
      <c r="S3686" s="12" t="inlineStr">
        <is>
          <t>Tray</t>
        </is>
      </c>
      <c r="T3686" s="15" t="n">
        <v>359</v>
      </c>
      <c r="U3686" s="15" t="n">
        <v>82</v>
      </c>
      <c r="V3686" s="15">
        <f>ROUNDUP((T3686+U3686+2*'Read Me'!$B$13)*(1+'Read Me'!$B$12),-1)</f>
        <v/>
      </c>
      <c r="W3686" s="15">
        <f>V3686*N3686*O3686</f>
        <v/>
      </c>
      <c r="X3686" s="12">
        <f>IF(LEFT(I3686,2)="MV",2*N3686*IF(L3686="1/C",O3686,1),0)</f>
        <v/>
      </c>
      <c r="Y3686" s="12">
        <f>IF(OR(LEFT(K3686,4)="LVAX",LEFT(K3686,6)="MV15AX",LEFT(K3686,4)="CTAX",LEFT(K3686,2)="W|"),2*N3686*O3686,0)</f>
        <v/>
      </c>
      <c r="Z3686" s="12" t="inlineStr"/>
      <c r="AA3686" s="12">
        <f>N3686*O3686</f>
        <v/>
      </c>
    </row>
    <row r="3687">
      <c r="A3687" s="12" t="inlineStr">
        <is>
          <t>G-MV-0019</t>
        </is>
      </c>
      <c r="B3687" s="12" t="inlineStr">
        <is>
          <t>G</t>
        </is>
      </c>
      <c r="C3687" s="12" t="inlineStr">
        <is>
          <t>Carbon capture</t>
        </is>
      </c>
      <c r="D3687" s="12" t="inlineStr">
        <is>
          <t>Rich / lean amine pumps (B)</t>
        </is>
      </c>
      <c r="E3687" s="12" t="inlineStr"/>
      <c r="F3687" s="12" t="inlineStr">
        <is>
          <t>CCS MV switchgear building (VFDs)</t>
        </is>
      </c>
      <c r="G3687" s="12" t="inlineStr"/>
      <c r="H3687" s="12" t="inlineStr">
        <is>
          <t>Rich/lean pumps, cross exchanger, lean cooler B</t>
        </is>
      </c>
      <c r="I3687" s="12" t="inlineStr">
        <is>
          <t>MV 5 kV</t>
        </is>
      </c>
      <c r="J3687" s="12" t="inlineStr">
        <is>
          <t>MV-105 5 kV 3/C Cu, EPR 133%, tape shield, gnd, PVC jacket</t>
        </is>
      </c>
      <c r="K3687" s="12" t="inlineStr">
        <is>
          <t>MV5|3/C|2</t>
        </is>
      </c>
      <c r="L3687" s="12" t="inlineStr">
        <is>
          <t>3/C</t>
        </is>
      </c>
      <c r="M3687" s="12" t="inlineStr">
        <is>
          <t>2</t>
        </is>
      </c>
      <c r="N3687" s="12" t="n">
        <v>1</v>
      </c>
      <c r="O3687" s="12" t="n">
        <v>1</v>
      </c>
      <c r="P3687" s="12" t="n">
        <v>4160</v>
      </c>
      <c r="Q3687" s="12" t="n">
        <v>450</v>
      </c>
      <c r="R3687" s="12" t="n">
        <v>69</v>
      </c>
      <c r="S3687" s="12" t="inlineStr">
        <is>
          <t>Tray</t>
        </is>
      </c>
      <c r="T3687" s="15" t="n">
        <v>359</v>
      </c>
      <c r="U3687" s="15" t="n">
        <v>82</v>
      </c>
      <c r="V3687" s="15">
        <f>ROUNDUP((T3687+U3687+2*'Read Me'!$B$13)*(1+'Read Me'!$B$12),-1)</f>
        <v/>
      </c>
      <c r="W3687" s="15">
        <f>V3687*N3687*O3687</f>
        <v/>
      </c>
      <c r="X3687" s="12">
        <f>IF(LEFT(I3687,2)="MV",2*N3687*IF(L3687="1/C",O3687,1),0)</f>
        <v/>
      </c>
      <c r="Y3687" s="12">
        <f>IF(OR(LEFT(K3687,4)="LVAX",LEFT(K3687,6)="MV15AX",LEFT(K3687,4)="CTAX",LEFT(K3687,2)="W|"),2*N3687*O3687,0)</f>
        <v/>
      </c>
      <c r="Z3687" s="12" t="inlineStr"/>
      <c r="AA3687" s="12">
        <f>N3687*O3687</f>
        <v/>
      </c>
    </row>
    <row r="3688">
      <c r="A3688" s="12" t="inlineStr">
        <is>
          <t>G-MV-0020</t>
        </is>
      </c>
      <c r="B3688" s="12" t="inlineStr">
        <is>
          <t>G</t>
        </is>
      </c>
      <c r="C3688" s="12" t="inlineStr">
        <is>
          <t>Carbon capture</t>
        </is>
      </c>
      <c r="D3688" s="12" t="inlineStr">
        <is>
          <t>Rich / lean amine pumps (C)</t>
        </is>
      </c>
      <c r="E3688" s="12" t="inlineStr"/>
      <c r="F3688" s="12" t="inlineStr">
        <is>
          <t>CCS MV switchgear building (VFDs)</t>
        </is>
      </c>
      <c r="G3688" s="12" t="inlineStr"/>
      <c r="H3688" s="12" t="inlineStr">
        <is>
          <t>Rich/lean pumps, cross exchanger, lean cooler C</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Conduit link</t>
        </is>
      </c>
      <c r="T3688" s="15" t="n">
        <v>0</v>
      </c>
      <c r="U3688" s="15" t="n">
        <v>69</v>
      </c>
      <c r="V3688" s="15">
        <f>ROUNDUP((T3688+U3688+2*'Read Me'!$B$13)*(1+'Read Me'!$B$12),-1)</f>
        <v/>
      </c>
      <c r="W3688" s="15">
        <f>V3688*N3688*O3688</f>
        <v/>
      </c>
      <c r="X3688" s="12">
        <f>IF(LEFT(I3688,2)="MV",2*N3688*IF(L3688="1/C",O3688,1),0)</f>
        <v/>
      </c>
      <c r="Y3688" s="12">
        <f>IF(OR(LEFT(K3688,4)="LVAX",LEFT(K3688,6)="MV15AX",LEFT(K3688,4)="CTAX",LEFT(K3688,2)="W|"),2*N3688*O3688,0)</f>
        <v/>
      </c>
      <c r="Z3688" s="12" t="inlineStr"/>
      <c r="AA3688" s="12">
        <f>N3688*O3688</f>
        <v/>
      </c>
    </row>
    <row r="3689">
      <c r="A3689" s="12" t="inlineStr">
        <is>
          <t>G-MV-0021</t>
        </is>
      </c>
      <c r="B3689" s="12" t="inlineStr">
        <is>
          <t>G</t>
        </is>
      </c>
      <c r="C3689" s="12" t="inlineStr">
        <is>
          <t>Carbon capture</t>
        </is>
      </c>
      <c r="D3689" s="12" t="inlineStr">
        <is>
          <t>Rich / lean amine pumps (C)</t>
        </is>
      </c>
      <c r="E3689" s="12" t="inlineStr"/>
      <c r="F3689" s="12" t="inlineStr">
        <is>
          <t>CCS MV switchgear building (VFDs)</t>
        </is>
      </c>
      <c r="G3689" s="12" t="inlineStr"/>
      <c r="H3689" s="12" t="inlineStr">
        <is>
          <t>Rich/lean pumps, cross exchanger, lean cooler C</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Conduit link</t>
        </is>
      </c>
      <c r="T3689" s="15" t="n">
        <v>0</v>
      </c>
      <c r="U3689" s="15" t="n">
        <v>69</v>
      </c>
      <c r="V3689" s="15">
        <f>ROUNDUP((T3689+U3689+2*'Read Me'!$B$13)*(1+'Read Me'!$B$12),-1)</f>
        <v/>
      </c>
      <c r="W3689" s="15">
        <f>V3689*N3689*O3689</f>
        <v/>
      </c>
      <c r="X3689" s="12">
        <f>IF(LEFT(I3689,2)="MV",2*N3689*IF(L3689="1/C",O3689,1),0)</f>
        <v/>
      </c>
      <c r="Y3689" s="12">
        <f>IF(OR(LEFT(K3689,4)="LVAX",LEFT(K3689,6)="MV15AX",LEFT(K3689,4)="CTAX",LEFT(K3689,2)="W|"),2*N3689*O3689,0)</f>
        <v/>
      </c>
      <c r="Z3689" s="12" t="inlineStr"/>
      <c r="AA3689" s="12">
        <f>N3689*O3689</f>
        <v/>
      </c>
    </row>
    <row r="3690">
      <c r="A3690" s="12" t="inlineStr">
        <is>
          <t>H-L-0001</t>
        </is>
      </c>
      <c r="B3690" s="12" t="inlineStr">
        <is>
          <t>H</t>
        </is>
      </c>
      <c r="C3690" s="12" t="inlineStr">
        <is>
          <t>BESS</t>
        </is>
      </c>
      <c r="D3690" s="12" t="inlineStr">
        <is>
          <t>Lighting, receptacles and small power branch circuits (allowance)</t>
        </is>
      </c>
      <c r="E3690" s="12" t="inlineStr"/>
      <c r="F3690" s="12" t="inlineStr">
        <is>
          <t>34.5 kV collector e-house (arc-resistant)</t>
        </is>
      </c>
      <c r="G3690" s="12" t="inlineStr"/>
      <c r="H3690" s="12" t="inlineStr">
        <is>
          <t>34.5 kV collector e-house (arc-resistant)</t>
        </is>
      </c>
      <c r="I3690" s="12" t="inlineStr">
        <is>
          <t>Building wire</t>
        </is>
      </c>
      <c r="J3690" s="12" t="inlineStr">
        <is>
          <t>SIMpull THHN/THWN-2 600 V 1/C Cu (lighting, receptacles, small power)</t>
        </is>
      </c>
      <c r="K3690" s="12" t="inlineStr">
        <is>
          <t>THHN|1/C|12</t>
        </is>
      </c>
      <c r="L3690" s="12" t="inlineStr">
        <is>
          <t>1/C</t>
        </is>
      </c>
      <c r="M3690" s="12" t="inlineStr">
        <is>
          <t>12</t>
        </is>
      </c>
      <c r="N3690" s="12" t="n">
        <v>1</v>
      </c>
      <c r="O3690" s="12" t="n">
        <v>1</v>
      </c>
      <c r="P3690" s="12" t="n">
        <v>277</v>
      </c>
      <c r="Q3690" s="12" t="n"/>
      <c r="R3690" s="12" t="n"/>
      <c r="S3690" s="12" t="inlineStr">
        <is>
          <t>Conduit</t>
        </is>
      </c>
      <c r="T3690" s="15" t="n">
        <v>1280</v>
      </c>
      <c r="U3690" s="15" t="n">
        <v>0</v>
      </c>
      <c r="V3690" s="15">
        <f>ROUNDUP((T3690+U3690+2*'Read Me'!$B$13)*(1+'Read Me'!$B$12),-1)</f>
        <v/>
      </c>
      <c r="W3690" s="15">
        <f>V3690*N3690*O3690</f>
        <v/>
      </c>
      <c r="X3690" s="12">
        <f>IF(LEFT(I3690,2)="MV",2*N3690*IF(L3690="1/C",O3690,1),0)</f>
        <v/>
      </c>
      <c r="Y3690" s="12">
        <f>IF(OR(LEFT(K3690,4)="LVAX",LEFT(K3690,6)="MV15AX",LEFT(K3690,4)="CTAX",LEFT(K3690,2)="W|"),2*N3690*O3690,0)</f>
        <v/>
      </c>
      <c r="Z3690" s="12" t="inlineStr">
        <is>
          <t>allowance: 1.6 ft of conductor per ft2 of floor</t>
        </is>
      </c>
      <c r="AA3690" s="12">
        <f>N3690*O3690</f>
        <v/>
      </c>
    </row>
    <row r="3691">
      <c r="A3691" s="12" t="inlineStr">
        <is>
          <t>H-L-0002</t>
        </is>
      </c>
      <c r="B3691" s="12" t="inlineStr">
        <is>
          <t>H</t>
        </is>
      </c>
      <c r="C3691" s="12" t="inlineStr">
        <is>
          <t>BESS</t>
        </is>
      </c>
      <c r="D3691" s="12" t="inlineStr">
        <is>
          <t>Lighting, receptacles and small power branch circuits (allowance)</t>
        </is>
      </c>
      <c r="E3691" s="12" t="inlineStr"/>
      <c r="F3691" s="12" t="inlineStr">
        <is>
          <t>BESS EMS / SCADA and revenue metering</t>
        </is>
      </c>
      <c r="G3691" s="12" t="inlineStr"/>
      <c r="H3691" s="12" t="inlineStr">
        <is>
          <t>BESS EMS / SCADA and revenue metering</t>
        </is>
      </c>
      <c r="I3691" s="12" t="inlineStr">
        <is>
          <t>Building wire</t>
        </is>
      </c>
      <c r="J3691" s="12" t="inlineStr">
        <is>
          <t>SIMpull THHN/THWN-2 600 V 1/C Cu (lighting, receptacles, small power)</t>
        </is>
      </c>
      <c r="K3691" s="12" t="inlineStr">
        <is>
          <t>THHN|1/C|12</t>
        </is>
      </c>
      <c r="L3691" s="12" t="inlineStr">
        <is>
          <t>1/C</t>
        </is>
      </c>
      <c r="M3691" s="12" t="inlineStr">
        <is>
          <t>12</t>
        </is>
      </c>
      <c r="N3691" s="12" t="n">
        <v>1</v>
      </c>
      <c r="O3691" s="12" t="n">
        <v>1</v>
      </c>
      <c r="P3691" s="12" t="n">
        <v>277</v>
      </c>
      <c r="Q3691" s="12" t="n"/>
      <c r="R3691" s="12" t="n"/>
      <c r="S3691" s="12" t="inlineStr">
        <is>
          <t>Conduit</t>
        </is>
      </c>
      <c r="T3691" s="15" t="n">
        <v>384</v>
      </c>
      <c r="U3691" s="15" t="n">
        <v>0</v>
      </c>
      <c r="V3691" s="15">
        <f>ROUNDUP((T3691+U3691+2*'Read Me'!$B$13)*(1+'Read Me'!$B$12),-1)</f>
        <v/>
      </c>
      <c r="W3691" s="15">
        <f>V3691*N3691*O3691</f>
        <v/>
      </c>
      <c r="X3691" s="12">
        <f>IF(LEFT(I3691,2)="MV",2*N3691*IF(L3691="1/C",O3691,1),0)</f>
        <v/>
      </c>
      <c r="Y3691" s="12">
        <f>IF(OR(LEFT(K3691,4)="LVAX",LEFT(K3691,6)="MV15AX",LEFT(K3691,4)="CTAX",LEFT(K3691,2)="W|"),2*N3691*O3691,0)</f>
        <v/>
      </c>
      <c r="Z3691" s="12" t="inlineStr">
        <is>
          <t>allowance: 1.6 ft of conductor per ft2 of floor</t>
        </is>
      </c>
      <c r="AA3691" s="12">
        <f>N3691*O3691</f>
        <v/>
      </c>
    </row>
    <row r="3692">
      <c r="A3692" s="12" t="inlineStr">
        <is>
          <t>H-C-0001</t>
        </is>
      </c>
      <c r="B3692" s="12" t="inlineStr">
        <is>
          <t>H</t>
        </is>
      </c>
      <c r="C3692" s="12" t="inlineStr">
        <is>
          <t>BESS</t>
        </is>
      </c>
      <c r="D3692" s="12" t="inlineStr">
        <is>
          <t>Control</t>
        </is>
      </c>
      <c r="E3692" s="12" t="inlineStr"/>
      <c r="F3692" s="12" t="inlineStr">
        <is>
          <t>BESS EMS / SCADA and revenue metering</t>
        </is>
      </c>
      <c r="G3692" s="12" t="inlineStr"/>
      <c r="H3692" s="12" t="inlineStr">
        <is>
          <t>34.5 kV collector e-house (arc-resistant)</t>
        </is>
      </c>
      <c r="I3692" s="12" t="inlineStr">
        <is>
          <t>Control</t>
        </is>
      </c>
      <c r="J3692" s="12" t="inlineStr">
        <is>
          <t>Control cable 600 V Type TC-ER, Cu #14 AWG, PVC jacket</t>
        </is>
      </c>
      <c r="K3692" s="12" t="inlineStr">
        <is>
          <t>CT|7/C|14</t>
        </is>
      </c>
      <c r="L3692" s="12" t="inlineStr">
        <is>
          <t>7/C</t>
        </is>
      </c>
      <c r="M3692" s="12" t="inlineStr">
        <is>
          <t>14</t>
        </is>
      </c>
      <c r="N3692" s="12" t="n">
        <v>1</v>
      </c>
      <c r="O3692" s="12" t="n">
        <v>1</v>
      </c>
      <c r="P3692" s="12" t="n"/>
      <c r="Q3692" s="12" t="n"/>
      <c r="R3692" s="12" t="n"/>
      <c r="S3692" s="12" t="inlineStr">
        <is>
          <t>Duct bank</t>
        </is>
      </c>
      <c r="T3692" s="15" t="n">
        <v>68</v>
      </c>
      <c r="U3692" s="15" t="n">
        <v>37</v>
      </c>
      <c r="V3692" s="15">
        <f>ROUNDUP((T3692+U3692+2*'Read Me'!$B$13)*(1+'Read Me'!$B$12),-1)</f>
        <v/>
      </c>
      <c r="W3692" s="15">
        <f>V3692*N3692*O3692</f>
        <v/>
      </c>
      <c r="X3692" s="12">
        <f>IF(LEFT(I3692,2)="MV",2*N3692*IF(L3692="1/C",O3692,1),0)</f>
        <v/>
      </c>
      <c r="Y3692" s="12">
        <f>IF(OR(LEFT(K3692,4)="LVAX",LEFT(K3692,6)="MV15AX",LEFT(K3692,4)="CTAX",LEFT(K3692,2)="W|"),2*N3692*O3692,0)</f>
        <v/>
      </c>
      <c r="Z3692" s="12" t="inlineStr"/>
      <c r="AA3692" s="12">
        <f>N3692*O3692</f>
        <v/>
      </c>
    </row>
    <row r="3693">
      <c r="A3693" s="12" t="inlineStr">
        <is>
          <t>H-C-0002</t>
        </is>
      </c>
      <c r="B3693" s="12" t="inlineStr">
        <is>
          <t>H</t>
        </is>
      </c>
      <c r="C3693" s="12" t="inlineStr">
        <is>
          <t>BESS</t>
        </is>
      </c>
      <c r="D3693" s="12" t="inlineStr">
        <is>
          <t>Control</t>
        </is>
      </c>
      <c r="E3693" s="12" t="inlineStr"/>
      <c r="F3693" s="12" t="inlineStr">
        <is>
          <t>BESS EMS / SCADA and revenue metering</t>
        </is>
      </c>
      <c r="G3693" s="12" t="inlineStr"/>
      <c r="H3693" s="12" t="inlineStr">
        <is>
          <t>BESS EMS / SCADA and revenue metering</t>
        </is>
      </c>
      <c r="I3693" s="12" t="inlineStr">
        <is>
          <t>Control</t>
        </is>
      </c>
      <c r="J3693" s="12" t="inlineStr">
        <is>
          <t>ARMOR-X MC-HL 600 V control, Cu #14 AWG (Class I Div 2)</t>
        </is>
      </c>
      <c r="K3693" s="12" t="inlineStr">
        <is>
          <t>CTAX|7/C|14</t>
        </is>
      </c>
      <c r="L3693" s="12" t="inlineStr">
        <is>
          <t>7/C</t>
        </is>
      </c>
      <c r="M3693" s="12" t="inlineStr">
        <is>
          <t>14</t>
        </is>
      </c>
      <c r="N3693" s="12" t="n">
        <v>1</v>
      </c>
      <c r="O3693" s="12" t="n">
        <v>1</v>
      </c>
      <c r="P3693" s="12" t="n"/>
      <c r="Q3693" s="12" t="n"/>
      <c r="R3693" s="12" t="n"/>
      <c r="S3693" s="12" t="inlineStr">
        <is>
          <t>Tray</t>
        </is>
      </c>
      <c r="T3693" s="15" t="n">
        <v>0</v>
      </c>
      <c r="U3693" s="15" t="n">
        <v>32</v>
      </c>
      <c r="V3693" s="15">
        <f>ROUNDUP((T3693+U3693+2*'Read Me'!$B$13)*(1+'Read Me'!$B$12),-1)</f>
        <v/>
      </c>
      <c r="W3693" s="15">
        <f>V3693*N3693*O3693</f>
        <v/>
      </c>
      <c r="X3693" s="12">
        <f>IF(LEFT(I3693,2)="MV",2*N3693*IF(L3693="1/C",O3693,1),0)</f>
        <v/>
      </c>
      <c r="Y3693" s="12">
        <f>IF(OR(LEFT(K3693,4)="LVAX",LEFT(K3693,6)="MV15AX",LEFT(K3693,4)="CTAX",LEFT(K3693,2)="W|"),2*N3693*O3693,0)</f>
        <v/>
      </c>
      <c r="Z3693" s="12" t="inlineStr"/>
      <c r="AA3693" s="12">
        <f>N3693*O3693</f>
        <v/>
      </c>
    </row>
    <row r="3694">
      <c r="A3694" s="12" t="inlineStr">
        <is>
          <t>H-C-0003</t>
        </is>
      </c>
      <c r="B3694" s="12" t="inlineStr">
        <is>
          <t>H</t>
        </is>
      </c>
      <c r="C3694" s="12" t="inlineStr">
        <is>
          <t>BESS</t>
        </is>
      </c>
      <c r="D3694" s="12" t="inlineStr">
        <is>
          <t>Motor 1 of 2: control / local station</t>
        </is>
      </c>
      <c r="E3694" s="12" t="inlineStr"/>
      <c r="F3694" s="12" t="inlineStr">
        <is>
          <t>BESS auxiliary transformer</t>
        </is>
      </c>
      <c r="G3694" s="12" t="inlineStr"/>
      <c r="H3694" s="12" t="inlineStr">
        <is>
          <t>BESS PCS / MV skid</t>
        </is>
      </c>
      <c r="I3694" s="12" t="inlineStr">
        <is>
          <t>Control</t>
        </is>
      </c>
      <c r="J3694" s="12" t="inlineStr">
        <is>
          <t>Control cable 600 V Type TC-ER, Cu #14 AWG, PVC jacket</t>
        </is>
      </c>
      <c r="K3694" s="12" t="inlineStr">
        <is>
          <t>CT|7/C|14</t>
        </is>
      </c>
      <c r="L3694" s="12" t="inlineStr">
        <is>
          <t>7/C</t>
        </is>
      </c>
      <c r="M3694" s="12" t="inlineStr">
        <is>
          <t>14</t>
        </is>
      </c>
      <c r="N3694" s="12" t="n">
        <v>1</v>
      </c>
      <c r="O3694" s="12" t="n">
        <v>1</v>
      </c>
      <c r="P3694" s="12" t="n"/>
      <c r="Q3694" s="12" t="n"/>
      <c r="R3694" s="12" t="n"/>
      <c r="S3694" s="12" t="inlineStr">
        <is>
          <t>Duct bank</t>
        </is>
      </c>
      <c r="T3694" s="15" t="n">
        <v>318</v>
      </c>
      <c r="U3694" s="15" t="n">
        <v>103</v>
      </c>
      <c r="V3694" s="15">
        <f>ROUNDUP((T3694+U3694+2*'Read Me'!$B$13)*(1+'Read Me'!$B$12),-1)</f>
        <v/>
      </c>
      <c r="W3694" s="15">
        <f>V3694*N3694*O3694</f>
        <v/>
      </c>
      <c r="X3694" s="12">
        <f>IF(LEFT(I3694,2)="MV",2*N3694*IF(L3694="1/C",O3694,1),0)</f>
        <v/>
      </c>
      <c r="Y3694" s="12">
        <f>IF(OR(LEFT(K3694,4)="LVAX",LEFT(K3694,6)="MV15AX",LEFT(K3694,4)="CTAX",LEFT(K3694,2)="W|"),2*N3694*O3694,0)</f>
        <v/>
      </c>
      <c r="Z3694" s="12" t="inlineStr"/>
      <c r="AA3694" s="12">
        <f>N3694*O3694</f>
        <v/>
      </c>
    </row>
    <row r="3695">
      <c r="A3695" s="12" t="inlineStr">
        <is>
          <t>H-C-0004</t>
        </is>
      </c>
      <c r="B3695" s="12" t="inlineStr">
        <is>
          <t>H</t>
        </is>
      </c>
      <c r="C3695" s="12" t="inlineStr">
        <is>
          <t>BESS</t>
        </is>
      </c>
      <c r="D3695" s="12" t="inlineStr">
        <is>
          <t>Motor 2 of 2: control / local station</t>
        </is>
      </c>
      <c r="E3695" s="12" t="inlineStr"/>
      <c r="F3695" s="12" t="inlineStr">
        <is>
          <t>BESS auxiliary transformer</t>
        </is>
      </c>
      <c r="G3695" s="12" t="inlineStr"/>
      <c r="H3695" s="12" t="inlineStr">
        <is>
          <t>BESS PCS / MV skid</t>
        </is>
      </c>
      <c r="I3695" s="12" t="inlineStr">
        <is>
          <t>Control</t>
        </is>
      </c>
      <c r="J3695" s="12" t="inlineStr">
        <is>
          <t>Control cable 600 V Type TC-ER, Cu #14 AWG, PVC jacket</t>
        </is>
      </c>
      <c r="K3695" s="12" t="inlineStr">
        <is>
          <t>CT|7/C|14</t>
        </is>
      </c>
      <c r="L3695" s="12" t="inlineStr">
        <is>
          <t>7/C</t>
        </is>
      </c>
      <c r="M3695" s="12" t="inlineStr">
        <is>
          <t>14</t>
        </is>
      </c>
      <c r="N3695" s="12" t="n">
        <v>1</v>
      </c>
      <c r="O3695" s="12" t="n">
        <v>1</v>
      </c>
      <c r="P3695" s="12" t="n"/>
      <c r="Q3695" s="12" t="n"/>
      <c r="R3695" s="12" t="n"/>
      <c r="S3695" s="12" t="inlineStr">
        <is>
          <t>Duct bank</t>
        </is>
      </c>
      <c r="T3695" s="15" t="n">
        <v>318</v>
      </c>
      <c r="U3695" s="15" t="n">
        <v>103</v>
      </c>
      <c r="V3695" s="15">
        <f>ROUNDUP((T3695+U3695+2*'Read Me'!$B$13)*(1+'Read Me'!$B$12),-1)</f>
        <v/>
      </c>
      <c r="W3695" s="15">
        <f>V3695*N3695*O3695</f>
        <v/>
      </c>
      <c r="X3695" s="12">
        <f>IF(LEFT(I3695,2)="MV",2*N3695*IF(L3695="1/C",O3695,1),0)</f>
        <v/>
      </c>
      <c r="Y3695" s="12">
        <f>IF(OR(LEFT(K3695,4)="LVAX",LEFT(K3695,6)="MV15AX",LEFT(K3695,4)="CTAX",LEFT(K3695,2)="W|"),2*N3695*O3695,0)</f>
        <v/>
      </c>
      <c r="Z3695" s="12" t="inlineStr"/>
      <c r="AA3695" s="12">
        <f>N3695*O3695</f>
        <v/>
      </c>
    </row>
    <row r="3696">
      <c r="A3696" s="12" t="inlineStr">
        <is>
          <t>H-C-0005</t>
        </is>
      </c>
      <c r="B3696" s="12" t="inlineStr">
        <is>
          <t>H</t>
        </is>
      </c>
      <c r="C3696" s="12" t="inlineStr">
        <is>
          <t>BESS</t>
        </is>
      </c>
      <c r="D3696" s="12" t="inlineStr">
        <is>
          <t>Motor 1 of 2: control / local station</t>
        </is>
      </c>
      <c r="E3696" s="12" t="inlineStr"/>
      <c r="F3696" s="12" t="inlineStr">
        <is>
          <t>BESS auxiliary transformer</t>
        </is>
      </c>
      <c r="G3696" s="12" t="inlineStr"/>
      <c r="H3696" s="12" t="inlineStr">
        <is>
          <t>BESS PCS / MV skid</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5" t="n">
        <v>178</v>
      </c>
      <c r="U3696" s="15" t="n">
        <v>123</v>
      </c>
      <c r="V3696" s="15">
        <f>ROUNDUP((T3696+U3696+2*'Read Me'!$B$13)*(1+'Read Me'!$B$12),-1)</f>
        <v/>
      </c>
      <c r="W3696" s="15">
        <f>V3696*N3696*O3696</f>
        <v/>
      </c>
      <c r="X3696" s="12">
        <f>IF(LEFT(I3696,2)="MV",2*N3696*IF(L3696="1/C",O3696,1),0)</f>
        <v/>
      </c>
      <c r="Y3696" s="12">
        <f>IF(OR(LEFT(K3696,4)="LVAX",LEFT(K3696,6)="MV15AX",LEFT(K3696,4)="CTAX",LEFT(K3696,2)="W|"),2*N3696*O3696,0)</f>
        <v/>
      </c>
      <c r="Z3696" s="12" t="inlineStr"/>
      <c r="AA3696" s="12">
        <f>N3696*O3696</f>
        <v/>
      </c>
    </row>
    <row r="3697">
      <c r="A3697" s="12" t="inlineStr">
        <is>
          <t>H-C-0006</t>
        </is>
      </c>
      <c r="B3697" s="12" t="inlineStr">
        <is>
          <t>H</t>
        </is>
      </c>
      <c r="C3697" s="12" t="inlineStr">
        <is>
          <t>BESS</t>
        </is>
      </c>
      <c r="D3697" s="12" t="inlineStr">
        <is>
          <t>Motor 2 of 2: control / local station</t>
        </is>
      </c>
      <c r="E3697" s="12" t="inlineStr"/>
      <c r="F3697" s="12" t="inlineStr">
        <is>
          <t>BESS auxiliary transformer</t>
        </is>
      </c>
      <c r="G3697" s="12" t="inlineStr"/>
      <c r="H3697" s="12" t="inlineStr">
        <is>
          <t>BESS PCS / MV skid</t>
        </is>
      </c>
      <c r="I3697" s="12" t="inlineStr">
        <is>
          <t>Control</t>
        </is>
      </c>
      <c r="J3697" s="12" t="inlineStr">
        <is>
          <t>Control cable 600 V Type TC-ER, Cu #14 AWG, PVC jacket</t>
        </is>
      </c>
      <c r="K3697" s="12" t="inlineStr">
        <is>
          <t>CT|7/C|14</t>
        </is>
      </c>
      <c r="L3697" s="12" t="inlineStr">
        <is>
          <t>7/C</t>
        </is>
      </c>
      <c r="M3697" s="12" t="inlineStr">
        <is>
          <t>14</t>
        </is>
      </c>
      <c r="N3697" s="12" t="n">
        <v>1</v>
      </c>
      <c r="O3697" s="12" t="n">
        <v>1</v>
      </c>
      <c r="P3697" s="12" t="n"/>
      <c r="Q3697" s="12" t="n"/>
      <c r="R3697" s="12" t="n"/>
      <c r="S3697" s="12" t="inlineStr">
        <is>
          <t>Duct bank</t>
        </is>
      </c>
      <c r="T3697" s="15" t="n">
        <v>178</v>
      </c>
      <c r="U3697" s="15" t="n">
        <v>123</v>
      </c>
      <c r="V3697" s="15">
        <f>ROUNDUP((T3697+U3697+2*'Read Me'!$B$13)*(1+'Read Me'!$B$12),-1)</f>
        <v/>
      </c>
      <c r="W3697" s="15">
        <f>V3697*N3697*O3697</f>
        <v/>
      </c>
      <c r="X3697" s="12">
        <f>IF(LEFT(I3697,2)="MV",2*N3697*IF(L3697="1/C",O3697,1),0)</f>
        <v/>
      </c>
      <c r="Y3697" s="12">
        <f>IF(OR(LEFT(K3697,4)="LVAX",LEFT(K3697,6)="MV15AX",LEFT(K3697,4)="CTAX",LEFT(K3697,2)="W|"),2*N3697*O3697,0)</f>
        <v/>
      </c>
      <c r="Z3697" s="12" t="inlineStr"/>
      <c r="AA3697" s="12">
        <f>N3697*O3697</f>
        <v/>
      </c>
    </row>
    <row r="3698">
      <c r="A3698" s="12" t="inlineStr">
        <is>
          <t>H-C-0007</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5" t="n">
        <v>74</v>
      </c>
      <c r="U3698" s="15" t="n">
        <v>107</v>
      </c>
      <c r="V3698" s="15">
        <f>ROUNDUP((T3698+U3698+2*'Read Me'!$B$13)*(1+'Read Me'!$B$12),-1)</f>
        <v/>
      </c>
      <c r="W3698" s="15">
        <f>V3698*N3698*O3698</f>
        <v/>
      </c>
      <c r="X3698" s="12">
        <f>IF(LEFT(I3698,2)="MV",2*N3698*IF(L3698="1/C",O3698,1),0)</f>
        <v/>
      </c>
      <c r="Y3698" s="12">
        <f>IF(OR(LEFT(K3698,4)="LVAX",LEFT(K3698,6)="MV15AX",LEFT(K3698,4)="CTAX",LEFT(K3698,2)="W|"),2*N3698*O3698,0)</f>
        <v/>
      </c>
      <c r="Z3698" s="12" t="inlineStr"/>
      <c r="AA3698" s="12">
        <f>N3698*O3698</f>
        <v/>
      </c>
    </row>
    <row r="3699">
      <c r="A3699" s="12" t="inlineStr">
        <is>
          <t>H-C-0008</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5" t="n">
        <v>74</v>
      </c>
      <c r="U3699" s="15" t="n">
        <v>107</v>
      </c>
      <c r="V3699" s="15">
        <f>ROUNDUP((T3699+U3699+2*'Read Me'!$B$13)*(1+'Read Me'!$B$12),-1)</f>
        <v/>
      </c>
      <c r="W3699" s="15">
        <f>V3699*N3699*O3699</f>
        <v/>
      </c>
      <c r="X3699" s="12">
        <f>IF(LEFT(I3699,2)="MV",2*N3699*IF(L3699="1/C",O3699,1),0)</f>
        <v/>
      </c>
      <c r="Y3699" s="12">
        <f>IF(OR(LEFT(K3699,4)="LVAX",LEFT(K3699,6)="MV15AX",LEFT(K3699,4)="CTAX",LEFT(K3699,2)="W|"),2*N3699*O3699,0)</f>
        <v/>
      </c>
      <c r="Z3699" s="12" t="inlineStr"/>
      <c r="AA3699" s="12">
        <f>N3699*O3699</f>
        <v/>
      </c>
    </row>
    <row r="3700">
      <c r="A3700" s="12" t="inlineStr">
        <is>
          <t>H-C-0009</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5" t="n">
        <v>318</v>
      </c>
      <c r="U3700" s="15" t="n">
        <v>161</v>
      </c>
      <c r="V3700" s="15">
        <f>ROUNDUP((T3700+U3700+2*'Read Me'!$B$13)*(1+'Read Me'!$B$12),-1)</f>
        <v/>
      </c>
      <c r="W3700" s="15">
        <f>V3700*N3700*O3700</f>
        <v/>
      </c>
      <c r="X3700" s="12">
        <f>IF(LEFT(I3700,2)="MV",2*N3700*IF(L3700="1/C",O3700,1),0)</f>
        <v/>
      </c>
      <c r="Y3700" s="12">
        <f>IF(OR(LEFT(K3700,4)="LVAX",LEFT(K3700,6)="MV15AX",LEFT(K3700,4)="CTAX",LEFT(K3700,2)="W|"),2*N3700*O3700,0)</f>
        <v/>
      </c>
      <c r="Z3700" s="12" t="inlineStr"/>
      <c r="AA3700" s="12">
        <f>N3700*O3700</f>
        <v/>
      </c>
    </row>
    <row r="3701">
      <c r="A3701" s="12" t="inlineStr">
        <is>
          <t>H-C-0010</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5" t="n">
        <v>318</v>
      </c>
      <c r="U3701" s="15" t="n">
        <v>161</v>
      </c>
      <c r="V3701" s="15">
        <f>ROUNDUP((T3701+U3701+2*'Read Me'!$B$13)*(1+'Read Me'!$B$12),-1)</f>
        <v/>
      </c>
      <c r="W3701" s="15">
        <f>V3701*N3701*O3701</f>
        <v/>
      </c>
      <c r="X3701" s="12">
        <f>IF(LEFT(I3701,2)="MV",2*N3701*IF(L3701="1/C",O3701,1),0)</f>
        <v/>
      </c>
      <c r="Y3701" s="12">
        <f>IF(OR(LEFT(K3701,4)="LVAX",LEFT(K3701,6)="MV15AX",LEFT(K3701,4)="CTAX",LEFT(K3701,2)="W|"),2*N3701*O3701,0)</f>
        <v/>
      </c>
      <c r="Z3701" s="12" t="inlineStr"/>
      <c r="AA3701" s="12">
        <f>N3701*O3701</f>
        <v/>
      </c>
    </row>
    <row r="3702">
      <c r="A3702" s="12" t="inlineStr">
        <is>
          <t>H-C-0011</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5" t="n">
        <v>178</v>
      </c>
      <c r="U3702" s="15" t="n">
        <v>181</v>
      </c>
      <c r="V3702" s="15">
        <f>ROUNDUP((T3702+U3702+2*'Read Me'!$B$13)*(1+'Read Me'!$B$12),-1)</f>
        <v/>
      </c>
      <c r="W3702" s="15">
        <f>V3702*N3702*O3702</f>
        <v/>
      </c>
      <c r="X3702" s="12">
        <f>IF(LEFT(I3702,2)="MV",2*N3702*IF(L3702="1/C",O3702,1),0)</f>
        <v/>
      </c>
      <c r="Y3702" s="12">
        <f>IF(OR(LEFT(K3702,4)="LVAX",LEFT(K3702,6)="MV15AX",LEFT(K3702,4)="CTAX",LEFT(K3702,2)="W|"),2*N3702*O3702,0)</f>
        <v/>
      </c>
      <c r="Z3702" s="12" t="inlineStr"/>
      <c r="AA3702" s="12">
        <f>N3702*O3702</f>
        <v/>
      </c>
    </row>
    <row r="3703">
      <c r="A3703" s="12" t="inlineStr">
        <is>
          <t>H-C-0012</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5" t="n">
        <v>178</v>
      </c>
      <c r="U3703" s="15" t="n">
        <v>181</v>
      </c>
      <c r="V3703" s="15">
        <f>ROUNDUP((T3703+U3703+2*'Read Me'!$B$13)*(1+'Read Me'!$B$12),-1)</f>
        <v/>
      </c>
      <c r="W3703" s="15">
        <f>V3703*N3703*O3703</f>
        <v/>
      </c>
      <c r="X3703" s="12">
        <f>IF(LEFT(I3703,2)="MV",2*N3703*IF(L3703="1/C",O3703,1),0)</f>
        <v/>
      </c>
      <c r="Y3703" s="12">
        <f>IF(OR(LEFT(K3703,4)="LVAX",LEFT(K3703,6)="MV15AX",LEFT(K3703,4)="CTAX",LEFT(K3703,2)="W|"),2*N3703*O3703,0)</f>
        <v/>
      </c>
      <c r="Z3703" s="12" t="inlineStr"/>
      <c r="AA3703" s="12">
        <f>N3703*O3703</f>
        <v/>
      </c>
    </row>
    <row r="3704">
      <c r="A3704" s="12" t="inlineStr">
        <is>
          <t>H-C-0013</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5" t="n">
        <v>74</v>
      </c>
      <c r="U3704" s="15" t="n">
        <v>165</v>
      </c>
      <c r="V3704" s="15">
        <f>ROUNDUP((T3704+U3704+2*'Read Me'!$B$13)*(1+'Read Me'!$B$12),-1)</f>
        <v/>
      </c>
      <c r="W3704" s="15">
        <f>V3704*N3704*O3704</f>
        <v/>
      </c>
      <c r="X3704" s="12">
        <f>IF(LEFT(I3704,2)="MV",2*N3704*IF(L3704="1/C",O3704,1),0)</f>
        <v/>
      </c>
      <c r="Y3704" s="12">
        <f>IF(OR(LEFT(K3704,4)="LVAX",LEFT(K3704,6)="MV15AX",LEFT(K3704,4)="CTAX",LEFT(K3704,2)="W|"),2*N3704*O3704,0)</f>
        <v/>
      </c>
      <c r="Z3704" s="12" t="inlineStr"/>
      <c r="AA3704" s="12">
        <f>N3704*O3704</f>
        <v/>
      </c>
    </row>
    <row r="3705">
      <c r="A3705" s="12" t="inlineStr">
        <is>
          <t>H-C-0014</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5" t="n">
        <v>74</v>
      </c>
      <c r="U3705" s="15" t="n">
        <v>165</v>
      </c>
      <c r="V3705" s="15">
        <f>ROUNDUP((T3705+U3705+2*'Read Me'!$B$13)*(1+'Read Me'!$B$12),-1)</f>
        <v/>
      </c>
      <c r="W3705" s="15">
        <f>V3705*N3705*O3705</f>
        <v/>
      </c>
      <c r="X3705" s="12">
        <f>IF(LEFT(I3705,2)="MV",2*N3705*IF(L3705="1/C",O3705,1),0)</f>
        <v/>
      </c>
      <c r="Y3705" s="12">
        <f>IF(OR(LEFT(K3705,4)="LVAX",LEFT(K3705,6)="MV15AX",LEFT(K3705,4)="CTAX",LEFT(K3705,2)="W|"),2*N3705*O3705,0)</f>
        <v/>
      </c>
      <c r="Z3705" s="12" t="inlineStr"/>
      <c r="AA3705" s="12">
        <f>N3705*O3705</f>
        <v/>
      </c>
    </row>
    <row r="3706">
      <c r="A3706" s="12" t="inlineStr">
        <is>
          <t>H-C-0015</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5" t="n">
        <v>318</v>
      </c>
      <c r="U3706" s="15" t="n">
        <v>219</v>
      </c>
      <c r="V3706" s="15">
        <f>ROUNDUP((T3706+U3706+2*'Read Me'!$B$13)*(1+'Read Me'!$B$12),-1)</f>
        <v/>
      </c>
      <c r="W3706" s="15">
        <f>V3706*N3706*O3706</f>
        <v/>
      </c>
      <c r="X3706" s="12">
        <f>IF(LEFT(I3706,2)="MV",2*N3706*IF(L3706="1/C",O3706,1),0)</f>
        <v/>
      </c>
      <c r="Y3706" s="12">
        <f>IF(OR(LEFT(K3706,4)="LVAX",LEFT(K3706,6)="MV15AX",LEFT(K3706,4)="CTAX",LEFT(K3706,2)="W|"),2*N3706*O3706,0)</f>
        <v/>
      </c>
      <c r="Z3706" s="12" t="inlineStr"/>
      <c r="AA3706" s="12">
        <f>N3706*O3706</f>
        <v/>
      </c>
    </row>
    <row r="3707">
      <c r="A3707" s="12" t="inlineStr">
        <is>
          <t>H-C-0016</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5" t="n">
        <v>318</v>
      </c>
      <c r="U3707" s="15" t="n">
        <v>219</v>
      </c>
      <c r="V3707" s="15">
        <f>ROUNDUP((T3707+U3707+2*'Read Me'!$B$13)*(1+'Read Me'!$B$12),-1)</f>
        <v/>
      </c>
      <c r="W3707" s="15">
        <f>V3707*N3707*O3707</f>
        <v/>
      </c>
      <c r="X3707" s="12">
        <f>IF(LEFT(I3707,2)="MV",2*N3707*IF(L3707="1/C",O3707,1),0)</f>
        <v/>
      </c>
      <c r="Y3707" s="12">
        <f>IF(OR(LEFT(K3707,4)="LVAX",LEFT(K3707,6)="MV15AX",LEFT(K3707,4)="CTAX",LEFT(K3707,2)="W|"),2*N3707*O3707,0)</f>
        <v/>
      </c>
      <c r="Z3707" s="12" t="inlineStr"/>
      <c r="AA3707" s="12">
        <f>N3707*O3707</f>
        <v/>
      </c>
    </row>
    <row r="3708">
      <c r="A3708" s="12" t="inlineStr">
        <is>
          <t>H-C-0017</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5" t="n">
        <v>178</v>
      </c>
      <c r="U3708" s="15" t="n">
        <v>239</v>
      </c>
      <c r="V3708" s="15">
        <f>ROUNDUP((T3708+U3708+2*'Read Me'!$B$13)*(1+'Read Me'!$B$12),-1)</f>
        <v/>
      </c>
      <c r="W3708" s="15">
        <f>V3708*N3708*O3708</f>
        <v/>
      </c>
      <c r="X3708" s="12">
        <f>IF(LEFT(I3708,2)="MV",2*N3708*IF(L3708="1/C",O3708,1),0)</f>
        <v/>
      </c>
      <c r="Y3708" s="12">
        <f>IF(OR(LEFT(K3708,4)="LVAX",LEFT(K3708,6)="MV15AX",LEFT(K3708,4)="CTAX",LEFT(K3708,2)="W|"),2*N3708*O3708,0)</f>
        <v/>
      </c>
      <c r="Z3708" s="12" t="inlineStr"/>
      <c r="AA3708" s="12">
        <f>N3708*O3708</f>
        <v/>
      </c>
    </row>
    <row r="3709">
      <c r="A3709" s="12" t="inlineStr">
        <is>
          <t>H-C-0018</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5" t="n">
        <v>178</v>
      </c>
      <c r="U3709" s="15" t="n">
        <v>239</v>
      </c>
      <c r="V3709" s="15">
        <f>ROUNDUP((T3709+U3709+2*'Read Me'!$B$13)*(1+'Read Me'!$B$12),-1)</f>
        <v/>
      </c>
      <c r="W3709" s="15">
        <f>V3709*N3709*O3709</f>
        <v/>
      </c>
      <c r="X3709" s="12">
        <f>IF(LEFT(I3709,2)="MV",2*N3709*IF(L3709="1/C",O3709,1),0)</f>
        <v/>
      </c>
      <c r="Y3709" s="12">
        <f>IF(OR(LEFT(K3709,4)="LVAX",LEFT(K3709,6)="MV15AX",LEFT(K3709,4)="CTAX",LEFT(K3709,2)="W|"),2*N3709*O3709,0)</f>
        <v/>
      </c>
      <c r="Z3709" s="12" t="inlineStr"/>
      <c r="AA3709" s="12">
        <f>N3709*O3709</f>
        <v/>
      </c>
    </row>
    <row r="3710">
      <c r="A3710" s="12" t="inlineStr">
        <is>
          <t>H-C-0019</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5" t="n">
        <v>380</v>
      </c>
      <c r="U3710" s="15" t="n">
        <v>149</v>
      </c>
      <c r="V3710" s="15">
        <f>ROUNDUP((T3710+U3710+2*'Read Me'!$B$13)*(1+'Read Me'!$B$12),-1)</f>
        <v/>
      </c>
      <c r="W3710" s="15">
        <f>V3710*N3710*O3710</f>
        <v/>
      </c>
      <c r="X3710" s="12">
        <f>IF(LEFT(I3710,2)="MV",2*N3710*IF(L3710="1/C",O3710,1),0)</f>
        <v/>
      </c>
      <c r="Y3710" s="12">
        <f>IF(OR(LEFT(K3710,4)="LVAX",LEFT(K3710,6)="MV15AX",LEFT(K3710,4)="CTAX",LEFT(K3710,2)="W|"),2*N3710*O3710,0)</f>
        <v/>
      </c>
      <c r="Z3710" s="12" t="inlineStr"/>
      <c r="AA3710" s="12">
        <f>N3710*O3710</f>
        <v/>
      </c>
    </row>
    <row r="3711">
      <c r="A3711" s="12" t="inlineStr">
        <is>
          <t>H-C-0020</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5" t="n">
        <v>380</v>
      </c>
      <c r="U3711" s="15" t="n">
        <v>149</v>
      </c>
      <c r="V3711" s="15">
        <f>ROUNDUP((T3711+U3711+2*'Read Me'!$B$13)*(1+'Read Me'!$B$12),-1)</f>
        <v/>
      </c>
      <c r="W3711" s="15">
        <f>V3711*N3711*O3711</f>
        <v/>
      </c>
      <c r="X3711" s="12">
        <f>IF(LEFT(I3711,2)="MV",2*N3711*IF(L3711="1/C",O3711,1),0)</f>
        <v/>
      </c>
      <c r="Y3711" s="12">
        <f>IF(OR(LEFT(K3711,4)="LVAX",LEFT(K3711,6)="MV15AX",LEFT(K3711,4)="CTAX",LEFT(K3711,2)="W|"),2*N3711*O3711,0)</f>
        <v/>
      </c>
      <c r="Z3711" s="12" t="inlineStr"/>
      <c r="AA3711" s="12">
        <f>N3711*O3711</f>
        <v/>
      </c>
    </row>
    <row r="3712">
      <c r="A3712" s="12" t="inlineStr">
        <is>
          <t>H-C-0021</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5" t="n">
        <v>620</v>
      </c>
      <c r="U3712" s="15" t="n">
        <v>91</v>
      </c>
      <c r="V3712" s="15">
        <f>ROUNDUP((T3712+U3712+2*'Read Me'!$B$13)*(1+'Read Me'!$B$12),-1)</f>
        <v/>
      </c>
      <c r="W3712" s="15">
        <f>V3712*N3712*O3712</f>
        <v/>
      </c>
      <c r="X3712" s="12">
        <f>IF(LEFT(I3712,2)="MV",2*N3712*IF(L3712="1/C",O3712,1),0)</f>
        <v/>
      </c>
      <c r="Y3712" s="12">
        <f>IF(OR(LEFT(K3712,4)="LVAX",LEFT(K3712,6)="MV15AX",LEFT(K3712,4)="CTAX",LEFT(K3712,2)="W|"),2*N3712*O3712,0)</f>
        <v/>
      </c>
      <c r="Z3712" s="12" t="inlineStr"/>
      <c r="AA3712" s="12">
        <f>N3712*O3712</f>
        <v/>
      </c>
    </row>
    <row r="3713">
      <c r="A3713" s="12" t="inlineStr">
        <is>
          <t>H-C-0022</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5" t="n">
        <v>620</v>
      </c>
      <c r="U3713" s="15" t="n">
        <v>91</v>
      </c>
      <c r="V3713" s="15">
        <f>ROUNDUP((T3713+U3713+2*'Read Me'!$B$13)*(1+'Read Me'!$B$12),-1)</f>
        <v/>
      </c>
      <c r="W3713" s="15">
        <f>V3713*N3713*O3713</f>
        <v/>
      </c>
      <c r="X3713" s="12">
        <f>IF(LEFT(I3713,2)="MV",2*N3713*IF(L3713="1/C",O3713,1),0)</f>
        <v/>
      </c>
      <c r="Y3713" s="12">
        <f>IF(OR(LEFT(K3713,4)="LVAX",LEFT(K3713,6)="MV15AX",LEFT(K3713,4)="CTAX",LEFT(K3713,2)="W|"),2*N3713*O3713,0)</f>
        <v/>
      </c>
      <c r="Z3713" s="12" t="inlineStr"/>
      <c r="AA3713" s="12">
        <f>N3713*O3713</f>
        <v/>
      </c>
    </row>
    <row r="3714">
      <c r="A3714" s="12" t="inlineStr">
        <is>
          <t>H-C-0023</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5" t="n">
        <v>500</v>
      </c>
      <c r="U3714" s="15" t="n">
        <v>91</v>
      </c>
      <c r="V3714" s="15">
        <f>ROUNDUP((T3714+U3714+2*'Read Me'!$B$13)*(1+'Read Me'!$B$12),-1)</f>
        <v/>
      </c>
      <c r="W3714" s="15">
        <f>V3714*N3714*O3714</f>
        <v/>
      </c>
      <c r="X3714" s="12">
        <f>IF(LEFT(I3714,2)="MV",2*N3714*IF(L3714="1/C",O3714,1),0)</f>
        <v/>
      </c>
      <c r="Y3714" s="12">
        <f>IF(OR(LEFT(K3714,4)="LVAX",LEFT(K3714,6)="MV15AX",LEFT(K3714,4)="CTAX",LEFT(K3714,2)="W|"),2*N3714*O3714,0)</f>
        <v/>
      </c>
      <c r="Z3714" s="12" t="inlineStr"/>
      <c r="AA3714" s="12">
        <f>N3714*O3714</f>
        <v/>
      </c>
    </row>
    <row r="3715">
      <c r="A3715" s="12" t="inlineStr">
        <is>
          <t>H-C-0024</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5" t="n">
        <v>500</v>
      </c>
      <c r="U3715" s="15" t="n">
        <v>91</v>
      </c>
      <c r="V3715" s="15">
        <f>ROUNDUP((T3715+U3715+2*'Read Me'!$B$13)*(1+'Read Me'!$B$12),-1)</f>
        <v/>
      </c>
      <c r="W3715" s="15">
        <f>V3715*N3715*O3715</f>
        <v/>
      </c>
      <c r="X3715" s="12">
        <f>IF(LEFT(I3715,2)="MV",2*N3715*IF(L3715="1/C",O3715,1),0)</f>
        <v/>
      </c>
      <c r="Y3715" s="12">
        <f>IF(OR(LEFT(K3715,4)="LVAX",LEFT(K3715,6)="MV15AX",LEFT(K3715,4)="CTAX",LEFT(K3715,2)="W|"),2*N3715*O3715,0)</f>
        <v/>
      </c>
      <c r="Z3715" s="12" t="inlineStr"/>
      <c r="AA3715" s="12">
        <f>N3715*O3715</f>
        <v/>
      </c>
    </row>
    <row r="3716">
      <c r="A3716" s="12" t="inlineStr">
        <is>
          <t>H-C-0025</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5" t="n">
        <v>380</v>
      </c>
      <c r="U3716" s="15" t="n">
        <v>91</v>
      </c>
      <c r="V3716" s="15">
        <f>ROUNDUP((T3716+U3716+2*'Read Me'!$B$13)*(1+'Read Me'!$B$12),-1)</f>
        <v/>
      </c>
      <c r="W3716" s="15">
        <f>V3716*N3716*O3716</f>
        <v/>
      </c>
      <c r="X3716" s="12">
        <f>IF(LEFT(I3716,2)="MV",2*N3716*IF(L3716="1/C",O3716,1),0)</f>
        <v/>
      </c>
      <c r="Y3716" s="12">
        <f>IF(OR(LEFT(K3716,4)="LVAX",LEFT(K3716,6)="MV15AX",LEFT(K3716,4)="CTAX",LEFT(K3716,2)="W|"),2*N3716*O3716,0)</f>
        <v/>
      </c>
      <c r="Z3716" s="12" t="inlineStr"/>
      <c r="AA3716" s="12">
        <f>N3716*O3716</f>
        <v/>
      </c>
    </row>
    <row r="3717">
      <c r="A3717" s="12" t="inlineStr">
        <is>
          <t>H-C-0026</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5" t="n">
        <v>380</v>
      </c>
      <c r="U3717" s="15" t="n">
        <v>91</v>
      </c>
      <c r="V3717" s="15">
        <f>ROUNDUP((T3717+U3717+2*'Read Me'!$B$13)*(1+'Read Me'!$B$12),-1)</f>
        <v/>
      </c>
      <c r="W3717" s="15">
        <f>V3717*N3717*O3717</f>
        <v/>
      </c>
      <c r="X3717" s="12">
        <f>IF(LEFT(I3717,2)="MV",2*N3717*IF(L3717="1/C",O3717,1),0)</f>
        <v/>
      </c>
      <c r="Y3717" s="12">
        <f>IF(OR(LEFT(K3717,4)="LVAX",LEFT(K3717,6)="MV15AX",LEFT(K3717,4)="CTAX",LEFT(K3717,2)="W|"),2*N3717*O3717,0)</f>
        <v/>
      </c>
      <c r="Z3717" s="12" t="inlineStr"/>
      <c r="AA3717" s="12">
        <f>N3717*O3717</f>
        <v/>
      </c>
    </row>
    <row r="3718">
      <c r="A3718" s="12" t="inlineStr">
        <is>
          <t>H-C-0027</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5" t="n">
        <v>620</v>
      </c>
      <c r="U3718" s="15" t="n">
        <v>37</v>
      </c>
      <c r="V3718" s="15">
        <f>ROUNDUP((T3718+U3718+2*'Read Me'!$B$13)*(1+'Read Me'!$B$12),-1)</f>
        <v/>
      </c>
      <c r="W3718" s="15">
        <f>V3718*N3718*O3718</f>
        <v/>
      </c>
      <c r="X3718" s="12">
        <f>IF(LEFT(I3718,2)="MV",2*N3718*IF(L3718="1/C",O3718,1),0)</f>
        <v/>
      </c>
      <c r="Y3718" s="12">
        <f>IF(OR(LEFT(K3718,4)="LVAX",LEFT(K3718,6)="MV15AX",LEFT(K3718,4)="CTAX",LEFT(K3718,2)="W|"),2*N3718*O3718,0)</f>
        <v/>
      </c>
      <c r="Z3718" s="12" t="inlineStr"/>
      <c r="AA3718" s="12">
        <f>N3718*O3718</f>
        <v/>
      </c>
    </row>
    <row r="3719">
      <c r="A3719" s="12" t="inlineStr">
        <is>
          <t>H-C-0028</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5" t="n">
        <v>620</v>
      </c>
      <c r="U3719" s="15" t="n">
        <v>37</v>
      </c>
      <c r="V3719" s="15">
        <f>ROUNDUP((T3719+U3719+2*'Read Me'!$B$13)*(1+'Read Me'!$B$12),-1)</f>
        <v/>
      </c>
      <c r="W3719" s="15">
        <f>V3719*N3719*O3719</f>
        <v/>
      </c>
      <c r="X3719" s="12">
        <f>IF(LEFT(I3719,2)="MV",2*N3719*IF(L3719="1/C",O3719,1),0)</f>
        <v/>
      </c>
      <c r="Y3719" s="12">
        <f>IF(OR(LEFT(K3719,4)="LVAX",LEFT(K3719,6)="MV15AX",LEFT(K3719,4)="CTAX",LEFT(K3719,2)="W|"),2*N3719*O3719,0)</f>
        <v/>
      </c>
      <c r="Z3719" s="12" t="inlineStr"/>
      <c r="AA3719" s="12">
        <f>N3719*O3719</f>
        <v/>
      </c>
    </row>
    <row r="3720">
      <c r="A3720" s="12" t="inlineStr">
        <is>
          <t>H-C-0029</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5" t="n">
        <v>500</v>
      </c>
      <c r="U3720" s="15" t="n">
        <v>37</v>
      </c>
      <c r="V3720" s="15">
        <f>ROUNDUP((T3720+U3720+2*'Read Me'!$B$13)*(1+'Read Me'!$B$12),-1)</f>
        <v/>
      </c>
      <c r="W3720" s="15">
        <f>V3720*N3720*O3720</f>
        <v/>
      </c>
      <c r="X3720" s="12">
        <f>IF(LEFT(I3720,2)="MV",2*N3720*IF(L3720="1/C",O3720,1),0)</f>
        <v/>
      </c>
      <c r="Y3720" s="12">
        <f>IF(OR(LEFT(K3720,4)="LVAX",LEFT(K3720,6)="MV15AX",LEFT(K3720,4)="CTAX",LEFT(K3720,2)="W|"),2*N3720*O3720,0)</f>
        <v/>
      </c>
      <c r="Z3720" s="12" t="inlineStr"/>
      <c r="AA3720" s="12">
        <f>N3720*O3720</f>
        <v/>
      </c>
    </row>
    <row r="3721">
      <c r="A3721" s="12" t="inlineStr">
        <is>
          <t>H-C-0030</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5" t="n">
        <v>500</v>
      </c>
      <c r="U3721" s="15" t="n">
        <v>37</v>
      </c>
      <c r="V3721" s="15">
        <f>ROUNDUP((T3721+U3721+2*'Read Me'!$B$13)*(1+'Read Me'!$B$12),-1)</f>
        <v/>
      </c>
      <c r="W3721" s="15">
        <f>V3721*N3721*O3721</f>
        <v/>
      </c>
      <c r="X3721" s="12">
        <f>IF(LEFT(I3721,2)="MV",2*N3721*IF(L3721="1/C",O3721,1),0)</f>
        <v/>
      </c>
      <c r="Y3721" s="12">
        <f>IF(OR(LEFT(K3721,4)="LVAX",LEFT(K3721,6)="MV15AX",LEFT(K3721,4)="CTAX",LEFT(K3721,2)="W|"),2*N3721*O3721,0)</f>
        <v/>
      </c>
      <c r="Z3721" s="12" t="inlineStr"/>
      <c r="AA3721" s="12">
        <f>N3721*O3721</f>
        <v/>
      </c>
    </row>
    <row r="3722">
      <c r="A3722" s="12" t="inlineStr">
        <is>
          <t>H-C-0031</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5" t="n">
        <v>380</v>
      </c>
      <c r="U3722" s="15" t="n">
        <v>37</v>
      </c>
      <c r="V3722" s="15">
        <f>ROUNDUP((T3722+U3722+2*'Read Me'!$B$13)*(1+'Read Me'!$B$12),-1)</f>
        <v/>
      </c>
      <c r="W3722" s="15">
        <f>V3722*N3722*O3722</f>
        <v/>
      </c>
      <c r="X3722" s="12">
        <f>IF(LEFT(I3722,2)="MV",2*N3722*IF(L3722="1/C",O3722,1),0)</f>
        <v/>
      </c>
      <c r="Y3722" s="12">
        <f>IF(OR(LEFT(K3722,4)="LVAX",LEFT(K3722,6)="MV15AX",LEFT(K3722,4)="CTAX",LEFT(K3722,2)="W|"),2*N3722*O3722,0)</f>
        <v/>
      </c>
      <c r="Z3722" s="12" t="inlineStr"/>
      <c r="AA3722" s="12">
        <f>N3722*O3722</f>
        <v/>
      </c>
    </row>
    <row r="3723">
      <c r="A3723" s="12" t="inlineStr">
        <is>
          <t>H-C-0032</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5" t="n">
        <v>380</v>
      </c>
      <c r="U3723" s="15" t="n">
        <v>37</v>
      </c>
      <c r="V3723" s="15">
        <f>ROUNDUP((T3723+U3723+2*'Read Me'!$B$13)*(1+'Read Me'!$B$12),-1)</f>
        <v/>
      </c>
      <c r="W3723" s="15">
        <f>V3723*N3723*O3723</f>
        <v/>
      </c>
      <c r="X3723" s="12">
        <f>IF(LEFT(I3723,2)="MV",2*N3723*IF(L3723="1/C",O3723,1),0)</f>
        <v/>
      </c>
      <c r="Y3723" s="12">
        <f>IF(OR(LEFT(K3723,4)="LVAX",LEFT(K3723,6)="MV15AX",LEFT(K3723,4)="CTAX",LEFT(K3723,2)="W|"),2*N3723*O3723,0)</f>
        <v/>
      </c>
      <c r="Z3723" s="12" t="inlineStr"/>
      <c r="AA3723" s="12">
        <f>N3723*O3723</f>
        <v/>
      </c>
    </row>
    <row r="3724">
      <c r="A3724" s="12" t="inlineStr">
        <is>
          <t>H-C-0033</t>
        </is>
      </c>
      <c r="B3724" s="12" t="inlineStr">
        <is>
          <t>H</t>
        </is>
      </c>
      <c r="C3724" s="12" t="inlineStr">
        <is>
          <t>BESS</t>
        </is>
      </c>
      <c r="D3724" s="12" t="inlineStr">
        <is>
          <t>Control</t>
        </is>
      </c>
      <c r="E3724" s="12" t="inlineStr"/>
      <c r="F3724" s="12" t="inlineStr">
        <is>
          <t>BESS EMS / SCADA and revenue metering</t>
        </is>
      </c>
      <c r="G3724" s="12" t="inlineStr"/>
      <c r="H3724" s="12" t="inlineStr">
        <is>
          <t>BESS auxiliary transformer</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Tray</t>
        </is>
      </c>
      <c r="T3724" s="15" t="n">
        <v>38</v>
      </c>
      <c r="U3724" s="15" t="n">
        <v>32</v>
      </c>
      <c r="V3724" s="15">
        <f>ROUNDUP((T3724+U3724+2*'Read Me'!$B$13)*(1+'Read Me'!$B$12),-1)</f>
        <v/>
      </c>
      <c r="W3724" s="15">
        <f>V3724*N3724*O3724</f>
        <v/>
      </c>
      <c r="X3724" s="12">
        <f>IF(LEFT(I3724,2)="MV",2*N3724*IF(L3724="1/C",O3724,1),0)</f>
        <v/>
      </c>
      <c r="Y3724" s="12">
        <f>IF(OR(LEFT(K3724,4)="LVAX",LEFT(K3724,6)="MV15AX",LEFT(K3724,4)="CTAX",LEFT(K3724,2)="W|"),2*N3724*O3724,0)</f>
        <v/>
      </c>
      <c r="Z3724" s="12" t="inlineStr"/>
      <c r="AA3724" s="12">
        <f>N3724*O3724</f>
        <v/>
      </c>
    </row>
    <row r="3725">
      <c r="A3725" s="12" t="inlineStr">
        <is>
          <t>H-C-0034</t>
        </is>
      </c>
      <c r="B3725" s="12" t="inlineStr">
        <is>
          <t>H</t>
        </is>
      </c>
      <c r="C3725" s="12" t="inlineStr">
        <is>
          <t>BESS</t>
        </is>
      </c>
      <c r="D3725" s="12" t="inlineStr">
        <is>
          <t>Control</t>
        </is>
      </c>
      <c r="E3725" s="12" t="inlineStr"/>
      <c r="F3725" s="12" t="inlineStr">
        <is>
          <t>BESS EMS / SCADA and revenue metering</t>
        </is>
      </c>
      <c r="G3725" s="12" t="inlineStr"/>
      <c r="H3725" s="12" t="inlineStr">
        <is>
          <t>BESS auxiliary transformer</t>
        </is>
      </c>
      <c r="I3725" s="12" t="inlineStr">
        <is>
          <t>Control</t>
        </is>
      </c>
      <c r="J3725" s="12" t="inlineStr">
        <is>
          <t>Control cable 600 V Type TC-ER, Cu #14 AWG, PVC jacket</t>
        </is>
      </c>
      <c r="K3725" s="12" t="inlineStr">
        <is>
          <t>CT|12/C|14</t>
        </is>
      </c>
      <c r="L3725" s="12" t="inlineStr">
        <is>
          <t>12/C</t>
        </is>
      </c>
      <c r="M3725" s="12" t="inlineStr">
        <is>
          <t>14</t>
        </is>
      </c>
      <c r="N3725" s="12" t="n">
        <v>1</v>
      </c>
      <c r="O3725" s="12" t="n">
        <v>1</v>
      </c>
      <c r="P3725" s="12" t="n"/>
      <c r="Q3725" s="12" t="n"/>
      <c r="R3725" s="12" t="n"/>
      <c r="S3725" s="12" t="inlineStr">
        <is>
          <t>Tray</t>
        </is>
      </c>
      <c r="T3725" s="15" t="n">
        <v>38</v>
      </c>
      <c r="U3725" s="15" t="n">
        <v>32</v>
      </c>
      <c r="V3725" s="15">
        <f>ROUNDUP((T3725+U3725+2*'Read Me'!$B$13)*(1+'Read Me'!$B$12),-1)</f>
        <v/>
      </c>
      <c r="W3725" s="15">
        <f>V3725*N3725*O3725</f>
        <v/>
      </c>
      <c r="X3725" s="12">
        <f>IF(LEFT(I3725,2)="MV",2*N3725*IF(L3725="1/C",O3725,1),0)</f>
        <v/>
      </c>
      <c r="Y3725" s="12">
        <f>IF(OR(LEFT(K3725,4)="LVAX",LEFT(K3725,6)="MV15AX",LEFT(K3725,4)="CTAX",LEFT(K3725,2)="W|"),2*N3725*O3725,0)</f>
        <v/>
      </c>
      <c r="Z3725" s="12" t="inlineStr"/>
      <c r="AA3725" s="12">
        <f>N3725*O3725</f>
        <v/>
      </c>
    </row>
    <row r="3726">
      <c r="A3726" s="12" t="inlineStr">
        <is>
          <t>H-C-0035</t>
        </is>
      </c>
      <c r="B3726" s="12" t="inlineStr">
        <is>
          <t>H</t>
        </is>
      </c>
      <c r="C3726" s="12" t="inlineStr">
        <is>
          <t>BESS</t>
        </is>
      </c>
      <c r="D3726" s="12" t="inlineStr">
        <is>
          <t>CT / VT</t>
        </is>
      </c>
      <c r="E3726" s="12" t="inlineStr"/>
      <c r="F3726" s="12" t="inlineStr">
        <is>
          <t>BESS EMS / SCADA and revenue metering</t>
        </is>
      </c>
      <c r="G3726" s="12" t="inlineStr"/>
      <c r="H3726" s="12" t="inlineStr">
        <is>
          <t>BESS auxiliary transformer</t>
        </is>
      </c>
      <c r="I3726" s="12" t="inlineStr">
        <is>
          <t>Control</t>
        </is>
      </c>
      <c r="J3726" s="12" t="inlineStr">
        <is>
          <t>Control cable 600 V Type TC-ER, Cu #10 AWG (CT / VT circuits)</t>
        </is>
      </c>
      <c r="K3726" s="12" t="inlineStr">
        <is>
          <t>CTCT|4/C|10</t>
        </is>
      </c>
      <c r="L3726" s="12" t="inlineStr">
        <is>
          <t>4/C</t>
        </is>
      </c>
      <c r="M3726" s="12" t="inlineStr">
        <is>
          <t>10</t>
        </is>
      </c>
      <c r="N3726" s="12" t="n">
        <v>1</v>
      </c>
      <c r="O3726" s="12" t="n">
        <v>1</v>
      </c>
      <c r="P3726" s="12" t="n"/>
      <c r="Q3726" s="12" t="n"/>
      <c r="R3726" s="12" t="n"/>
      <c r="S3726" s="12" t="inlineStr">
        <is>
          <t>Tray</t>
        </is>
      </c>
      <c r="T3726" s="15" t="n">
        <v>38</v>
      </c>
      <c r="U3726" s="15" t="n">
        <v>32</v>
      </c>
      <c r="V3726" s="15">
        <f>ROUNDUP((T3726+U3726+2*'Read Me'!$B$13)*(1+'Read Me'!$B$12),-1)</f>
        <v/>
      </c>
      <c r="W3726" s="15">
        <f>V3726*N3726*O3726</f>
        <v/>
      </c>
      <c r="X3726" s="12">
        <f>IF(LEFT(I3726,2)="MV",2*N3726*IF(L3726="1/C",O3726,1),0)</f>
        <v/>
      </c>
      <c r="Y3726" s="12">
        <f>IF(OR(LEFT(K3726,4)="LVAX",LEFT(K3726,6)="MV15AX",LEFT(K3726,4)="CTAX",LEFT(K3726,2)="W|"),2*N3726*O3726,0)</f>
        <v/>
      </c>
      <c r="Z3726" s="12" t="inlineStr"/>
      <c r="AA3726" s="12">
        <f>N3726*O3726</f>
        <v/>
      </c>
    </row>
    <row r="3727">
      <c r="A3727" s="12" t="inlineStr">
        <is>
          <t>H-C-0036</t>
        </is>
      </c>
      <c r="B3727" s="12" t="inlineStr">
        <is>
          <t>H</t>
        </is>
      </c>
      <c r="C3727" s="12" t="inlineStr">
        <is>
          <t>BESS</t>
        </is>
      </c>
      <c r="D3727" s="12" t="inlineStr">
        <is>
          <t>CT / VT</t>
        </is>
      </c>
      <c r="E3727" s="12" t="inlineStr"/>
      <c r="F3727" s="12" t="inlineStr">
        <is>
          <t>BESS EMS / SCADA and revenue metering</t>
        </is>
      </c>
      <c r="G3727" s="12" t="inlineStr"/>
      <c r="H3727" s="12" t="inlineStr">
        <is>
          <t>BESS auxiliary transformer</t>
        </is>
      </c>
      <c r="I3727" s="12" t="inlineStr">
        <is>
          <t>Control</t>
        </is>
      </c>
      <c r="J3727" s="12" t="inlineStr">
        <is>
          <t>Control cable 600 V Type TC-ER, Cu #10 AWG (CT / VT circuits)</t>
        </is>
      </c>
      <c r="K3727" s="12" t="inlineStr">
        <is>
          <t>CTCT|4/C|10</t>
        </is>
      </c>
      <c r="L3727" s="12" t="inlineStr">
        <is>
          <t>4/C</t>
        </is>
      </c>
      <c r="M3727" s="12" t="inlineStr">
        <is>
          <t>10</t>
        </is>
      </c>
      <c r="N3727" s="12" t="n">
        <v>1</v>
      </c>
      <c r="O3727" s="12" t="n">
        <v>1</v>
      </c>
      <c r="P3727" s="12" t="n"/>
      <c r="Q3727" s="12" t="n"/>
      <c r="R3727" s="12" t="n"/>
      <c r="S3727" s="12" t="inlineStr">
        <is>
          <t>Tray</t>
        </is>
      </c>
      <c r="T3727" s="15" t="n">
        <v>38</v>
      </c>
      <c r="U3727" s="15" t="n">
        <v>32</v>
      </c>
      <c r="V3727" s="15">
        <f>ROUNDUP((T3727+U3727+2*'Read Me'!$B$13)*(1+'Read Me'!$B$12),-1)</f>
        <v/>
      </c>
      <c r="W3727" s="15">
        <f>V3727*N3727*O3727</f>
        <v/>
      </c>
      <c r="X3727" s="12">
        <f>IF(LEFT(I3727,2)="MV",2*N3727*IF(L3727="1/C",O3727,1),0)</f>
        <v/>
      </c>
      <c r="Y3727" s="12">
        <f>IF(OR(LEFT(K3727,4)="LVAX",LEFT(K3727,6)="MV15AX",LEFT(K3727,4)="CTAX",LEFT(K3727,2)="W|"),2*N3727*O3727,0)</f>
        <v/>
      </c>
      <c r="Z3727" s="12" t="inlineStr"/>
      <c r="AA3727" s="12">
        <f>N3727*O3727</f>
        <v/>
      </c>
    </row>
    <row r="3728">
      <c r="A3728" s="12" t="inlineStr">
        <is>
          <t>H-C-0037</t>
        </is>
      </c>
      <c r="B3728" s="12" t="inlineStr">
        <is>
          <t>H</t>
        </is>
      </c>
      <c r="C3728" s="12" t="inlineStr">
        <is>
          <t>BESS</t>
        </is>
      </c>
      <c r="D3728" s="12" t="inlineStr">
        <is>
          <t>Control</t>
        </is>
      </c>
      <c r="E3728" s="12" t="inlineStr"/>
      <c r="F3728" s="12" t="inlineStr">
        <is>
          <t>BESS EMS / SCADA and revenue metering</t>
        </is>
      </c>
      <c r="G3728" s="12" t="inlineStr">
        <is>
          <t>BESS</t>
        </is>
      </c>
      <c r="H3728" s="12" t="inlineStr">
        <is>
          <t>BESS blocks: 30 containers + 15 PCS / MV skids</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5" t="n">
        <v>336</v>
      </c>
      <c r="U3728" s="15" t="n">
        <v>32</v>
      </c>
      <c r="V3728" s="15">
        <f>ROUNDUP((T3728+U3728+2*'Read Me'!$B$13)*(1+'Read Me'!$B$12),-1)</f>
        <v/>
      </c>
      <c r="W3728" s="15">
        <f>V3728*N3728*O3728</f>
        <v/>
      </c>
      <c r="X3728" s="12">
        <f>IF(LEFT(I3728,2)="MV",2*N3728*IF(L3728="1/C",O3728,1),0)</f>
        <v/>
      </c>
      <c r="Y3728" s="12">
        <f>IF(OR(LEFT(K3728,4)="LVAX",LEFT(K3728,6)="MV15AX",LEFT(K3728,4)="CTAX",LEFT(K3728,2)="W|"),2*N3728*O3728,0)</f>
        <v/>
      </c>
      <c r="Z3728" s="12" t="inlineStr"/>
      <c r="AA3728" s="12">
        <f>N3728*O3728</f>
        <v/>
      </c>
    </row>
    <row r="3729">
      <c r="A3729" s="12" t="inlineStr">
        <is>
          <t>H-C-0038</t>
        </is>
      </c>
      <c r="B3729" s="12" t="inlineStr">
        <is>
          <t>H</t>
        </is>
      </c>
      <c r="C3729" s="12" t="inlineStr">
        <is>
          <t>BESS</t>
        </is>
      </c>
      <c r="D3729" s="12" t="inlineStr">
        <is>
          <t>Control</t>
        </is>
      </c>
      <c r="E3729" s="12" t="inlineStr"/>
      <c r="F3729" s="12" t="inlineStr">
        <is>
          <t>BESS PCS / MV skid</t>
        </is>
      </c>
      <c r="G3729" s="12" t="inlineStr"/>
      <c r="H3729" s="12" t="inlineStr">
        <is>
          <t>BESS container (ISO 40 ft high cube)</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5" t="n">
        <v>10</v>
      </c>
      <c r="U3729" s="15" t="n">
        <v>150</v>
      </c>
      <c r="V3729" s="15">
        <f>ROUNDUP((T3729+U3729+2*'Read Me'!$B$13)*(1+'Read Me'!$B$12),-1)</f>
        <v/>
      </c>
      <c r="W3729" s="15">
        <f>V3729*N3729*O3729</f>
        <v/>
      </c>
      <c r="X3729" s="12">
        <f>IF(LEFT(I3729,2)="MV",2*N3729*IF(L3729="1/C",O3729,1),0)</f>
        <v/>
      </c>
      <c r="Y3729" s="12">
        <f>IF(OR(LEFT(K3729,4)="LVAX",LEFT(K3729,6)="MV15AX",LEFT(K3729,4)="CTAX",LEFT(K3729,2)="W|"),2*N3729*O3729,0)</f>
        <v/>
      </c>
      <c r="Z3729" s="12" t="inlineStr"/>
      <c r="AA3729" s="12">
        <f>N3729*O3729</f>
        <v/>
      </c>
    </row>
    <row r="3730">
      <c r="A3730" s="12" t="inlineStr">
        <is>
          <t>H-C-0039</t>
        </is>
      </c>
      <c r="B3730" s="12" t="inlineStr">
        <is>
          <t>H</t>
        </is>
      </c>
      <c r="C3730" s="12" t="inlineStr">
        <is>
          <t>BESS</t>
        </is>
      </c>
      <c r="D3730" s="12" t="inlineStr">
        <is>
          <t>Control</t>
        </is>
      </c>
      <c r="E3730" s="12" t="inlineStr"/>
      <c r="F3730" s="12" t="inlineStr">
        <is>
          <t>BESS PCS / MV skid</t>
        </is>
      </c>
      <c r="G3730" s="12" t="inlineStr"/>
      <c r="H3730" s="12" t="inlineStr">
        <is>
          <t>BESS container (ISO 40 ft high cube)</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5" t="n">
        <v>0</v>
      </c>
      <c r="U3730" s="15" t="n">
        <v>160</v>
      </c>
      <c r="V3730" s="15">
        <f>ROUNDUP((T3730+U3730+2*'Read Me'!$B$13)*(1+'Read Me'!$B$12),-1)</f>
        <v/>
      </c>
      <c r="W3730" s="15">
        <f>V3730*N3730*O3730</f>
        <v/>
      </c>
      <c r="X3730" s="12">
        <f>IF(LEFT(I3730,2)="MV",2*N3730*IF(L3730="1/C",O3730,1),0)</f>
        <v/>
      </c>
      <c r="Y3730" s="12">
        <f>IF(OR(LEFT(K3730,4)="LVAX",LEFT(K3730,6)="MV15AX",LEFT(K3730,4)="CTAX",LEFT(K3730,2)="W|"),2*N3730*O3730,0)</f>
        <v/>
      </c>
      <c r="Z3730" s="12" t="inlineStr"/>
      <c r="AA3730" s="12">
        <f>N3730*O3730</f>
        <v/>
      </c>
    </row>
    <row r="3731">
      <c r="A3731" s="12" t="inlineStr">
        <is>
          <t>H-C-0040</t>
        </is>
      </c>
      <c r="B3731" s="12" t="inlineStr">
        <is>
          <t>H</t>
        </is>
      </c>
      <c r="C3731" s="12" t="inlineStr">
        <is>
          <t>BESS</t>
        </is>
      </c>
      <c r="D3731" s="12" t="inlineStr">
        <is>
          <t>Control</t>
        </is>
      </c>
      <c r="E3731" s="12" t="inlineStr"/>
      <c r="F3731" s="12" t="inlineStr">
        <is>
          <t>BESS PCS / MV skid</t>
        </is>
      </c>
      <c r="G3731" s="12" t="inlineStr"/>
      <c r="H3731" s="12" t="inlineStr">
        <is>
          <t>BESS container (ISO 40 ft high cube)</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Tray</t>
        </is>
      </c>
      <c r="T3731" s="15" t="n">
        <v>0</v>
      </c>
      <c r="U3731" s="15" t="n">
        <v>200</v>
      </c>
      <c r="V3731" s="15">
        <f>ROUNDUP((T3731+U3731+2*'Read Me'!$B$13)*(1+'Read Me'!$B$12),-1)</f>
        <v/>
      </c>
      <c r="W3731" s="15">
        <f>V3731*N3731*O3731</f>
        <v/>
      </c>
      <c r="X3731" s="12">
        <f>IF(LEFT(I3731,2)="MV",2*N3731*IF(L3731="1/C",O3731,1),0)</f>
        <v/>
      </c>
      <c r="Y3731" s="12">
        <f>IF(OR(LEFT(K3731,4)="LVAX",LEFT(K3731,6)="MV15AX",LEFT(K3731,4)="CTAX",LEFT(K3731,2)="W|"),2*N3731*O3731,0)</f>
        <v/>
      </c>
      <c r="Z3731" s="12" t="inlineStr"/>
      <c r="AA3731" s="12">
        <f>N3731*O3731</f>
        <v/>
      </c>
    </row>
    <row r="3732">
      <c r="A3732" s="12" t="inlineStr">
        <is>
          <t>H-C-0041</t>
        </is>
      </c>
      <c r="B3732" s="12" t="inlineStr">
        <is>
          <t>H</t>
        </is>
      </c>
      <c r="C3732" s="12" t="inlineStr">
        <is>
          <t>BESS</t>
        </is>
      </c>
      <c r="D3732" s="12" t="inlineStr">
        <is>
          <t>Control</t>
        </is>
      </c>
      <c r="E3732" s="12" t="inlineStr"/>
      <c r="F3732" s="12" t="inlineStr">
        <is>
          <t>BESS PCS / MV skid</t>
        </is>
      </c>
      <c r="G3732" s="12" t="inlineStr"/>
      <c r="H3732" s="12" t="inlineStr">
        <is>
          <t>BESS container (ISO 40 ft high cube)</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Tray</t>
        </is>
      </c>
      <c r="T3732" s="15" t="n">
        <v>0</v>
      </c>
      <c r="U3732" s="15" t="n">
        <v>200</v>
      </c>
      <c r="V3732" s="15">
        <f>ROUNDUP((T3732+U3732+2*'Read Me'!$B$13)*(1+'Read Me'!$B$12),-1)</f>
        <v/>
      </c>
      <c r="W3732" s="15">
        <f>V3732*N3732*O3732</f>
        <v/>
      </c>
      <c r="X3732" s="12">
        <f>IF(LEFT(I3732,2)="MV",2*N3732*IF(L3732="1/C",O3732,1),0)</f>
        <v/>
      </c>
      <c r="Y3732" s="12">
        <f>IF(OR(LEFT(K3732,4)="LVAX",LEFT(K3732,6)="MV15AX",LEFT(K3732,4)="CTAX",LEFT(K3732,2)="W|"),2*N3732*O3732,0)</f>
        <v/>
      </c>
      <c r="Z3732" s="12" t="inlineStr"/>
      <c r="AA3732" s="12">
        <f>N3732*O3732</f>
        <v/>
      </c>
    </row>
    <row r="3733">
      <c r="A3733" s="12" t="inlineStr">
        <is>
          <t>H-C-0042</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Tray</t>
        </is>
      </c>
      <c r="T3733" s="15" t="n">
        <v>0</v>
      </c>
      <c r="U3733" s="15" t="n">
        <v>168</v>
      </c>
      <c r="V3733" s="15">
        <f>ROUNDUP((T3733+U3733+2*'Read Me'!$B$13)*(1+'Read Me'!$B$12),-1)</f>
        <v/>
      </c>
      <c r="W3733" s="15">
        <f>V3733*N3733*O3733</f>
        <v/>
      </c>
      <c r="X3733" s="12">
        <f>IF(LEFT(I3733,2)="MV",2*N3733*IF(L3733="1/C",O3733,1),0)</f>
        <v/>
      </c>
      <c r="Y3733" s="12">
        <f>IF(OR(LEFT(K3733,4)="LVAX",LEFT(K3733,6)="MV15AX",LEFT(K3733,4)="CTAX",LEFT(K3733,2)="W|"),2*N3733*O3733,0)</f>
        <v/>
      </c>
      <c r="Z3733" s="12" t="inlineStr"/>
      <c r="AA3733" s="12">
        <f>N3733*O3733</f>
        <v/>
      </c>
    </row>
    <row r="3734">
      <c r="A3734" s="12" t="inlineStr">
        <is>
          <t>H-C-0043</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5" t="n">
        <v>0</v>
      </c>
      <c r="U3734" s="15" t="n">
        <v>168</v>
      </c>
      <c r="V3734" s="15">
        <f>ROUNDUP((T3734+U3734+2*'Read Me'!$B$13)*(1+'Read Me'!$B$12),-1)</f>
        <v/>
      </c>
      <c r="W3734" s="15">
        <f>V3734*N3734*O3734</f>
        <v/>
      </c>
      <c r="X3734" s="12">
        <f>IF(LEFT(I3734,2)="MV",2*N3734*IF(L3734="1/C",O3734,1),0)</f>
        <v/>
      </c>
      <c r="Y3734" s="12">
        <f>IF(OR(LEFT(K3734,4)="LVAX",LEFT(K3734,6)="MV15AX",LEFT(K3734,4)="CTAX",LEFT(K3734,2)="W|"),2*N3734*O3734,0)</f>
        <v/>
      </c>
      <c r="Z3734" s="12" t="inlineStr"/>
      <c r="AA3734" s="12">
        <f>N3734*O3734</f>
        <v/>
      </c>
    </row>
    <row r="3735">
      <c r="A3735" s="12" t="inlineStr">
        <is>
          <t>H-C-0044</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5" t="n">
        <v>10</v>
      </c>
      <c r="U3735" s="15" t="n">
        <v>266</v>
      </c>
      <c r="V3735" s="15">
        <f>ROUNDUP((T3735+U3735+2*'Read Me'!$B$13)*(1+'Read Me'!$B$12),-1)</f>
        <v/>
      </c>
      <c r="W3735" s="15">
        <f>V3735*N3735*O3735</f>
        <v/>
      </c>
      <c r="X3735" s="12">
        <f>IF(LEFT(I3735,2)="MV",2*N3735*IF(L3735="1/C",O3735,1),0)</f>
        <v/>
      </c>
      <c r="Y3735" s="12">
        <f>IF(OR(LEFT(K3735,4)="LVAX",LEFT(K3735,6)="MV15AX",LEFT(K3735,4)="CTAX",LEFT(K3735,2)="W|"),2*N3735*O3735,0)</f>
        <v/>
      </c>
      <c r="Z3735" s="12" t="inlineStr"/>
      <c r="AA3735" s="12">
        <f>N3735*O3735</f>
        <v/>
      </c>
    </row>
    <row r="3736">
      <c r="A3736" s="12" t="inlineStr">
        <is>
          <t>H-C-0045</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5" t="n">
        <v>0</v>
      </c>
      <c r="U3736" s="15" t="n">
        <v>276</v>
      </c>
      <c r="V3736" s="15">
        <f>ROUNDUP((T3736+U3736+2*'Read Me'!$B$13)*(1+'Read Me'!$B$12),-1)</f>
        <v/>
      </c>
      <c r="W3736" s="15">
        <f>V3736*N3736*O3736</f>
        <v/>
      </c>
      <c r="X3736" s="12">
        <f>IF(LEFT(I3736,2)="MV",2*N3736*IF(L3736="1/C",O3736,1),0)</f>
        <v/>
      </c>
      <c r="Y3736" s="12">
        <f>IF(OR(LEFT(K3736,4)="LVAX",LEFT(K3736,6)="MV15AX",LEFT(K3736,4)="CTAX",LEFT(K3736,2)="W|"),2*N3736*O3736,0)</f>
        <v/>
      </c>
      <c r="Z3736" s="12" t="inlineStr"/>
      <c r="AA3736" s="12">
        <f>N3736*O3736</f>
        <v/>
      </c>
    </row>
    <row r="3737">
      <c r="A3737" s="12" t="inlineStr">
        <is>
          <t>H-C-0046</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5" t="n">
        <v>0</v>
      </c>
      <c r="U3737" s="15" t="n">
        <v>316</v>
      </c>
      <c r="V3737" s="15">
        <f>ROUNDUP((T3737+U3737+2*'Read Me'!$B$13)*(1+'Read Me'!$B$12),-1)</f>
        <v/>
      </c>
      <c r="W3737" s="15">
        <f>V3737*N3737*O3737</f>
        <v/>
      </c>
      <c r="X3737" s="12">
        <f>IF(LEFT(I3737,2)="MV",2*N3737*IF(L3737="1/C",O3737,1),0)</f>
        <v/>
      </c>
      <c r="Y3737" s="12">
        <f>IF(OR(LEFT(K3737,4)="LVAX",LEFT(K3737,6)="MV15AX",LEFT(K3737,4)="CTAX",LEFT(K3737,2)="W|"),2*N3737*O3737,0)</f>
        <v/>
      </c>
      <c r="Z3737" s="12" t="inlineStr"/>
      <c r="AA3737" s="12">
        <f>N3737*O3737</f>
        <v/>
      </c>
    </row>
    <row r="3738">
      <c r="A3738" s="12" t="inlineStr">
        <is>
          <t>H-C-0047</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5" t="n">
        <v>0</v>
      </c>
      <c r="U3738" s="15" t="n">
        <v>316</v>
      </c>
      <c r="V3738" s="15">
        <f>ROUNDUP((T3738+U3738+2*'Read Me'!$B$13)*(1+'Read Me'!$B$12),-1)</f>
        <v/>
      </c>
      <c r="W3738" s="15">
        <f>V3738*N3738*O3738</f>
        <v/>
      </c>
      <c r="X3738" s="12">
        <f>IF(LEFT(I3738,2)="MV",2*N3738*IF(L3738="1/C",O3738,1),0)</f>
        <v/>
      </c>
      <c r="Y3738" s="12">
        <f>IF(OR(LEFT(K3738,4)="LVAX",LEFT(K3738,6)="MV15AX",LEFT(K3738,4)="CTAX",LEFT(K3738,2)="W|"),2*N3738*O3738,0)</f>
        <v/>
      </c>
      <c r="Z3738" s="12" t="inlineStr"/>
      <c r="AA3738" s="12">
        <f>N3738*O3738</f>
        <v/>
      </c>
    </row>
    <row r="3739">
      <c r="A3739" s="12" t="inlineStr">
        <is>
          <t>H-C-0048</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5" t="n">
        <v>0</v>
      </c>
      <c r="U3739" s="15" t="n">
        <v>284</v>
      </c>
      <c r="V3739" s="15">
        <f>ROUNDUP((T3739+U3739+2*'Read Me'!$B$13)*(1+'Read Me'!$B$12),-1)</f>
        <v/>
      </c>
      <c r="W3739" s="15">
        <f>V3739*N3739*O3739</f>
        <v/>
      </c>
      <c r="X3739" s="12">
        <f>IF(LEFT(I3739,2)="MV",2*N3739*IF(L3739="1/C",O3739,1),0)</f>
        <v/>
      </c>
      <c r="Y3739" s="12">
        <f>IF(OR(LEFT(K3739,4)="LVAX",LEFT(K3739,6)="MV15AX",LEFT(K3739,4)="CTAX",LEFT(K3739,2)="W|"),2*N3739*O3739,0)</f>
        <v/>
      </c>
      <c r="Z3739" s="12" t="inlineStr"/>
      <c r="AA3739" s="12">
        <f>N3739*O3739</f>
        <v/>
      </c>
    </row>
    <row r="3740">
      <c r="A3740" s="12" t="inlineStr">
        <is>
          <t>H-C-0049</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5" t="n">
        <v>0</v>
      </c>
      <c r="U3740" s="15" t="n">
        <v>284</v>
      </c>
      <c r="V3740" s="15">
        <f>ROUNDUP((T3740+U3740+2*'Read Me'!$B$13)*(1+'Read Me'!$B$12),-1)</f>
        <v/>
      </c>
      <c r="W3740" s="15">
        <f>V3740*N3740*O3740</f>
        <v/>
      </c>
      <c r="X3740" s="12">
        <f>IF(LEFT(I3740,2)="MV",2*N3740*IF(L3740="1/C",O3740,1),0)</f>
        <v/>
      </c>
      <c r="Y3740" s="12">
        <f>IF(OR(LEFT(K3740,4)="LVAX",LEFT(K3740,6)="MV15AX",LEFT(K3740,4)="CTAX",LEFT(K3740,2)="W|"),2*N3740*O3740,0)</f>
        <v/>
      </c>
      <c r="Z3740" s="12" t="inlineStr"/>
      <c r="AA3740" s="12">
        <f>N3740*O3740</f>
        <v/>
      </c>
    </row>
    <row r="3741">
      <c r="A3741" s="12" t="inlineStr">
        <is>
          <t>H-C-0050</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5" t="n">
        <v>0</v>
      </c>
      <c r="U3741" s="15" t="n">
        <v>290</v>
      </c>
      <c r="V3741" s="15">
        <f>ROUNDUP((T3741+U3741+2*'Read Me'!$B$13)*(1+'Read Me'!$B$12),-1)</f>
        <v/>
      </c>
      <c r="W3741" s="15">
        <f>V3741*N3741*O3741</f>
        <v/>
      </c>
      <c r="X3741" s="12">
        <f>IF(LEFT(I3741,2)="MV",2*N3741*IF(L3741="1/C",O3741,1),0)</f>
        <v/>
      </c>
      <c r="Y3741" s="12">
        <f>IF(OR(LEFT(K3741,4)="LVAX",LEFT(K3741,6)="MV15AX",LEFT(K3741,4)="CTAX",LEFT(K3741,2)="W|"),2*N3741*O3741,0)</f>
        <v/>
      </c>
      <c r="Z3741" s="12" t="inlineStr"/>
      <c r="AA3741" s="12">
        <f>N3741*O3741</f>
        <v/>
      </c>
    </row>
    <row r="3742">
      <c r="A3742" s="12" t="inlineStr">
        <is>
          <t>H-C-0051</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5" t="n">
        <v>0</v>
      </c>
      <c r="U3742" s="15" t="n">
        <v>290</v>
      </c>
      <c r="V3742" s="15">
        <f>ROUNDUP((T3742+U3742+2*'Read Me'!$B$13)*(1+'Read Me'!$B$12),-1)</f>
        <v/>
      </c>
      <c r="W3742" s="15">
        <f>V3742*N3742*O3742</f>
        <v/>
      </c>
      <c r="X3742" s="12">
        <f>IF(LEFT(I3742,2)="MV",2*N3742*IF(L3742="1/C",O3742,1),0)</f>
        <v/>
      </c>
      <c r="Y3742" s="12">
        <f>IF(OR(LEFT(K3742,4)="LVAX",LEFT(K3742,6)="MV15AX",LEFT(K3742,4)="CTAX",LEFT(K3742,2)="W|"),2*N3742*O3742,0)</f>
        <v/>
      </c>
      <c r="Z3742" s="12" t="inlineStr"/>
      <c r="AA3742" s="12">
        <f>N3742*O3742</f>
        <v/>
      </c>
    </row>
    <row r="3743">
      <c r="A3743" s="12" t="inlineStr">
        <is>
          <t>H-C-0052</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5" t="n">
        <v>0</v>
      </c>
      <c r="U3743" s="15" t="n">
        <v>290</v>
      </c>
      <c r="V3743" s="15">
        <f>ROUNDUP((T3743+U3743+2*'Read Me'!$B$13)*(1+'Read Me'!$B$12),-1)</f>
        <v/>
      </c>
      <c r="W3743" s="15">
        <f>V3743*N3743*O3743</f>
        <v/>
      </c>
      <c r="X3743" s="12">
        <f>IF(LEFT(I3743,2)="MV",2*N3743*IF(L3743="1/C",O3743,1),0)</f>
        <v/>
      </c>
      <c r="Y3743" s="12">
        <f>IF(OR(LEFT(K3743,4)="LVAX",LEFT(K3743,6)="MV15AX",LEFT(K3743,4)="CTAX",LEFT(K3743,2)="W|"),2*N3743*O3743,0)</f>
        <v/>
      </c>
      <c r="Z3743" s="12" t="inlineStr"/>
      <c r="AA3743" s="12">
        <f>N3743*O3743</f>
        <v/>
      </c>
    </row>
    <row r="3744">
      <c r="A3744" s="12" t="inlineStr">
        <is>
          <t>H-C-0053</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5" t="n">
        <v>0</v>
      </c>
      <c r="U3744" s="15" t="n">
        <v>290</v>
      </c>
      <c r="V3744" s="15">
        <f>ROUNDUP((T3744+U3744+2*'Read Me'!$B$13)*(1+'Read Me'!$B$12),-1)</f>
        <v/>
      </c>
      <c r="W3744" s="15">
        <f>V3744*N3744*O3744</f>
        <v/>
      </c>
      <c r="X3744" s="12">
        <f>IF(LEFT(I3744,2)="MV",2*N3744*IF(L3744="1/C",O3744,1),0)</f>
        <v/>
      </c>
      <c r="Y3744" s="12">
        <f>IF(OR(LEFT(K3744,4)="LVAX",LEFT(K3744,6)="MV15AX",LEFT(K3744,4)="CTAX",LEFT(K3744,2)="W|"),2*N3744*O3744,0)</f>
        <v/>
      </c>
      <c r="Z3744" s="12" t="inlineStr"/>
      <c r="AA3744" s="12">
        <f>N3744*O3744</f>
        <v/>
      </c>
    </row>
    <row r="3745">
      <c r="A3745" s="12" t="inlineStr">
        <is>
          <t>H-C-0054</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5" t="n">
        <v>0</v>
      </c>
      <c r="U3745" s="15" t="n">
        <v>290</v>
      </c>
      <c r="V3745" s="15">
        <f>ROUNDUP((T3745+U3745+2*'Read Me'!$B$13)*(1+'Read Me'!$B$12),-1)</f>
        <v/>
      </c>
      <c r="W3745" s="15">
        <f>V3745*N3745*O3745</f>
        <v/>
      </c>
      <c r="X3745" s="12">
        <f>IF(LEFT(I3745,2)="MV",2*N3745*IF(L3745="1/C",O3745,1),0)</f>
        <v/>
      </c>
      <c r="Y3745" s="12">
        <f>IF(OR(LEFT(K3745,4)="LVAX",LEFT(K3745,6)="MV15AX",LEFT(K3745,4)="CTAX",LEFT(K3745,2)="W|"),2*N3745*O3745,0)</f>
        <v/>
      </c>
      <c r="Z3745" s="12" t="inlineStr"/>
      <c r="AA3745" s="12">
        <f>N3745*O3745</f>
        <v/>
      </c>
    </row>
    <row r="3746">
      <c r="A3746" s="12" t="inlineStr">
        <is>
          <t>H-C-0055</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5" t="n">
        <v>0</v>
      </c>
      <c r="U3746" s="15" t="n">
        <v>290</v>
      </c>
      <c r="V3746" s="15">
        <f>ROUNDUP((T3746+U3746+2*'Read Me'!$B$13)*(1+'Read Me'!$B$12),-1)</f>
        <v/>
      </c>
      <c r="W3746" s="15">
        <f>V3746*N3746*O3746</f>
        <v/>
      </c>
      <c r="X3746" s="12">
        <f>IF(LEFT(I3746,2)="MV",2*N3746*IF(L3746="1/C",O3746,1),0)</f>
        <v/>
      </c>
      <c r="Y3746" s="12">
        <f>IF(OR(LEFT(K3746,4)="LVAX",LEFT(K3746,6)="MV15AX",LEFT(K3746,4)="CTAX",LEFT(K3746,2)="W|"),2*N3746*O3746,0)</f>
        <v/>
      </c>
      <c r="Z3746" s="12" t="inlineStr"/>
      <c r="AA3746" s="12">
        <f>N3746*O3746</f>
        <v/>
      </c>
    </row>
    <row r="3747">
      <c r="A3747" s="12" t="inlineStr">
        <is>
          <t>H-C-0056</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5" t="n">
        <v>0</v>
      </c>
      <c r="U3747" s="15" t="n">
        <v>174</v>
      </c>
      <c r="V3747" s="15">
        <f>ROUNDUP((T3747+U3747+2*'Read Me'!$B$13)*(1+'Read Me'!$B$12),-1)</f>
        <v/>
      </c>
      <c r="W3747" s="15">
        <f>V3747*N3747*O3747</f>
        <v/>
      </c>
      <c r="X3747" s="12">
        <f>IF(LEFT(I3747,2)="MV",2*N3747*IF(L3747="1/C",O3747,1),0)</f>
        <v/>
      </c>
      <c r="Y3747" s="12">
        <f>IF(OR(LEFT(K3747,4)="LVAX",LEFT(K3747,6)="MV15AX",LEFT(K3747,4)="CTAX",LEFT(K3747,2)="W|"),2*N3747*O3747,0)</f>
        <v/>
      </c>
      <c r="Z3747" s="12" t="inlineStr"/>
      <c r="AA3747" s="12">
        <f>N3747*O3747</f>
        <v/>
      </c>
    </row>
    <row r="3748">
      <c r="A3748" s="12" t="inlineStr">
        <is>
          <t>H-C-0057</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5" t="n">
        <v>0</v>
      </c>
      <c r="U3748" s="15" t="n">
        <v>174</v>
      </c>
      <c r="V3748" s="15">
        <f>ROUNDUP((T3748+U3748+2*'Read Me'!$B$13)*(1+'Read Me'!$B$12),-1)</f>
        <v/>
      </c>
      <c r="W3748" s="15">
        <f>V3748*N3748*O3748</f>
        <v/>
      </c>
      <c r="X3748" s="12">
        <f>IF(LEFT(I3748,2)="MV",2*N3748*IF(L3748="1/C",O3748,1),0)</f>
        <v/>
      </c>
      <c r="Y3748" s="12">
        <f>IF(OR(LEFT(K3748,4)="LVAX",LEFT(K3748,6)="MV15AX",LEFT(K3748,4)="CTAX",LEFT(K3748,2)="W|"),2*N3748*O3748,0)</f>
        <v/>
      </c>
      <c r="Z3748" s="12" t="inlineStr"/>
      <c r="AA3748" s="12">
        <f>N3748*O3748</f>
        <v/>
      </c>
    </row>
    <row r="3749">
      <c r="A3749" s="12" t="inlineStr">
        <is>
          <t>H-C-0058</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5" t="n">
        <v>0</v>
      </c>
      <c r="U3749" s="15" t="n">
        <v>174</v>
      </c>
      <c r="V3749" s="15">
        <f>ROUNDUP((T3749+U3749+2*'Read Me'!$B$13)*(1+'Read Me'!$B$12),-1)</f>
        <v/>
      </c>
      <c r="W3749" s="15">
        <f>V3749*N3749*O3749</f>
        <v/>
      </c>
      <c r="X3749" s="12">
        <f>IF(LEFT(I3749,2)="MV",2*N3749*IF(L3749="1/C",O3749,1),0)</f>
        <v/>
      </c>
      <c r="Y3749" s="12">
        <f>IF(OR(LEFT(K3749,4)="LVAX",LEFT(K3749,6)="MV15AX",LEFT(K3749,4)="CTAX",LEFT(K3749,2)="W|"),2*N3749*O3749,0)</f>
        <v/>
      </c>
      <c r="Z3749" s="12" t="inlineStr"/>
      <c r="AA3749" s="12">
        <f>N3749*O3749</f>
        <v/>
      </c>
    </row>
    <row r="3750">
      <c r="A3750" s="12" t="inlineStr">
        <is>
          <t>H-C-0059</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5" t="n">
        <v>0</v>
      </c>
      <c r="U3750" s="15" t="n">
        <v>174</v>
      </c>
      <c r="V3750" s="15">
        <f>ROUNDUP((T3750+U3750+2*'Read Me'!$B$13)*(1+'Read Me'!$B$12),-1)</f>
        <v/>
      </c>
      <c r="W3750" s="15">
        <f>V3750*N3750*O3750</f>
        <v/>
      </c>
      <c r="X3750" s="12">
        <f>IF(LEFT(I3750,2)="MV",2*N3750*IF(L3750="1/C",O3750,1),0)</f>
        <v/>
      </c>
      <c r="Y3750" s="12">
        <f>IF(OR(LEFT(K3750,4)="LVAX",LEFT(K3750,6)="MV15AX",LEFT(K3750,4)="CTAX",LEFT(K3750,2)="W|"),2*N3750*O3750,0)</f>
        <v/>
      </c>
      <c r="Z3750" s="12" t="inlineStr"/>
      <c r="AA3750" s="12">
        <f>N3750*O3750</f>
        <v/>
      </c>
    </row>
    <row r="3751">
      <c r="A3751" s="12" t="inlineStr">
        <is>
          <t>H-C-0060</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5" t="n">
        <v>0</v>
      </c>
      <c r="U3751" s="15" t="n">
        <v>174</v>
      </c>
      <c r="V3751" s="15">
        <f>ROUNDUP((T3751+U3751+2*'Read Me'!$B$13)*(1+'Read Me'!$B$12),-1)</f>
        <v/>
      </c>
      <c r="W3751" s="15">
        <f>V3751*N3751*O3751</f>
        <v/>
      </c>
      <c r="X3751" s="12">
        <f>IF(LEFT(I3751,2)="MV",2*N3751*IF(L3751="1/C",O3751,1),0)</f>
        <v/>
      </c>
      <c r="Y3751" s="12">
        <f>IF(OR(LEFT(K3751,4)="LVAX",LEFT(K3751,6)="MV15AX",LEFT(K3751,4)="CTAX",LEFT(K3751,2)="W|"),2*N3751*O3751,0)</f>
        <v/>
      </c>
      <c r="Z3751" s="12" t="inlineStr"/>
      <c r="AA3751" s="12">
        <f>N3751*O3751</f>
        <v/>
      </c>
    </row>
    <row r="3752">
      <c r="A3752" s="12" t="inlineStr">
        <is>
          <t>H-C-0061</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5" t="n">
        <v>0</v>
      </c>
      <c r="U3752" s="15" t="n">
        <v>174</v>
      </c>
      <c r="V3752" s="15">
        <f>ROUNDUP((T3752+U3752+2*'Read Me'!$B$13)*(1+'Read Me'!$B$12),-1)</f>
        <v/>
      </c>
      <c r="W3752" s="15">
        <f>V3752*N3752*O3752</f>
        <v/>
      </c>
      <c r="X3752" s="12">
        <f>IF(LEFT(I3752,2)="MV",2*N3752*IF(L3752="1/C",O3752,1),0)</f>
        <v/>
      </c>
      <c r="Y3752" s="12">
        <f>IF(OR(LEFT(K3752,4)="LVAX",LEFT(K3752,6)="MV15AX",LEFT(K3752,4)="CTAX",LEFT(K3752,2)="W|"),2*N3752*O3752,0)</f>
        <v/>
      </c>
      <c r="Z3752" s="12" t="inlineStr"/>
      <c r="AA3752" s="12">
        <f>N3752*O3752</f>
        <v/>
      </c>
    </row>
    <row r="3753">
      <c r="A3753" s="12" t="inlineStr">
        <is>
          <t>H-C-0062</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5" t="n">
        <v>0</v>
      </c>
      <c r="U3753" s="15" t="n">
        <v>62</v>
      </c>
      <c r="V3753" s="15">
        <f>ROUNDUP((T3753+U3753+2*'Read Me'!$B$13)*(1+'Read Me'!$B$12),-1)</f>
        <v/>
      </c>
      <c r="W3753" s="15">
        <f>V3753*N3753*O3753</f>
        <v/>
      </c>
      <c r="X3753" s="12">
        <f>IF(LEFT(I3753,2)="MV",2*N3753*IF(L3753="1/C",O3753,1),0)</f>
        <v/>
      </c>
      <c r="Y3753" s="12">
        <f>IF(OR(LEFT(K3753,4)="LVAX",LEFT(K3753,6)="MV15AX",LEFT(K3753,4)="CTAX",LEFT(K3753,2)="W|"),2*N3753*O3753,0)</f>
        <v/>
      </c>
      <c r="Z3753" s="12" t="inlineStr"/>
      <c r="AA3753" s="12">
        <f>N3753*O3753</f>
        <v/>
      </c>
    </row>
    <row r="3754">
      <c r="A3754" s="12" t="inlineStr">
        <is>
          <t>H-C-0063</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5" t="n">
        <v>0</v>
      </c>
      <c r="U3754" s="15" t="n">
        <v>62</v>
      </c>
      <c r="V3754" s="15">
        <f>ROUNDUP((T3754+U3754+2*'Read Me'!$B$13)*(1+'Read Me'!$B$12),-1)</f>
        <v/>
      </c>
      <c r="W3754" s="15">
        <f>V3754*N3754*O3754</f>
        <v/>
      </c>
      <c r="X3754" s="12">
        <f>IF(LEFT(I3754,2)="MV",2*N3754*IF(L3754="1/C",O3754,1),0)</f>
        <v/>
      </c>
      <c r="Y3754" s="12">
        <f>IF(OR(LEFT(K3754,4)="LVAX",LEFT(K3754,6)="MV15AX",LEFT(K3754,4)="CTAX",LEFT(K3754,2)="W|"),2*N3754*O3754,0)</f>
        <v/>
      </c>
      <c r="Z3754" s="12" t="inlineStr"/>
      <c r="AA3754" s="12">
        <f>N3754*O3754</f>
        <v/>
      </c>
    </row>
    <row r="3755">
      <c r="A3755" s="12" t="inlineStr">
        <is>
          <t>H-C-0064</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5" t="n">
        <v>0</v>
      </c>
      <c r="U3755" s="15" t="n">
        <v>62</v>
      </c>
      <c r="V3755" s="15">
        <f>ROUNDUP((T3755+U3755+2*'Read Me'!$B$13)*(1+'Read Me'!$B$12),-1)</f>
        <v/>
      </c>
      <c r="W3755" s="15">
        <f>V3755*N3755*O3755</f>
        <v/>
      </c>
      <c r="X3755" s="12">
        <f>IF(LEFT(I3755,2)="MV",2*N3755*IF(L3755="1/C",O3755,1),0)</f>
        <v/>
      </c>
      <c r="Y3755" s="12">
        <f>IF(OR(LEFT(K3755,4)="LVAX",LEFT(K3755,6)="MV15AX",LEFT(K3755,4)="CTAX",LEFT(K3755,2)="W|"),2*N3755*O3755,0)</f>
        <v/>
      </c>
      <c r="Z3755" s="12" t="inlineStr"/>
      <c r="AA3755" s="12">
        <f>N3755*O3755</f>
        <v/>
      </c>
    </row>
    <row r="3756">
      <c r="A3756" s="12" t="inlineStr">
        <is>
          <t>H-C-0065</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5" t="n">
        <v>0</v>
      </c>
      <c r="U3756" s="15" t="n">
        <v>62</v>
      </c>
      <c r="V3756" s="15">
        <f>ROUNDUP((T3756+U3756+2*'Read Me'!$B$13)*(1+'Read Me'!$B$12),-1)</f>
        <v/>
      </c>
      <c r="W3756" s="15">
        <f>V3756*N3756*O3756</f>
        <v/>
      </c>
      <c r="X3756" s="12">
        <f>IF(LEFT(I3756,2)="MV",2*N3756*IF(L3756="1/C",O3756,1),0)</f>
        <v/>
      </c>
      <c r="Y3756" s="12">
        <f>IF(OR(LEFT(K3756,4)="LVAX",LEFT(K3756,6)="MV15AX",LEFT(K3756,4)="CTAX",LEFT(K3756,2)="W|"),2*N3756*O3756,0)</f>
        <v/>
      </c>
      <c r="Z3756" s="12" t="inlineStr"/>
      <c r="AA3756" s="12">
        <f>N3756*O3756</f>
        <v/>
      </c>
    </row>
    <row r="3757">
      <c r="A3757" s="12" t="inlineStr">
        <is>
          <t>H-C-0066</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5" t="n">
        <v>0</v>
      </c>
      <c r="U3757" s="15" t="n">
        <v>62</v>
      </c>
      <c r="V3757" s="15">
        <f>ROUNDUP((T3757+U3757+2*'Read Me'!$B$13)*(1+'Read Me'!$B$12),-1)</f>
        <v/>
      </c>
      <c r="W3757" s="15">
        <f>V3757*N3757*O3757</f>
        <v/>
      </c>
      <c r="X3757" s="12">
        <f>IF(LEFT(I3757,2)="MV",2*N3757*IF(L3757="1/C",O3757,1),0)</f>
        <v/>
      </c>
      <c r="Y3757" s="12">
        <f>IF(OR(LEFT(K3757,4)="LVAX",LEFT(K3757,6)="MV15AX",LEFT(K3757,4)="CTAX",LEFT(K3757,2)="W|"),2*N3757*O3757,0)</f>
        <v/>
      </c>
      <c r="Z3757" s="12" t="inlineStr"/>
      <c r="AA3757" s="12">
        <f>N3757*O3757</f>
        <v/>
      </c>
    </row>
    <row r="3758">
      <c r="A3758" s="12" t="inlineStr">
        <is>
          <t>H-C-0067</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5" t="n">
        <v>0</v>
      </c>
      <c r="U3758" s="15" t="n">
        <v>62</v>
      </c>
      <c r="V3758" s="15">
        <f>ROUNDUP((T3758+U3758+2*'Read Me'!$B$13)*(1+'Read Me'!$B$12),-1)</f>
        <v/>
      </c>
      <c r="W3758" s="15">
        <f>V3758*N3758*O3758</f>
        <v/>
      </c>
      <c r="X3758" s="12">
        <f>IF(LEFT(I3758,2)="MV",2*N3758*IF(L3758="1/C",O3758,1),0)</f>
        <v/>
      </c>
      <c r="Y3758" s="12">
        <f>IF(OR(LEFT(K3758,4)="LVAX",LEFT(K3758,6)="MV15AX",LEFT(K3758,4)="CTAX",LEFT(K3758,2)="W|"),2*N3758*O3758,0)</f>
        <v/>
      </c>
      <c r="Z3758" s="12" t="inlineStr"/>
      <c r="AA3758" s="12">
        <f>N3758*O3758</f>
        <v/>
      </c>
    </row>
    <row r="3759">
      <c r="A3759" s="12" t="inlineStr">
        <is>
          <t>H-C-0068</t>
        </is>
      </c>
      <c r="B3759" s="12" t="inlineStr">
        <is>
          <t>H</t>
        </is>
      </c>
      <c r="C3759" s="12" t="inlineStr">
        <is>
          <t>BESS</t>
        </is>
      </c>
      <c r="D3759" s="12" t="inlineStr">
        <is>
          <t>Motor 1 of 6: control / local station</t>
        </is>
      </c>
      <c r="E3759" s="12" t="inlineStr"/>
      <c r="F3759" s="12" t="inlineStr">
        <is>
          <t>BESS auxiliary transformer</t>
        </is>
      </c>
      <c r="G3759" s="12" t="inlineStr">
        <is>
          <t>BESS MPT</t>
        </is>
      </c>
      <c r="H3759" s="12" t="inlineStr">
        <is>
          <t>BESS main power transformer 34.5/230 kV (to D4 upper)</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Duct bank</t>
        </is>
      </c>
      <c r="T3759" s="15" t="n">
        <v>187</v>
      </c>
      <c r="U3759" s="15" t="n">
        <v>32</v>
      </c>
      <c r="V3759" s="15">
        <f>ROUNDUP((T3759+U3759+2*'Read Me'!$B$13)*(1+'Read Me'!$B$12),-1)</f>
        <v/>
      </c>
      <c r="W3759" s="15">
        <f>V3759*N3759*O3759</f>
        <v/>
      </c>
      <c r="X3759" s="12">
        <f>IF(LEFT(I3759,2)="MV",2*N3759*IF(L3759="1/C",O3759,1),0)</f>
        <v/>
      </c>
      <c r="Y3759" s="12">
        <f>IF(OR(LEFT(K3759,4)="LVAX",LEFT(K3759,6)="MV15AX",LEFT(K3759,4)="CTAX",LEFT(K3759,2)="W|"),2*N3759*O3759,0)</f>
        <v/>
      </c>
      <c r="Z3759" s="12" t="inlineStr"/>
      <c r="AA3759" s="12">
        <f>N3759*O3759</f>
        <v/>
      </c>
    </row>
    <row r="3760">
      <c r="A3760" s="12" t="inlineStr">
        <is>
          <t>H-C-0069</t>
        </is>
      </c>
      <c r="B3760" s="12" t="inlineStr">
        <is>
          <t>H</t>
        </is>
      </c>
      <c r="C3760" s="12" t="inlineStr">
        <is>
          <t>BESS</t>
        </is>
      </c>
      <c r="D3760" s="12" t="inlineStr">
        <is>
          <t>Motor 2 of 6: control / local station</t>
        </is>
      </c>
      <c r="E3760" s="12" t="inlineStr"/>
      <c r="F3760" s="12" t="inlineStr">
        <is>
          <t>BESS auxiliary transformer</t>
        </is>
      </c>
      <c r="G3760" s="12" t="inlineStr">
        <is>
          <t>BESS MPT</t>
        </is>
      </c>
      <c r="H3760" s="12" t="inlineStr">
        <is>
          <t>BESS main power transformer 34.5/230 kV (to D4 upper)</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Duct bank</t>
        </is>
      </c>
      <c r="T3760" s="15" t="n">
        <v>187</v>
      </c>
      <c r="U3760" s="15" t="n">
        <v>32</v>
      </c>
      <c r="V3760" s="15">
        <f>ROUNDUP((T3760+U3760+2*'Read Me'!$B$13)*(1+'Read Me'!$B$12),-1)</f>
        <v/>
      </c>
      <c r="W3760" s="15">
        <f>V3760*N3760*O3760</f>
        <v/>
      </c>
      <c r="X3760" s="12">
        <f>IF(LEFT(I3760,2)="MV",2*N3760*IF(L3760="1/C",O3760,1),0)</f>
        <v/>
      </c>
      <c r="Y3760" s="12">
        <f>IF(OR(LEFT(K3760,4)="LVAX",LEFT(K3760,6)="MV15AX",LEFT(K3760,4)="CTAX",LEFT(K3760,2)="W|"),2*N3760*O3760,0)</f>
        <v/>
      </c>
      <c r="Z3760" s="12" t="inlineStr"/>
      <c r="AA3760" s="12">
        <f>N3760*O3760</f>
        <v/>
      </c>
    </row>
    <row r="3761">
      <c r="A3761" s="12" t="inlineStr">
        <is>
          <t>H-C-0070</t>
        </is>
      </c>
      <c r="B3761" s="12" t="inlineStr">
        <is>
          <t>H</t>
        </is>
      </c>
      <c r="C3761" s="12" t="inlineStr">
        <is>
          <t>BESS</t>
        </is>
      </c>
      <c r="D3761" s="12" t="inlineStr">
        <is>
          <t>Motor 3 of 6: control / local station</t>
        </is>
      </c>
      <c r="E3761" s="12" t="inlineStr"/>
      <c r="F3761" s="12" t="inlineStr">
        <is>
          <t>BESS auxiliary transformer</t>
        </is>
      </c>
      <c r="G3761" s="12" t="inlineStr">
        <is>
          <t>BESS MPT</t>
        </is>
      </c>
      <c r="H3761" s="12" t="inlineStr">
        <is>
          <t>BESS main power transformer 34.5/230 kV (to D4 upper)</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Duct bank</t>
        </is>
      </c>
      <c r="T3761" s="15" t="n">
        <v>187</v>
      </c>
      <c r="U3761" s="15" t="n">
        <v>32</v>
      </c>
      <c r="V3761" s="15">
        <f>ROUNDUP((T3761+U3761+2*'Read Me'!$B$13)*(1+'Read Me'!$B$12),-1)</f>
        <v/>
      </c>
      <c r="W3761" s="15">
        <f>V3761*N3761*O3761</f>
        <v/>
      </c>
      <c r="X3761" s="12">
        <f>IF(LEFT(I3761,2)="MV",2*N3761*IF(L3761="1/C",O3761,1),0)</f>
        <v/>
      </c>
      <c r="Y3761" s="12">
        <f>IF(OR(LEFT(K3761,4)="LVAX",LEFT(K3761,6)="MV15AX",LEFT(K3761,4)="CTAX",LEFT(K3761,2)="W|"),2*N3761*O3761,0)</f>
        <v/>
      </c>
      <c r="Z3761" s="12" t="inlineStr"/>
      <c r="AA3761" s="12">
        <f>N3761*O3761</f>
        <v/>
      </c>
    </row>
    <row r="3762">
      <c r="A3762" s="12" t="inlineStr">
        <is>
          <t>H-C-0071</t>
        </is>
      </c>
      <c r="B3762" s="12" t="inlineStr">
        <is>
          <t>H</t>
        </is>
      </c>
      <c r="C3762" s="12" t="inlineStr">
        <is>
          <t>BESS</t>
        </is>
      </c>
      <c r="D3762" s="12" t="inlineStr">
        <is>
          <t>Motor 4 of 6: control / local station</t>
        </is>
      </c>
      <c r="E3762" s="12" t="inlineStr"/>
      <c r="F3762" s="12" t="inlineStr">
        <is>
          <t>BESS auxiliary transformer</t>
        </is>
      </c>
      <c r="G3762" s="12" t="inlineStr">
        <is>
          <t>BESS MPT</t>
        </is>
      </c>
      <c r="H3762" s="12" t="inlineStr">
        <is>
          <t>BESS main power transformer 34.5/230 kV (to D4 upper)</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Duct bank</t>
        </is>
      </c>
      <c r="T3762" s="15" t="n">
        <v>187</v>
      </c>
      <c r="U3762" s="15" t="n">
        <v>32</v>
      </c>
      <c r="V3762" s="15">
        <f>ROUNDUP((T3762+U3762+2*'Read Me'!$B$13)*(1+'Read Me'!$B$12),-1)</f>
        <v/>
      </c>
      <c r="W3762" s="15">
        <f>V3762*N3762*O3762</f>
        <v/>
      </c>
      <c r="X3762" s="12">
        <f>IF(LEFT(I3762,2)="MV",2*N3762*IF(L3762="1/C",O3762,1),0)</f>
        <v/>
      </c>
      <c r="Y3762" s="12">
        <f>IF(OR(LEFT(K3762,4)="LVAX",LEFT(K3762,6)="MV15AX",LEFT(K3762,4)="CTAX",LEFT(K3762,2)="W|"),2*N3762*O3762,0)</f>
        <v/>
      </c>
      <c r="Z3762" s="12" t="inlineStr"/>
      <c r="AA3762" s="12">
        <f>N3762*O3762</f>
        <v/>
      </c>
    </row>
    <row r="3763">
      <c r="A3763" s="12" t="inlineStr">
        <is>
          <t>H-C-0072</t>
        </is>
      </c>
      <c r="B3763" s="12" t="inlineStr">
        <is>
          <t>H</t>
        </is>
      </c>
      <c r="C3763" s="12" t="inlineStr">
        <is>
          <t>BESS</t>
        </is>
      </c>
      <c r="D3763" s="12" t="inlineStr">
        <is>
          <t>Motor 5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5" t="n">
        <v>187</v>
      </c>
      <c r="U3763" s="15" t="n">
        <v>32</v>
      </c>
      <c r="V3763" s="15">
        <f>ROUNDUP((T3763+U3763+2*'Read Me'!$B$13)*(1+'Read Me'!$B$12),-1)</f>
        <v/>
      </c>
      <c r="W3763" s="15">
        <f>V3763*N3763*O3763</f>
        <v/>
      </c>
      <c r="X3763" s="12">
        <f>IF(LEFT(I3763,2)="MV",2*N3763*IF(L3763="1/C",O3763,1),0)</f>
        <v/>
      </c>
      <c r="Y3763" s="12">
        <f>IF(OR(LEFT(K3763,4)="LVAX",LEFT(K3763,6)="MV15AX",LEFT(K3763,4)="CTAX",LEFT(K3763,2)="W|"),2*N3763*O3763,0)</f>
        <v/>
      </c>
      <c r="Z3763" s="12" t="inlineStr"/>
      <c r="AA3763" s="12">
        <f>N3763*O3763</f>
        <v/>
      </c>
    </row>
    <row r="3764">
      <c r="A3764" s="12" t="inlineStr">
        <is>
          <t>H-C-0073</t>
        </is>
      </c>
      <c r="B3764" s="12" t="inlineStr">
        <is>
          <t>H</t>
        </is>
      </c>
      <c r="C3764" s="12" t="inlineStr">
        <is>
          <t>BESS</t>
        </is>
      </c>
      <c r="D3764" s="12" t="inlineStr">
        <is>
          <t>Motor 6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5" t="n">
        <v>187</v>
      </c>
      <c r="U3764" s="15" t="n">
        <v>32</v>
      </c>
      <c r="V3764" s="15">
        <f>ROUNDUP((T3764+U3764+2*'Read Me'!$B$13)*(1+'Read Me'!$B$12),-1)</f>
        <v/>
      </c>
      <c r="W3764" s="15">
        <f>V3764*N3764*O3764</f>
        <v/>
      </c>
      <c r="X3764" s="12">
        <f>IF(LEFT(I3764,2)="MV",2*N3764*IF(L3764="1/C",O3764,1),0)</f>
        <v/>
      </c>
      <c r="Y3764" s="12">
        <f>IF(OR(LEFT(K3764,4)="LVAX",LEFT(K3764,6)="MV15AX",LEFT(K3764,4)="CTAX",LEFT(K3764,2)="W|"),2*N3764*O3764,0)</f>
        <v/>
      </c>
      <c r="Z3764" s="12" t="inlineStr"/>
      <c r="AA3764" s="12">
        <f>N3764*O3764</f>
        <v/>
      </c>
    </row>
    <row r="3765">
      <c r="A3765" s="12" t="inlineStr">
        <is>
          <t>H-C-0074</t>
        </is>
      </c>
      <c r="B3765" s="12" t="inlineStr">
        <is>
          <t>H</t>
        </is>
      </c>
      <c r="C3765" s="12" t="inlineStr">
        <is>
          <t>BESS</t>
        </is>
      </c>
      <c r="D3765" s="12" t="inlineStr">
        <is>
          <t>Control</t>
        </is>
      </c>
      <c r="E3765" s="12" t="inlineStr"/>
      <c r="F3765" s="12" t="inlineStr">
        <is>
          <t>BESS EMS / SCADA and revenue metering</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5" t="n">
        <v>169</v>
      </c>
      <c r="U3765" s="15" t="n">
        <v>32</v>
      </c>
      <c r="V3765" s="15">
        <f>ROUNDUP((T3765+U3765+2*'Read Me'!$B$13)*(1+'Read Me'!$B$12),-1)</f>
        <v/>
      </c>
      <c r="W3765" s="15">
        <f>V3765*N3765*O3765</f>
        <v/>
      </c>
      <c r="X3765" s="12">
        <f>IF(LEFT(I3765,2)="MV",2*N3765*IF(L3765="1/C",O3765,1),0)</f>
        <v/>
      </c>
      <c r="Y3765" s="12">
        <f>IF(OR(LEFT(K3765,4)="LVAX",LEFT(K3765,6)="MV15AX",LEFT(K3765,4)="CTAX",LEFT(K3765,2)="W|"),2*N3765*O3765,0)</f>
        <v/>
      </c>
      <c r="Z3765" s="12" t="inlineStr"/>
      <c r="AA3765" s="12">
        <f>N3765*O3765</f>
        <v/>
      </c>
    </row>
    <row r="3766">
      <c r="A3766" s="12" t="inlineStr">
        <is>
          <t>H-C-0075</t>
        </is>
      </c>
      <c r="B3766" s="12" t="inlineStr">
        <is>
          <t>H</t>
        </is>
      </c>
      <c r="C3766" s="12" t="inlineStr">
        <is>
          <t>BESS</t>
        </is>
      </c>
      <c r="D3766" s="12" t="inlineStr">
        <is>
          <t>Control</t>
        </is>
      </c>
      <c r="E3766" s="12" t="inlineStr"/>
      <c r="F3766" s="12" t="inlineStr">
        <is>
          <t>BESS EMS / SCADA and revenue metering</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CT|12/C|14</t>
        </is>
      </c>
      <c r="L3766" s="12" t="inlineStr">
        <is>
          <t>12/C</t>
        </is>
      </c>
      <c r="M3766" s="12" t="inlineStr">
        <is>
          <t>14</t>
        </is>
      </c>
      <c r="N3766" s="12" t="n">
        <v>1</v>
      </c>
      <c r="O3766" s="12" t="n">
        <v>1</v>
      </c>
      <c r="P3766" s="12" t="n"/>
      <c r="Q3766" s="12" t="n"/>
      <c r="R3766" s="12" t="n"/>
      <c r="S3766" s="12" t="inlineStr">
        <is>
          <t>Duct bank</t>
        </is>
      </c>
      <c r="T3766" s="15" t="n">
        <v>169</v>
      </c>
      <c r="U3766" s="15" t="n">
        <v>32</v>
      </c>
      <c r="V3766" s="15">
        <f>ROUNDUP((T3766+U3766+2*'Read Me'!$B$13)*(1+'Read Me'!$B$12),-1)</f>
        <v/>
      </c>
      <c r="W3766" s="15">
        <f>V3766*N3766*O3766</f>
        <v/>
      </c>
      <c r="X3766" s="12">
        <f>IF(LEFT(I3766,2)="MV",2*N3766*IF(L3766="1/C",O3766,1),0)</f>
        <v/>
      </c>
      <c r="Y3766" s="12">
        <f>IF(OR(LEFT(K3766,4)="LVAX",LEFT(K3766,6)="MV15AX",LEFT(K3766,4)="CTAX",LEFT(K3766,2)="W|"),2*N3766*O3766,0)</f>
        <v/>
      </c>
      <c r="Z3766" s="12" t="inlineStr"/>
      <c r="AA3766" s="12">
        <f>N3766*O3766</f>
        <v/>
      </c>
    </row>
    <row r="3767">
      <c r="A3767" s="12" t="inlineStr">
        <is>
          <t>H-C-0076</t>
        </is>
      </c>
      <c r="B3767" s="12" t="inlineStr">
        <is>
          <t>H</t>
        </is>
      </c>
      <c r="C3767" s="12" t="inlineStr">
        <is>
          <t>BESS</t>
        </is>
      </c>
      <c r="D3767" s="12" t="inlineStr">
        <is>
          <t>CT / VT</t>
        </is>
      </c>
      <c r="E3767" s="12" t="inlineStr"/>
      <c r="F3767" s="12" t="inlineStr">
        <is>
          <t>BESS EMS / SCADA and revenue metering</t>
        </is>
      </c>
      <c r="G3767" s="12" t="inlineStr">
        <is>
          <t>BESS MPT</t>
        </is>
      </c>
      <c r="H3767" s="12" t="inlineStr">
        <is>
          <t>BESS main power transformer 34.5/230 kV (to D4 upper)</t>
        </is>
      </c>
      <c r="I3767" s="12" t="inlineStr">
        <is>
          <t>Control</t>
        </is>
      </c>
      <c r="J3767" s="12" t="inlineStr">
        <is>
          <t>Control cable 600 V Type TC-ER, Cu #10 AWG (CT / VT circuits)</t>
        </is>
      </c>
      <c r="K3767" s="12" t="inlineStr">
        <is>
          <t>CTCT|4/C|10</t>
        </is>
      </c>
      <c r="L3767" s="12" t="inlineStr">
        <is>
          <t>4/C</t>
        </is>
      </c>
      <c r="M3767" s="12" t="inlineStr">
        <is>
          <t>10</t>
        </is>
      </c>
      <c r="N3767" s="12" t="n">
        <v>1</v>
      </c>
      <c r="O3767" s="12" t="n">
        <v>1</v>
      </c>
      <c r="P3767" s="12" t="n"/>
      <c r="Q3767" s="12" t="n"/>
      <c r="R3767" s="12" t="n"/>
      <c r="S3767" s="12" t="inlineStr">
        <is>
          <t>Duct bank</t>
        </is>
      </c>
      <c r="T3767" s="15" t="n">
        <v>169</v>
      </c>
      <c r="U3767" s="15" t="n">
        <v>32</v>
      </c>
      <c r="V3767" s="15">
        <f>ROUNDUP((T3767+U3767+2*'Read Me'!$B$13)*(1+'Read Me'!$B$12),-1)</f>
        <v/>
      </c>
      <c r="W3767" s="15">
        <f>V3767*N3767*O3767</f>
        <v/>
      </c>
      <c r="X3767" s="12">
        <f>IF(LEFT(I3767,2)="MV",2*N3767*IF(L3767="1/C",O3767,1),0)</f>
        <v/>
      </c>
      <c r="Y3767" s="12">
        <f>IF(OR(LEFT(K3767,4)="LVAX",LEFT(K3767,6)="MV15AX",LEFT(K3767,4)="CTAX",LEFT(K3767,2)="W|"),2*N3767*O3767,0)</f>
        <v/>
      </c>
      <c r="Z3767" s="12" t="inlineStr"/>
      <c r="AA3767" s="12">
        <f>N3767*O3767</f>
        <v/>
      </c>
    </row>
    <row r="3768">
      <c r="A3768" s="12" t="inlineStr">
        <is>
          <t>H-C-0077</t>
        </is>
      </c>
      <c r="B3768" s="12" t="inlineStr">
        <is>
          <t>H</t>
        </is>
      </c>
      <c r="C3768" s="12" t="inlineStr">
        <is>
          <t>BESS</t>
        </is>
      </c>
      <c r="D3768" s="12" t="inlineStr">
        <is>
          <t>CT / VT</t>
        </is>
      </c>
      <c r="E3768" s="12" t="inlineStr"/>
      <c r="F3768" s="12" t="inlineStr">
        <is>
          <t>BESS EMS / SCADA and revenue metering</t>
        </is>
      </c>
      <c r="G3768" s="12" t="inlineStr">
        <is>
          <t>BESS MPT</t>
        </is>
      </c>
      <c r="H3768" s="12" t="inlineStr">
        <is>
          <t>BESS main power transformer 34.5/230 kV (to D4 upper)</t>
        </is>
      </c>
      <c r="I3768" s="12" t="inlineStr">
        <is>
          <t>Control</t>
        </is>
      </c>
      <c r="J3768" s="12" t="inlineStr">
        <is>
          <t>Control cable 600 V Type TC-ER, Cu #10 AWG (CT / VT circuits)</t>
        </is>
      </c>
      <c r="K3768" s="12" t="inlineStr">
        <is>
          <t>CTCT|4/C|10</t>
        </is>
      </c>
      <c r="L3768" s="12" t="inlineStr">
        <is>
          <t>4/C</t>
        </is>
      </c>
      <c r="M3768" s="12" t="inlineStr">
        <is>
          <t>10</t>
        </is>
      </c>
      <c r="N3768" s="12" t="n">
        <v>1</v>
      </c>
      <c r="O3768" s="12" t="n">
        <v>1</v>
      </c>
      <c r="P3768" s="12" t="n"/>
      <c r="Q3768" s="12" t="n"/>
      <c r="R3768" s="12" t="n"/>
      <c r="S3768" s="12" t="inlineStr">
        <is>
          <t>Duct bank</t>
        </is>
      </c>
      <c r="T3768" s="15" t="n">
        <v>169</v>
      </c>
      <c r="U3768" s="15" t="n">
        <v>32</v>
      </c>
      <c r="V3768" s="15">
        <f>ROUNDUP((T3768+U3768+2*'Read Me'!$B$13)*(1+'Read Me'!$B$12),-1)</f>
        <v/>
      </c>
      <c r="W3768" s="15">
        <f>V3768*N3768*O3768</f>
        <v/>
      </c>
      <c r="X3768" s="12">
        <f>IF(LEFT(I3768,2)="MV",2*N3768*IF(L3768="1/C",O3768,1),0)</f>
        <v/>
      </c>
      <c r="Y3768" s="12">
        <f>IF(OR(LEFT(K3768,4)="LVAX",LEFT(K3768,6)="MV15AX",LEFT(K3768,4)="CTAX",LEFT(K3768,2)="W|"),2*N3768*O3768,0)</f>
        <v/>
      </c>
      <c r="Z3768" s="12" t="inlineStr"/>
      <c r="AA3768" s="12">
        <f>N3768*O3768</f>
        <v/>
      </c>
    </row>
    <row r="3769">
      <c r="A3769" s="12" t="inlineStr">
        <is>
          <t>H-C-0078</t>
        </is>
      </c>
      <c r="B3769" s="12" t="inlineStr">
        <is>
          <t>H</t>
        </is>
      </c>
      <c r="C3769" s="12" t="inlineStr">
        <is>
          <t>BESS</t>
        </is>
      </c>
      <c r="D3769" s="12" t="inlineStr">
        <is>
          <t>Control</t>
        </is>
      </c>
      <c r="E3769" s="12" t="inlineStr"/>
      <c r="F3769" s="12" t="inlineStr">
        <is>
          <t>BESS EMS / SCADA and revenue metering</t>
        </is>
      </c>
      <c r="G3769" s="12" t="inlineStr"/>
      <c r="H3769" s="12" t="inlineStr">
        <is>
          <t>CONDITIONAL: grounding transformer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5" t="n">
        <v>280</v>
      </c>
      <c r="U3769" s="15" t="n">
        <v>87</v>
      </c>
      <c r="V3769" s="15">
        <f>ROUNDUP((T3769+U3769+2*'Read Me'!$B$13)*(1+'Read Me'!$B$12),-1)</f>
        <v/>
      </c>
      <c r="W3769" s="15">
        <f>V3769*N3769*O3769</f>
        <v/>
      </c>
      <c r="X3769" s="12">
        <f>IF(LEFT(I3769,2)="MV",2*N3769*IF(L3769="1/C",O3769,1),0)</f>
        <v/>
      </c>
      <c r="Y3769" s="12">
        <f>IF(OR(LEFT(K3769,4)="LVAX",LEFT(K3769,6)="MV15AX",LEFT(K3769,4)="CTAX",LEFT(K3769,2)="W|"),2*N3769*O3769,0)</f>
        <v/>
      </c>
      <c r="Z3769" s="12" t="inlineStr"/>
      <c r="AA3769" s="12">
        <f>N3769*O3769</f>
        <v/>
      </c>
    </row>
    <row r="3770">
      <c r="A3770" s="12" t="inlineStr">
        <is>
          <t>H-C-0079</t>
        </is>
      </c>
      <c r="B3770" s="12" t="inlineStr">
        <is>
          <t>H</t>
        </is>
      </c>
      <c r="C3770" s="12" t="inlineStr">
        <is>
          <t>BESS</t>
        </is>
      </c>
      <c r="D3770" s="12" t="inlineStr">
        <is>
          <t>Control</t>
        </is>
      </c>
      <c r="E3770" s="12" t="inlineStr"/>
      <c r="F3770" s="12" t="inlineStr">
        <is>
          <t>BESS EMS / SCADA and revenue metering</t>
        </is>
      </c>
      <c r="G3770" s="12" t="inlineStr"/>
      <c r="H3770" s="12" t="inlineStr">
        <is>
          <t>CONDITIONAL: grounding transformer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5" t="n">
        <v>280</v>
      </c>
      <c r="U3770" s="15" t="n">
        <v>87</v>
      </c>
      <c r="V3770" s="15">
        <f>ROUNDUP((T3770+U3770+2*'Read Me'!$B$13)*(1+'Read Me'!$B$12),-1)</f>
        <v/>
      </c>
      <c r="W3770" s="15">
        <f>V3770*N3770*O3770</f>
        <v/>
      </c>
      <c r="X3770" s="12">
        <f>IF(LEFT(I3770,2)="MV",2*N3770*IF(L3770="1/C",O3770,1),0)</f>
        <v/>
      </c>
      <c r="Y3770" s="12">
        <f>IF(OR(LEFT(K3770,4)="LVAX",LEFT(K3770,6)="MV15AX",LEFT(K3770,4)="CTAX",LEFT(K3770,2)="W|"),2*N3770*O3770,0)</f>
        <v/>
      </c>
      <c r="Z3770" s="12" t="inlineStr"/>
      <c r="AA3770" s="12">
        <f>N3770*O3770</f>
        <v/>
      </c>
    </row>
    <row r="3771">
      <c r="A3771" s="12" t="inlineStr">
        <is>
          <t>H-C-0080</t>
        </is>
      </c>
      <c r="B3771" s="12" t="inlineStr">
        <is>
          <t>H</t>
        </is>
      </c>
      <c r="C3771" s="12" t="inlineStr">
        <is>
          <t>BESS</t>
        </is>
      </c>
      <c r="D3771" s="12" t="inlineStr">
        <is>
          <t>CT / VT</t>
        </is>
      </c>
      <c r="E3771" s="12" t="inlineStr"/>
      <c r="F3771" s="12" t="inlineStr">
        <is>
          <t>BESS EMS / SCADA and revenue metering</t>
        </is>
      </c>
      <c r="G3771" s="12" t="inlineStr"/>
      <c r="H3771" s="12" t="inlineStr">
        <is>
          <t>CONDITIONAL: grounding transformer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5" t="n">
        <v>280</v>
      </c>
      <c r="U3771" s="15" t="n">
        <v>87</v>
      </c>
      <c r="V3771" s="15">
        <f>ROUNDUP((T3771+U3771+2*'Read Me'!$B$13)*(1+'Read Me'!$B$12),-1)</f>
        <v/>
      </c>
      <c r="W3771" s="15">
        <f>V3771*N3771*O3771</f>
        <v/>
      </c>
      <c r="X3771" s="12">
        <f>IF(LEFT(I3771,2)="MV",2*N3771*IF(L3771="1/C",O3771,1),0)</f>
        <v/>
      </c>
      <c r="Y3771" s="12">
        <f>IF(OR(LEFT(K3771,4)="LVAX",LEFT(K3771,6)="MV15AX",LEFT(K3771,4)="CTAX",LEFT(K3771,2)="W|"),2*N3771*O3771,0)</f>
        <v/>
      </c>
      <c r="Z3771" s="12" t="inlineStr"/>
      <c r="AA3771" s="12">
        <f>N3771*O3771</f>
        <v/>
      </c>
    </row>
    <row r="3772">
      <c r="A3772" s="12" t="inlineStr">
        <is>
          <t>H-C-0081</t>
        </is>
      </c>
      <c r="B3772" s="12" t="inlineStr">
        <is>
          <t>H</t>
        </is>
      </c>
      <c r="C3772" s="12" t="inlineStr">
        <is>
          <t>BESS</t>
        </is>
      </c>
      <c r="D3772" s="12" t="inlineStr">
        <is>
          <t>CT / VT</t>
        </is>
      </c>
      <c r="E3772" s="12" t="inlineStr"/>
      <c r="F3772" s="12" t="inlineStr">
        <is>
          <t>BESS EMS / SCADA and revenue metering</t>
        </is>
      </c>
      <c r="G3772" s="12" t="inlineStr"/>
      <c r="H3772" s="12" t="inlineStr">
        <is>
          <t>CONDITIONAL: grounding transformer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5" t="n">
        <v>280</v>
      </c>
      <c r="U3772" s="15" t="n">
        <v>87</v>
      </c>
      <c r="V3772" s="15">
        <f>ROUNDUP((T3772+U3772+2*'Read Me'!$B$13)*(1+'Read Me'!$B$12),-1)</f>
        <v/>
      </c>
      <c r="W3772" s="15">
        <f>V3772*N3772*O3772</f>
        <v/>
      </c>
      <c r="X3772" s="12">
        <f>IF(LEFT(I3772,2)="MV",2*N3772*IF(L3772="1/C",O3772,1),0)</f>
        <v/>
      </c>
      <c r="Y3772" s="12">
        <f>IF(OR(LEFT(K3772,4)="LVAX",LEFT(K3772,6)="MV15AX",LEFT(K3772,4)="CTAX",LEFT(K3772,2)="W|"),2*N3772*O3772,0)</f>
        <v/>
      </c>
      <c r="Z3772" s="12" t="inlineStr"/>
      <c r="AA3772" s="12">
        <f>N3772*O3772</f>
        <v/>
      </c>
    </row>
    <row r="3773">
      <c r="A3773" s="12" t="inlineStr">
        <is>
          <t>H-DC-0001</t>
        </is>
      </c>
      <c r="B3773" s="12" t="inlineStr">
        <is>
          <t>H</t>
        </is>
      </c>
      <c r="C3773" s="12" t="inlineStr">
        <is>
          <t>BESS</t>
        </is>
      </c>
      <c r="D3773" s="12" t="inlineStr">
        <is>
          <t>DC 1,500 V: container to PCS (2 x 1/C per pole pair)</t>
        </is>
      </c>
      <c r="E3773" s="12" t="inlineStr"/>
      <c r="F3773" s="12" t="inlineStr">
        <is>
          <t>BESS container (ISO 40 ft high cube)</t>
        </is>
      </c>
      <c r="G3773" s="12" t="inlineStr"/>
      <c r="H3773" s="12" t="inlineStr">
        <is>
          <t>BESS PCS / MV skid</t>
        </is>
      </c>
      <c r="I3773" s="12" t="inlineStr">
        <is>
          <t>DC 2 kV</t>
        </is>
      </c>
      <c r="J3773" s="12" t="inlineStr">
        <is>
          <t>PV / RHW-2 2 kV 1/C Cu, XLPE (DC)</t>
        </is>
      </c>
      <c r="K3773" s="12" t="inlineStr">
        <is>
          <t>PV|1/C|500</t>
        </is>
      </c>
      <c r="L3773" s="12" t="inlineStr">
        <is>
          <t>1/C</t>
        </is>
      </c>
      <c r="M3773" s="12" t="inlineStr">
        <is>
          <t>500 kcmil</t>
        </is>
      </c>
      <c r="N3773" s="12" t="n">
        <v>4</v>
      </c>
      <c r="O3773" s="12" t="n">
        <v>2</v>
      </c>
      <c r="P3773" s="12" t="n">
        <v>1500</v>
      </c>
      <c r="Q3773" s="12" t="n">
        <v>4000</v>
      </c>
      <c r="R3773" s="12" t="n"/>
      <c r="S3773" s="12" t="inlineStr">
        <is>
          <t>Duct bank</t>
        </is>
      </c>
      <c r="T3773" s="15" t="n">
        <v>10</v>
      </c>
      <c r="U3773" s="15" t="n">
        <v>150</v>
      </c>
      <c r="V3773" s="15">
        <f>ROUNDUP((T3773+U3773+2*'Read Me'!$B$13)*(1+'Read Me'!$B$12),-1)</f>
        <v/>
      </c>
      <c r="W3773" s="15">
        <f>V3773*N3773*O3773</f>
        <v/>
      </c>
      <c r="X3773" s="12">
        <f>IF(LEFT(I3773,2)="MV",2*N3773*IF(L3773="1/C",O3773,1),0)</f>
        <v/>
      </c>
      <c r="Y3773" s="12">
        <f>IF(OR(LEFT(K3773,4)="LVAX",LEFT(K3773,6)="MV15AX",LEFT(K3773,4)="CTAX",LEFT(K3773,2)="W|"),2*N3773*O3773,0)</f>
        <v/>
      </c>
      <c r="Z3773" s="12" t="inlineStr">
        <is>
          <t>4 sets of +/- per container (typ.)</t>
        </is>
      </c>
      <c r="AA3773" s="12">
        <f>N3773*O3773</f>
        <v/>
      </c>
    </row>
    <row r="3774">
      <c r="A3774" s="12" t="inlineStr">
        <is>
          <t>H-DC-0002</t>
        </is>
      </c>
      <c r="B3774" s="12" t="inlineStr">
        <is>
          <t>H</t>
        </is>
      </c>
      <c r="C3774" s="12" t="inlineStr">
        <is>
          <t>BESS</t>
        </is>
      </c>
      <c r="D3774" s="12" t="inlineStr">
        <is>
          <t>DC 1,500 V: container to PCS (2 x 1/C per pole pair)</t>
        </is>
      </c>
      <c r="E3774" s="12" t="inlineStr"/>
      <c r="F3774" s="12" t="inlineStr">
        <is>
          <t>BESS container (ISO 40 ft high cube)</t>
        </is>
      </c>
      <c r="G3774" s="12" t="inlineStr"/>
      <c r="H3774" s="12" t="inlineStr">
        <is>
          <t>BESS PCS / MV skid</t>
        </is>
      </c>
      <c r="I3774" s="12" t="inlineStr">
        <is>
          <t>DC 2 kV</t>
        </is>
      </c>
      <c r="J3774" s="12" t="inlineStr">
        <is>
          <t>PV / RHW-2 2 kV 1/C Cu, XLPE (DC)</t>
        </is>
      </c>
      <c r="K3774" s="12" t="inlineStr">
        <is>
          <t>PV|1/C|500</t>
        </is>
      </c>
      <c r="L3774" s="12" t="inlineStr">
        <is>
          <t>1/C</t>
        </is>
      </c>
      <c r="M3774" s="12" t="inlineStr">
        <is>
          <t>500 kcmil</t>
        </is>
      </c>
      <c r="N3774" s="12" t="n">
        <v>4</v>
      </c>
      <c r="O3774" s="12" t="n">
        <v>2</v>
      </c>
      <c r="P3774" s="12" t="n">
        <v>1500</v>
      </c>
      <c r="Q3774" s="12" t="n">
        <v>4000</v>
      </c>
      <c r="R3774" s="12" t="n"/>
      <c r="S3774" s="12" t="inlineStr">
        <is>
          <t>Tray</t>
        </is>
      </c>
      <c r="T3774" s="15" t="n">
        <v>0</v>
      </c>
      <c r="U3774" s="15" t="n">
        <v>160</v>
      </c>
      <c r="V3774" s="15">
        <f>ROUNDUP((T3774+U3774+2*'Read Me'!$B$13)*(1+'Read Me'!$B$12),-1)</f>
        <v/>
      </c>
      <c r="W3774" s="15">
        <f>V3774*N3774*O3774</f>
        <v/>
      </c>
      <c r="X3774" s="12">
        <f>IF(LEFT(I3774,2)="MV",2*N3774*IF(L3774="1/C",O3774,1),0)</f>
        <v/>
      </c>
      <c r="Y3774" s="12">
        <f>IF(OR(LEFT(K3774,4)="LVAX",LEFT(K3774,6)="MV15AX",LEFT(K3774,4)="CTAX",LEFT(K3774,2)="W|"),2*N3774*O3774,0)</f>
        <v/>
      </c>
      <c r="Z3774" s="12" t="inlineStr">
        <is>
          <t>4 sets of +/- per container (typ.)</t>
        </is>
      </c>
      <c r="AA3774" s="12">
        <f>N3774*O3774</f>
        <v/>
      </c>
    </row>
    <row r="3775">
      <c r="A3775" s="12" t="inlineStr">
        <is>
          <t>H-DC-0003</t>
        </is>
      </c>
      <c r="B3775" s="12" t="inlineStr">
        <is>
          <t>H</t>
        </is>
      </c>
      <c r="C3775" s="12" t="inlineStr">
        <is>
          <t>BESS</t>
        </is>
      </c>
      <c r="D3775" s="12" t="inlineStr">
        <is>
          <t>DC 1,500 V: container to PCS (2 x 1/C per pole pair)</t>
        </is>
      </c>
      <c r="E3775" s="12" t="inlineStr"/>
      <c r="F3775" s="12" t="inlineStr">
        <is>
          <t>BESS container (ISO 40 ft high cube)</t>
        </is>
      </c>
      <c r="G3775" s="12" t="inlineStr"/>
      <c r="H3775" s="12" t="inlineStr">
        <is>
          <t>BESS PCS / MV skid</t>
        </is>
      </c>
      <c r="I3775" s="12" t="inlineStr">
        <is>
          <t>DC 2 kV</t>
        </is>
      </c>
      <c r="J3775" s="12" t="inlineStr">
        <is>
          <t>PV / RHW-2 2 kV 1/C Cu, XLPE (DC)</t>
        </is>
      </c>
      <c r="K3775" s="12" t="inlineStr">
        <is>
          <t>PV|1/C|500</t>
        </is>
      </c>
      <c r="L3775" s="12" t="inlineStr">
        <is>
          <t>1/C</t>
        </is>
      </c>
      <c r="M3775" s="12" t="inlineStr">
        <is>
          <t>500 kcmil</t>
        </is>
      </c>
      <c r="N3775" s="12" t="n">
        <v>4</v>
      </c>
      <c r="O3775" s="12" t="n">
        <v>2</v>
      </c>
      <c r="P3775" s="12" t="n">
        <v>1500</v>
      </c>
      <c r="Q3775" s="12" t="n">
        <v>4000</v>
      </c>
      <c r="R3775" s="12" t="n"/>
      <c r="S3775" s="12" t="inlineStr">
        <is>
          <t>Tray</t>
        </is>
      </c>
      <c r="T3775" s="15" t="n">
        <v>0</v>
      </c>
      <c r="U3775" s="15" t="n">
        <v>200</v>
      </c>
      <c r="V3775" s="15">
        <f>ROUNDUP((T3775+U3775+2*'Read Me'!$B$13)*(1+'Read Me'!$B$12),-1)</f>
        <v/>
      </c>
      <c r="W3775" s="15">
        <f>V3775*N3775*O3775</f>
        <v/>
      </c>
      <c r="X3775" s="12">
        <f>IF(LEFT(I3775,2)="MV",2*N3775*IF(L3775="1/C",O3775,1),0)</f>
        <v/>
      </c>
      <c r="Y3775" s="12">
        <f>IF(OR(LEFT(K3775,4)="LVAX",LEFT(K3775,6)="MV15AX",LEFT(K3775,4)="CTAX",LEFT(K3775,2)="W|"),2*N3775*O3775,0)</f>
        <v/>
      </c>
      <c r="Z3775" s="12" t="inlineStr">
        <is>
          <t>4 sets of +/- per container (typ.)</t>
        </is>
      </c>
      <c r="AA3775" s="12">
        <f>N3775*O3775</f>
        <v/>
      </c>
    </row>
    <row r="3776">
      <c r="A3776" s="12" t="inlineStr">
        <is>
          <t>H-DC-0004</t>
        </is>
      </c>
      <c r="B3776" s="12" t="inlineStr">
        <is>
          <t>H</t>
        </is>
      </c>
      <c r="C3776" s="12" t="inlineStr">
        <is>
          <t>BESS</t>
        </is>
      </c>
      <c r="D3776" s="12" t="inlineStr">
        <is>
          <t>DC 1,500 V: container to PCS (2 x 1/C per pole pair)</t>
        </is>
      </c>
      <c r="E3776" s="12" t="inlineStr"/>
      <c r="F3776" s="12" t="inlineStr">
        <is>
          <t>BESS container (ISO 40 ft high cube)</t>
        </is>
      </c>
      <c r="G3776" s="12" t="inlineStr"/>
      <c r="H3776" s="12" t="inlineStr">
        <is>
          <t>BESS PCS / MV skid</t>
        </is>
      </c>
      <c r="I3776" s="12" t="inlineStr">
        <is>
          <t>DC 2 kV</t>
        </is>
      </c>
      <c r="J3776" s="12" t="inlineStr">
        <is>
          <t>PV / RHW-2 2 kV 1/C Cu, XLPE (DC)</t>
        </is>
      </c>
      <c r="K3776" s="12" t="inlineStr">
        <is>
          <t>PV|1/C|500</t>
        </is>
      </c>
      <c r="L3776" s="12" t="inlineStr">
        <is>
          <t>1/C</t>
        </is>
      </c>
      <c r="M3776" s="12" t="inlineStr">
        <is>
          <t>500 kcmil</t>
        </is>
      </c>
      <c r="N3776" s="12" t="n">
        <v>4</v>
      </c>
      <c r="O3776" s="12" t="n">
        <v>2</v>
      </c>
      <c r="P3776" s="12" t="n">
        <v>1500</v>
      </c>
      <c r="Q3776" s="12" t="n">
        <v>4000</v>
      </c>
      <c r="R3776" s="12" t="n"/>
      <c r="S3776" s="12" t="inlineStr">
        <is>
          <t>Tray</t>
        </is>
      </c>
      <c r="T3776" s="15" t="n">
        <v>0</v>
      </c>
      <c r="U3776" s="15" t="n">
        <v>200</v>
      </c>
      <c r="V3776" s="15">
        <f>ROUNDUP((T3776+U3776+2*'Read Me'!$B$13)*(1+'Read Me'!$B$12),-1)</f>
        <v/>
      </c>
      <c r="W3776" s="15">
        <f>V3776*N3776*O3776</f>
        <v/>
      </c>
      <c r="X3776" s="12">
        <f>IF(LEFT(I3776,2)="MV",2*N3776*IF(L3776="1/C",O3776,1),0)</f>
        <v/>
      </c>
      <c r="Y3776" s="12">
        <f>IF(OR(LEFT(K3776,4)="LVAX",LEFT(K3776,6)="MV15AX",LEFT(K3776,4)="CTAX",LEFT(K3776,2)="W|"),2*N3776*O3776,0)</f>
        <v/>
      </c>
      <c r="Z3776" s="12" t="inlineStr">
        <is>
          <t>4 sets of +/- per container (typ.)</t>
        </is>
      </c>
      <c r="AA3776" s="12">
        <f>N3776*O3776</f>
        <v/>
      </c>
    </row>
    <row r="3777">
      <c r="A3777" s="12" t="inlineStr">
        <is>
          <t>H-DC-0005</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Tray</t>
        </is>
      </c>
      <c r="T3777" s="15" t="n">
        <v>0</v>
      </c>
      <c r="U3777" s="15" t="n">
        <v>168</v>
      </c>
      <c r="V3777" s="15">
        <f>ROUNDUP((T3777+U3777+2*'Read Me'!$B$13)*(1+'Read Me'!$B$12),-1)</f>
        <v/>
      </c>
      <c r="W3777" s="15">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H-DC-0006</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Duct bank</t>
        </is>
      </c>
      <c r="T3778" s="15" t="n">
        <v>10</v>
      </c>
      <c r="U3778" s="15" t="n">
        <v>158</v>
      </c>
      <c r="V3778" s="15">
        <f>ROUNDUP((T3778+U3778+2*'Read Me'!$B$13)*(1+'Read Me'!$B$12),-1)</f>
        <v/>
      </c>
      <c r="W3778" s="15">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H-DC-0007</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5" t="n">
        <v>10</v>
      </c>
      <c r="U3779" s="15" t="n">
        <v>266</v>
      </c>
      <c r="V3779" s="15">
        <f>ROUNDUP((T3779+U3779+2*'Read Me'!$B$13)*(1+'Read Me'!$B$12),-1)</f>
        <v/>
      </c>
      <c r="W3779" s="15">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H-DC-0008</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5" t="n">
        <v>0</v>
      </c>
      <c r="U3780" s="15" t="n">
        <v>276</v>
      </c>
      <c r="V3780" s="15">
        <f>ROUNDUP((T3780+U3780+2*'Read Me'!$B$13)*(1+'Read Me'!$B$12),-1)</f>
        <v/>
      </c>
      <c r="W3780" s="15">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H-DC-0009</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5" t="n">
        <v>0</v>
      </c>
      <c r="U3781" s="15" t="n">
        <v>316</v>
      </c>
      <c r="V3781" s="15">
        <f>ROUNDUP((T3781+U3781+2*'Read Me'!$B$13)*(1+'Read Me'!$B$12),-1)</f>
        <v/>
      </c>
      <c r="W3781" s="15">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H-DC-0010</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5" t="n">
        <v>0</v>
      </c>
      <c r="U3782" s="15" t="n">
        <v>316</v>
      </c>
      <c r="V3782" s="15">
        <f>ROUNDUP((T3782+U3782+2*'Read Me'!$B$13)*(1+'Read Me'!$B$12),-1)</f>
        <v/>
      </c>
      <c r="W3782" s="15">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H-DC-0011</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5" t="n">
        <v>0</v>
      </c>
      <c r="U3783" s="15" t="n">
        <v>284</v>
      </c>
      <c r="V3783" s="15">
        <f>ROUNDUP((T3783+U3783+2*'Read Me'!$B$13)*(1+'Read Me'!$B$12),-1)</f>
        <v/>
      </c>
      <c r="W3783" s="15">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H-DC-0012</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5" t="n">
        <v>10</v>
      </c>
      <c r="U3784" s="15" t="n">
        <v>274</v>
      </c>
      <c r="V3784" s="15">
        <f>ROUNDUP((T3784+U3784+2*'Read Me'!$B$13)*(1+'Read Me'!$B$12),-1)</f>
        <v/>
      </c>
      <c r="W3784" s="15">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H-DC-0013</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5" t="n">
        <v>0</v>
      </c>
      <c r="U3785" s="15" t="n">
        <v>290</v>
      </c>
      <c r="V3785" s="15">
        <f>ROUNDUP((T3785+U3785+2*'Read Me'!$B$13)*(1+'Read Me'!$B$12),-1)</f>
        <v/>
      </c>
      <c r="W3785" s="15">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H-DC-0014</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5" t="n">
        <v>0</v>
      </c>
      <c r="U3786" s="15" t="n">
        <v>290</v>
      </c>
      <c r="V3786" s="15">
        <f>ROUNDUP((T3786+U3786+2*'Read Me'!$B$13)*(1+'Read Me'!$B$12),-1)</f>
        <v/>
      </c>
      <c r="W3786" s="15">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H-DC-0015</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5" t="n">
        <v>0</v>
      </c>
      <c r="U3787" s="15" t="n">
        <v>290</v>
      </c>
      <c r="V3787" s="15">
        <f>ROUNDUP((T3787+U3787+2*'Read Me'!$B$13)*(1+'Read Me'!$B$12),-1)</f>
        <v/>
      </c>
      <c r="W3787" s="15">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H-DC-0016</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5" t="n">
        <v>0</v>
      </c>
      <c r="U3788" s="15" t="n">
        <v>290</v>
      </c>
      <c r="V3788" s="15">
        <f>ROUNDUP((T3788+U3788+2*'Read Me'!$B$13)*(1+'Read Me'!$B$12),-1)</f>
        <v/>
      </c>
      <c r="W3788" s="15">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H-DC-0017</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5" t="n">
        <v>0</v>
      </c>
      <c r="U3789" s="15" t="n">
        <v>290</v>
      </c>
      <c r="V3789" s="15">
        <f>ROUNDUP((T3789+U3789+2*'Read Me'!$B$13)*(1+'Read Me'!$B$12),-1)</f>
        <v/>
      </c>
      <c r="W3789" s="15">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H-DC-0018</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5" t="n">
        <v>27</v>
      </c>
      <c r="U3790" s="15" t="n">
        <v>263</v>
      </c>
      <c r="V3790" s="15">
        <f>ROUNDUP((T3790+U3790+2*'Read Me'!$B$13)*(1+'Read Me'!$B$12),-1)</f>
        <v/>
      </c>
      <c r="W3790" s="15">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H-DC-0019</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5" t="n">
        <v>0</v>
      </c>
      <c r="U3791" s="15" t="n">
        <v>174</v>
      </c>
      <c r="V3791" s="15">
        <f>ROUNDUP((T3791+U3791+2*'Read Me'!$B$13)*(1+'Read Me'!$B$12),-1)</f>
        <v/>
      </c>
      <c r="W3791" s="15">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H-DC-0020</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5" t="n">
        <v>0</v>
      </c>
      <c r="U3792" s="15" t="n">
        <v>174</v>
      </c>
      <c r="V3792" s="15">
        <f>ROUNDUP((T3792+U3792+2*'Read Me'!$B$13)*(1+'Read Me'!$B$12),-1)</f>
        <v/>
      </c>
      <c r="W3792" s="15">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H-DC-0021</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5" t="n">
        <v>0</v>
      </c>
      <c r="U3793" s="15" t="n">
        <v>174</v>
      </c>
      <c r="V3793" s="15">
        <f>ROUNDUP((T3793+U3793+2*'Read Me'!$B$13)*(1+'Read Me'!$B$12),-1)</f>
        <v/>
      </c>
      <c r="W3793" s="15">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H-DC-0022</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5" t="n">
        <v>0</v>
      </c>
      <c r="U3794" s="15" t="n">
        <v>174</v>
      </c>
      <c r="V3794" s="15">
        <f>ROUNDUP((T3794+U3794+2*'Read Me'!$B$13)*(1+'Read Me'!$B$12),-1)</f>
        <v/>
      </c>
      <c r="W3794" s="15">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H-DC-0023</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5" t="n">
        <v>0</v>
      </c>
      <c r="U3795" s="15" t="n">
        <v>174</v>
      </c>
      <c r="V3795" s="15">
        <f>ROUNDUP((T3795+U3795+2*'Read Me'!$B$13)*(1+'Read Me'!$B$12),-1)</f>
        <v/>
      </c>
      <c r="W3795" s="15">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H-DC-0024</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5" t="n">
        <v>0</v>
      </c>
      <c r="U3796" s="15" t="n">
        <v>174</v>
      </c>
      <c r="V3796" s="15">
        <f>ROUNDUP((T3796+U3796+2*'Read Me'!$B$13)*(1+'Read Me'!$B$12),-1)</f>
        <v/>
      </c>
      <c r="W3796" s="15">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H-DC-0025</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5" t="n">
        <v>0</v>
      </c>
      <c r="U3797" s="15" t="n">
        <v>62</v>
      </c>
      <c r="V3797" s="15">
        <f>ROUNDUP((T3797+U3797+2*'Read Me'!$B$13)*(1+'Read Me'!$B$12),-1)</f>
        <v/>
      </c>
      <c r="W3797" s="15">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H-DC-0026</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5" t="n">
        <v>0</v>
      </c>
      <c r="U3798" s="15" t="n">
        <v>62</v>
      </c>
      <c r="V3798" s="15">
        <f>ROUNDUP((T3798+U3798+2*'Read Me'!$B$13)*(1+'Read Me'!$B$12),-1)</f>
        <v/>
      </c>
      <c r="W3798" s="15">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H-DC-0027</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5" t="n">
        <v>0</v>
      </c>
      <c r="U3799" s="15" t="n">
        <v>62</v>
      </c>
      <c r="V3799" s="15">
        <f>ROUNDUP((T3799+U3799+2*'Read Me'!$B$13)*(1+'Read Me'!$B$12),-1)</f>
        <v/>
      </c>
      <c r="W3799" s="15">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H-DC-0028</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5" t="n">
        <v>0</v>
      </c>
      <c r="U3800" s="15" t="n">
        <v>62</v>
      </c>
      <c r="V3800" s="15">
        <f>ROUNDUP((T3800+U3800+2*'Read Me'!$B$13)*(1+'Read Me'!$B$12),-1)</f>
        <v/>
      </c>
      <c r="W3800" s="15">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H-DC-0029</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5" t="n">
        <v>0</v>
      </c>
      <c r="U3801" s="15" t="n">
        <v>62</v>
      </c>
      <c r="V3801" s="15">
        <f>ROUNDUP((T3801+U3801+2*'Read Me'!$B$13)*(1+'Read Me'!$B$12),-1)</f>
        <v/>
      </c>
      <c r="W3801" s="15">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H-DC-0030</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5" t="n">
        <v>0</v>
      </c>
      <c r="U3802" s="15" t="n">
        <v>62</v>
      </c>
      <c r="V3802" s="15">
        <f>ROUNDUP((T3802+U3802+2*'Read Me'!$B$13)*(1+'Read Me'!$B$12),-1)</f>
        <v/>
      </c>
      <c r="W3802" s="15">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H-F-0001</t>
        </is>
      </c>
      <c r="B3803" s="12" t="inlineStr">
        <is>
          <t>H</t>
        </is>
      </c>
      <c r="C3803" s="12" t="inlineStr">
        <is>
          <t>BESS</t>
        </is>
      </c>
      <c r="D3803" s="12" t="inlineStr">
        <is>
          <t>Plant network / DCS fibre</t>
        </is>
      </c>
      <c r="E3803" s="12" t="inlineStr">
        <is>
          <t>CR</t>
        </is>
      </c>
      <c r="F3803" s="12" t="inlineStr">
        <is>
          <t>Control / admin building (main control room)</t>
        </is>
      </c>
      <c r="G3803" s="12" t="inlineStr"/>
      <c r="H3803" s="12" t="inlineStr">
        <is>
          <t>34.5 kV collector e-house (arc-resistant)</t>
        </is>
      </c>
      <c r="I3803" s="12" t="inlineStr">
        <is>
          <t>Fibre / data</t>
        </is>
      </c>
      <c r="J3803" s="12" t="inlineStr">
        <is>
          <t>Fibre optic, single-mode, 12-fibre, armored, orange jacket</t>
        </is>
      </c>
      <c r="K3803" s="12" t="inlineStr">
        <is>
          <t>FO|12 SM|-</t>
        </is>
      </c>
      <c r="L3803" s="12" t="inlineStr">
        <is>
          <t>12 SM</t>
        </is>
      </c>
      <c r="M3803" s="12" t="inlineStr">
        <is>
          <t>-</t>
        </is>
      </c>
      <c r="N3803" s="12" t="n">
        <v>1</v>
      </c>
      <c r="O3803" s="12" t="n">
        <v>1</v>
      </c>
      <c r="P3803" s="12" t="n"/>
      <c r="Q3803" s="12" t="n"/>
      <c r="R3803" s="12" t="n"/>
      <c r="S3803" s="12" t="inlineStr">
        <is>
          <t>Estimated</t>
        </is>
      </c>
      <c r="T3803" s="15" t="n">
        <v>1626</v>
      </c>
      <c r="U3803" s="15" t="n">
        <v>40</v>
      </c>
      <c r="V3803" s="15">
        <f>ROUNDUP((T3803+U3803+2*'Read Me'!$B$13)*(1+'Read Me'!$B$12),-1)</f>
        <v/>
      </c>
      <c r="W3803" s="15">
        <f>V3803*N3803*O3803</f>
        <v/>
      </c>
      <c r="X3803" s="12">
        <f>IF(LEFT(I3803,2)="MV",2*N3803*IF(L3803="1/C",O3803,1),0)</f>
        <v/>
      </c>
      <c r="Y3803" s="12">
        <f>IF(OR(LEFT(K3803,4)="LVAX",LEFT(K3803,6)="MV15AX",LEFT(K3803,4)="CTAX",LEFT(K3803,2)="W|"),2*N3803*O3803,0)</f>
        <v/>
      </c>
      <c r="Z3803" s="12" t="inlineStr"/>
      <c r="AA3803" s="12">
        <f>N3803*O3803</f>
        <v/>
      </c>
    </row>
    <row r="3804">
      <c r="A3804" s="12" t="inlineStr">
        <is>
          <t>H-F-0002</t>
        </is>
      </c>
      <c r="B3804" s="12" t="inlineStr">
        <is>
          <t>H</t>
        </is>
      </c>
      <c r="C3804" s="12" t="inlineStr">
        <is>
          <t>BESS</t>
        </is>
      </c>
      <c r="D3804" s="12" t="inlineStr">
        <is>
          <t>Plant network / DCS fibre</t>
        </is>
      </c>
      <c r="E3804" s="12" t="inlineStr">
        <is>
          <t>CR</t>
        </is>
      </c>
      <c r="F3804" s="12" t="inlineStr">
        <is>
          <t>Control / admin building (main control room)</t>
        </is>
      </c>
      <c r="G3804" s="12" t="inlineStr"/>
      <c r="H3804" s="12" t="inlineStr">
        <is>
          <t>BESS EMS / SCADA and revenue metering</t>
        </is>
      </c>
      <c r="I3804" s="12" t="inlineStr">
        <is>
          <t>Fibre / data</t>
        </is>
      </c>
      <c r="J3804" s="12" t="inlineStr">
        <is>
          <t>Fibre optic, single-mode, 12-fibre, armored, orange jacket</t>
        </is>
      </c>
      <c r="K3804" s="12" t="inlineStr">
        <is>
          <t>FO|12 SM|-</t>
        </is>
      </c>
      <c r="L3804" s="12" t="inlineStr">
        <is>
          <t>12 SM</t>
        </is>
      </c>
      <c r="M3804" s="12" t="inlineStr">
        <is>
          <t>-</t>
        </is>
      </c>
      <c r="N3804" s="12" t="n">
        <v>1</v>
      </c>
      <c r="O3804" s="12" t="n">
        <v>1</v>
      </c>
      <c r="P3804" s="12" t="n"/>
      <c r="Q3804" s="12" t="n"/>
      <c r="R3804" s="12" t="n"/>
      <c r="S3804" s="12" t="inlineStr">
        <is>
          <t>Estimated</t>
        </is>
      </c>
      <c r="T3804" s="15" t="n">
        <v>1739</v>
      </c>
      <c r="U3804" s="15" t="n">
        <v>40</v>
      </c>
      <c r="V3804" s="15">
        <f>ROUNDUP((T3804+U3804+2*'Read Me'!$B$13)*(1+'Read Me'!$B$12),-1)</f>
        <v/>
      </c>
      <c r="W3804" s="15">
        <f>V3804*N3804*O3804</f>
        <v/>
      </c>
      <c r="X3804" s="12">
        <f>IF(LEFT(I3804,2)="MV",2*N3804*IF(L3804="1/C",O3804,1),0)</f>
        <v/>
      </c>
      <c r="Y3804" s="12">
        <f>IF(OR(LEFT(K3804,4)="LVAX",LEFT(K3804,6)="MV15AX",LEFT(K3804,4)="CTAX",LEFT(K3804,2)="W|"),2*N3804*O3804,0)</f>
        <v/>
      </c>
      <c r="Z3804" s="12" t="inlineStr"/>
      <c r="AA3804" s="12">
        <f>N3804*O3804</f>
        <v/>
      </c>
    </row>
    <row r="3805">
      <c r="A3805" s="12" t="inlineStr">
        <is>
          <t>H-FA-0001</t>
        </is>
      </c>
      <c r="B3805" s="12" t="inlineStr">
        <is>
          <t>H</t>
        </is>
      </c>
      <c r="C3805" s="12" t="inlineStr">
        <is>
          <t>BESS</t>
        </is>
      </c>
      <c r="D3805" s="12" t="inlineStr">
        <is>
          <t>Fire alarm / F&amp;G loop (to the local FACP / F&amp;G node)</t>
        </is>
      </c>
      <c r="E3805" s="12" t="inlineStr"/>
      <c r="F3805" s="12" t="inlineStr">
        <is>
          <t>BESS EMS / SCADA and revenue metering</t>
        </is>
      </c>
      <c r="G3805" s="12" t="inlineStr"/>
      <c r="H3805" s="12" t="inlineStr">
        <is>
          <t>34.5 kV collector e-house (arc-resistant)</t>
        </is>
      </c>
      <c r="I3805" s="12" t="inlineStr">
        <is>
          <t>Fire alarm</t>
        </is>
      </c>
      <c r="J3805" s="12" t="inlineStr">
        <is>
          <t>Fire alarm FPLR 2/C #14 shielded, red jacket (NEC 760)</t>
        </is>
      </c>
      <c r="K3805" s="12" t="inlineStr">
        <is>
          <t>FA|2/C|14</t>
        </is>
      </c>
      <c r="L3805" s="12" t="inlineStr">
        <is>
          <t>2/C</t>
        </is>
      </c>
      <c r="M3805" s="12" t="inlineStr">
        <is>
          <t>14</t>
        </is>
      </c>
      <c r="N3805" s="12" t="n">
        <v>1</v>
      </c>
      <c r="O3805" s="12" t="n">
        <v>1</v>
      </c>
      <c r="P3805" s="12" t="n"/>
      <c r="Q3805" s="12" t="n"/>
      <c r="R3805" s="12" t="n"/>
      <c r="S3805" s="12" t="inlineStr">
        <is>
          <t>Duct bank</t>
        </is>
      </c>
      <c r="T3805" s="15" t="n">
        <v>68</v>
      </c>
      <c r="U3805" s="15" t="n">
        <v>37</v>
      </c>
      <c r="V3805" s="15">
        <f>ROUNDUP((T3805+U3805+2*'Read Me'!$B$13)*(1+'Read Me'!$B$12),-1)</f>
        <v/>
      </c>
      <c r="W3805" s="15">
        <f>V3805*N3805*O3805</f>
        <v/>
      </c>
      <c r="X3805" s="12">
        <f>IF(LEFT(I3805,2)="MV",2*N3805*IF(L3805="1/C",O3805,1),0)</f>
        <v/>
      </c>
      <c r="Y3805" s="12">
        <f>IF(OR(LEFT(K3805,4)="LVAX",LEFT(K3805,6)="MV15AX",LEFT(K3805,4)="CTAX",LEFT(K3805,2)="W|"),2*N3805*O3805,0)</f>
        <v/>
      </c>
      <c r="Z3805" s="12" t="inlineStr"/>
      <c r="AA3805" s="12">
        <f>N3805*O3805</f>
        <v/>
      </c>
    </row>
    <row r="3806">
      <c r="A3806" s="12" t="inlineStr">
        <is>
          <t>H-FA-0002</t>
        </is>
      </c>
      <c r="B3806" s="12" t="inlineStr">
        <is>
          <t>H</t>
        </is>
      </c>
      <c r="C3806" s="12" t="inlineStr">
        <is>
          <t>BESS</t>
        </is>
      </c>
      <c r="D3806" s="12" t="inlineStr">
        <is>
          <t>Fire alarm / F&amp;G loop (to the local FACP / F&amp;G node)</t>
        </is>
      </c>
      <c r="E3806" s="12" t="inlineStr"/>
      <c r="F3806" s="12" t="inlineStr">
        <is>
          <t>BESS EMS / SCADA and revenue metering</t>
        </is>
      </c>
      <c r="G3806" s="12" t="inlineStr"/>
      <c r="H3806" s="12" t="inlineStr">
        <is>
          <t>BESS EMS / SCADA and revenue metering</t>
        </is>
      </c>
      <c r="I3806" s="12" t="inlineStr">
        <is>
          <t>Fire alarm</t>
        </is>
      </c>
      <c r="J3806" s="12" t="inlineStr">
        <is>
          <t>Fire alarm FPLR 2/C #14 shielded, red jacket (NEC 760)</t>
        </is>
      </c>
      <c r="K3806" s="12" t="inlineStr">
        <is>
          <t>FA|2/C|14</t>
        </is>
      </c>
      <c r="L3806" s="12" t="inlineStr">
        <is>
          <t>2/C</t>
        </is>
      </c>
      <c r="M3806" s="12" t="inlineStr">
        <is>
          <t>14</t>
        </is>
      </c>
      <c r="N3806" s="12" t="n">
        <v>1</v>
      </c>
      <c r="O3806" s="12" t="n">
        <v>1</v>
      </c>
      <c r="P3806" s="12" t="n"/>
      <c r="Q3806" s="12" t="n"/>
      <c r="R3806" s="12" t="n"/>
      <c r="S3806" s="12" t="inlineStr">
        <is>
          <t>Tray</t>
        </is>
      </c>
      <c r="T3806" s="15" t="n">
        <v>0</v>
      </c>
      <c r="U3806" s="15" t="n">
        <v>32</v>
      </c>
      <c r="V3806" s="15">
        <f>ROUNDUP((T3806+U3806+2*'Read Me'!$B$13)*(1+'Read Me'!$B$12),-1)</f>
        <v/>
      </c>
      <c r="W3806" s="15">
        <f>V3806*N3806*O3806</f>
        <v/>
      </c>
      <c r="X3806" s="12">
        <f>IF(LEFT(I3806,2)="MV",2*N3806*IF(L3806="1/C",O3806,1),0)</f>
        <v/>
      </c>
      <c r="Y3806" s="12">
        <f>IF(OR(LEFT(K3806,4)="LVAX",LEFT(K3806,6)="MV15AX",LEFT(K3806,4)="CTAX",LEFT(K3806,2)="W|"),2*N3806*O3806,0)</f>
        <v/>
      </c>
      <c r="Z3806" s="12" t="inlineStr"/>
      <c r="AA3806" s="12">
        <f>N3806*O3806</f>
        <v/>
      </c>
    </row>
    <row r="3807">
      <c r="A3807" s="12" t="inlineStr">
        <is>
          <t>H-FA-0003</t>
        </is>
      </c>
      <c r="B3807" s="12" t="inlineStr">
        <is>
          <t>H</t>
        </is>
      </c>
      <c r="C3807" s="12" t="inlineStr">
        <is>
          <t>BESS</t>
        </is>
      </c>
      <c r="D3807" s="12" t="inlineStr">
        <is>
          <t>Fire alarm / F&amp;G loop (to the local FACP / F&amp;G node)</t>
        </is>
      </c>
      <c r="E3807" s="12" t="inlineStr"/>
      <c r="F3807" s="12" t="inlineStr">
        <is>
          <t>BESS EMS / SCADA and revenue metering</t>
        </is>
      </c>
      <c r="G3807" s="12" t="inlineStr">
        <is>
          <t>BESS</t>
        </is>
      </c>
      <c r="H3807" s="12" t="inlineStr">
        <is>
          <t>BESS blocks: 30 containers + 15 PCS / MV skids</t>
        </is>
      </c>
      <c r="I3807" s="12" t="inlineStr">
        <is>
          <t>Fire alarm</t>
        </is>
      </c>
      <c r="J3807" s="12" t="inlineStr">
        <is>
          <t>Fire alarm FPLR 2/C #14 shielded, red jacket (NEC 760)</t>
        </is>
      </c>
      <c r="K3807" s="12" t="inlineStr">
        <is>
          <t>FA|2/C|14</t>
        </is>
      </c>
      <c r="L3807" s="12" t="inlineStr">
        <is>
          <t>2/C</t>
        </is>
      </c>
      <c r="M3807" s="12" t="inlineStr">
        <is>
          <t>14</t>
        </is>
      </c>
      <c r="N3807" s="12" t="n">
        <v>1</v>
      </c>
      <c r="O3807" s="12" t="n">
        <v>1</v>
      </c>
      <c r="P3807" s="12" t="n"/>
      <c r="Q3807" s="12" t="n"/>
      <c r="R3807" s="12" t="n"/>
      <c r="S3807" s="12" t="inlineStr">
        <is>
          <t>Duct bank</t>
        </is>
      </c>
      <c r="T3807" s="15" t="n">
        <v>336</v>
      </c>
      <c r="U3807" s="15" t="n">
        <v>32</v>
      </c>
      <c r="V3807" s="15">
        <f>ROUNDUP((T3807+U3807+2*'Read Me'!$B$13)*(1+'Read Me'!$B$12),-1)</f>
        <v/>
      </c>
      <c r="W3807" s="15">
        <f>V3807*N3807*O3807</f>
        <v/>
      </c>
      <c r="X3807" s="12">
        <f>IF(LEFT(I3807,2)="MV",2*N3807*IF(L3807="1/C",O3807,1),0)</f>
        <v/>
      </c>
      <c r="Y3807" s="12">
        <f>IF(OR(LEFT(K3807,4)="LVAX",LEFT(K3807,6)="MV15AX",LEFT(K3807,4)="CTAX",LEFT(K3807,2)="W|"),2*N3807*O3807,0)</f>
        <v/>
      </c>
      <c r="Z3807" s="12" t="inlineStr"/>
      <c r="AA3807" s="12">
        <f>N3807*O3807</f>
        <v/>
      </c>
    </row>
    <row r="3808">
      <c r="A3808" s="12" t="inlineStr">
        <is>
          <t>H-FA-0004</t>
        </is>
      </c>
      <c r="B3808" s="12" t="inlineStr">
        <is>
          <t>H</t>
        </is>
      </c>
      <c r="C3808" s="12" t="inlineStr">
        <is>
          <t>BESS</t>
        </is>
      </c>
      <c r="D3808" s="12" t="inlineStr">
        <is>
          <t>Fire alarm / F&amp;G loop (to the local FACP / F&amp;G node)</t>
        </is>
      </c>
      <c r="E3808" s="12" t="inlineStr"/>
      <c r="F3808" s="12" t="inlineStr">
        <is>
          <t>BESS EMS / SCADA and revenue metering</t>
        </is>
      </c>
      <c r="G3808" s="12" t="inlineStr"/>
      <c r="H3808" s="12" t="inlineStr">
        <is>
          <t>BESS container (ISO 40 ft high cube)</t>
        </is>
      </c>
      <c r="I3808" s="12" t="inlineStr">
        <is>
          <t>Fire alarm</t>
        </is>
      </c>
      <c r="J3808" s="12" t="inlineStr">
        <is>
          <t>Fire alarm FPLR 2/C #14 shielded, red jacket (NEC 760)</t>
        </is>
      </c>
      <c r="K3808" s="12" t="inlineStr">
        <is>
          <t>FA|2/C|14</t>
        </is>
      </c>
      <c r="L3808" s="12" t="inlineStr">
        <is>
          <t>2/C</t>
        </is>
      </c>
      <c r="M3808" s="12" t="inlineStr">
        <is>
          <t>14</t>
        </is>
      </c>
      <c r="N3808" s="12" t="n">
        <v>1</v>
      </c>
      <c r="O3808" s="12" t="n">
        <v>1</v>
      </c>
      <c r="P3808" s="12" t="n"/>
      <c r="Q3808" s="12" t="n"/>
      <c r="R3808" s="12" t="n"/>
      <c r="S3808" s="12" t="inlineStr">
        <is>
          <t>Duct bank</t>
        </is>
      </c>
      <c r="T3808" s="15" t="n">
        <v>300</v>
      </c>
      <c r="U3808" s="15" t="n">
        <v>89</v>
      </c>
      <c r="V3808" s="15">
        <f>ROUNDUP((T3808+U3808+2*'Read Me'!$B$13)*(1+'Read Me'!$B$12),-1)</f>
        <v/>
      </c>
      <c r="W3808" s="15">
        <f>V3808*N3808*O3808</f>
        <v/>
      </c>
      <c r="X3808" s="12">
        <f>IF(LEFT(I3808,2)="MV",2*N3808*IF(L3808="1/C",O3808,1),0)</f>
        <v/>
      </c>
      <c r="Y3808" s="12">
        <f>IF(OR(LEFT(K3808,4)="LVAX",LEFT(K3808,6)="MV15AX",LEFT(K3808,4)="CTAX",LEFT(K3808,2)="W|"),2*N3808*O3808,0)</f>
        <v/>
      </c>
      <c r="Z3808" s="12" t="inlineStr"/>
      <c r="AA3808" s="12">
        <f>N3808*O3808</f>
        <v/>
      </c>
    </row>
    <row r="3809">
      <c r="A3809" s="12" t="inlineStr">
        <is>
          <t>H-FA-0005</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BESS container (ISO 40 ft high cube)</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5" t="n">
        <v>160</v>
      </c>
      <c r="U3809" s="15" t="n">
        <v>169</v>
      </c>
      <c r="V3809" s="15">
        <f>ROUNDUP((T3809+U3809+2*'Read Me'!$B$13)*(1+'Read Me'!$B$12),-1)</f>
        <v/>
      </c>
      <c r="W3809" s="15">
        <f>V3809*N3809*O3809</f>
        <v/>
      </c>
      <c r="X3809" s="12">
        <f>IF(LEFT(I3809,2)="MV",2*N3809*IF(L3809="1/C",O3809,1),0)</f>
        <v/>
      </c>
      <c r="Y3809" s="12">
        <f>IF(OR(LEFT(K3809,4)="LVAX",LEFT(K3809,6)="MV15AX",LEFT(K3809,4)="CTAX",LEFT(K3809,2)="W|"),2*N3809*O3809,0)</f>
        <v/>
      </c>
      <c r="Z3809" s="12" t="inlineStr"/>
      <c r="AA3809" s="12">
        <f>N3809*O3809</f>
        <v/>
      </c>
    </row>
    <row r="3810">
      <c r="A3810" s="12" t="inlineStr">
        <is>
          <t>H-FA-0006</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container (ISO 40 ft high cube)</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Duct bank</t>
        </is>
      </c>
      <c r="T3810" s="15" t="n">
        <v>160</v>
      </c>
      <c r="U3810" s="15" t="n">
        <v>109</v>
      </c>
      <c r="V3810" s="15">
        <f>ROUNDUP((T3810+U3810+2*'Read Me'!$B$13)*(1+'Read Me'!$B$12),-1)</f>
        <v/>
      </c>
      <c r="W3810" s="15">
        <f>V3810*N3810*O3810</f>
        <v/>
      </c>
      <c r="X3810" s="12">
        <f>IF(LEFT(I3810,2)="MV",2*N3810*IF(L3810="1/C",O3810,1),0)</f>
        <v/>
      </c>
      <c r="Y3810" s="12">
        <f>IF(OR(LEFT(K3810,4)="LVAX",LEFT(K3810,6)="MV15AX",LEFT(K3810,4)="CTAX",LEFT(K3810,2)="W|"),2*N3810*O3810,0)</f>
        <v/>
      </c>
      <c r="Z3810" s="12" t="inlineStr"/>
      <c r="AA3810" s="12">
        <f>N3810*O3810</f>
        <v/>
      </c>
    </row>
    <row r="3811">
      <c r="A3811" s="12" t="inlineStr">
        <is>
          <t>H-FA-0007</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BESS container (ISO 40 ft high cube)</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5" t="n">
        <v>70</v>
      </c>
      <c r="U3811" s="15" t="n">
        <v>139</v>
      </c>
      <c r="V3811" s="15">
        <f>ROUNDUP((T3811+U3811+2*'Read Me'!$B$13)*(1+'Read Me'!$B$12),-1)</f>
        <v/>
      </c>
      <c r="W3811" s="15">
        <f>V3811*N3811*O3811</f>
        <v/>
      </c>
      <c r="X3811" s="12">
        <f>IF(LEFT(I3811,2)="MV",2*N3811*IF(L3811="1/C",O3811,1),0)</f>
        <v/>
      </c>
      <c r="Y3811" s="12">
        <f>IF(OR(LEFT(K3811,4)="LVAX",LEFT(K3811,6)="MV15AX",LEFT(K3811,4)="CTAX",LEFT(K3811,2)="W|"),2*N3811*O3811,0)</f>
        <v/>
      </c>
      <c r="Z3811" s="12" t="inlineStr"/>
      <c r="AA3811" s="12">
        <f>N3811*O3811</f>
        <v/>
      </c>
    </row>
    <row r="3812">
      <c r="A3812" s="12" t="inlineStr">
        <is>
          <t>H-FA-0008</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5" t="n">
        <v>30</v>
      </c>
      <c r="U3812" s="15" t="n">
        <v>93</v>
      </c>
      <c r="V3812" s="15">
        <f>ROUNDUP((T3812+U3812+2*'Read Me'!$B$13)*(1+'Read Me'!$B$12),-1)</f>
        <v/>
      </c>
      <c r="W3812" s="15">
        <f>V3812*N3812*O3812</f>
        <v/>
      </c>
      <c r="X3812" s="12">
        <f>IF(LEFT(I3812,2)="MV",2*N3812*IF(L3812="1/C",O3812,1),0)</f>
        <v/>
      </c>
      <c r="Y3812" s="12">
        <f>IF(OR(LEFT(K3812,4)="LVAX",LEFT(K3812,6)="MV15AX",LEFT(K3812,4)="CTAX",LEFT(K3812,2)="W|"),2*N3812*O3812,0)</f>
        <v/>
      </c>
      <c r="Z3812" s="12" t="inlineStr"/>
      <c r="AA3812" s="12">
        <f>N3812*O3812</f>
        <v/>
      </c>
    </row>
    <row r="3813">
      <c r="A3813" s="12" t="inlineStr">
        <is>
          <t>H-FA-0009</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Tray</t>
        </is>
      </c>
      <c r="T3813" s="15" t="n">
        <v>0</v>
      </c>
      <c r="U3813" s="15" t="n">
        <v>83</v>
      </c>
      <c r="V3813" s="15">
        <f>ROUNDUP((T3813+U3813+2*'Read Me'!$B$13)*(1+'Read Me'!$B$12),-1)</f>
        <v/>
      </c>
      <c r="W3813" s="15">
        <f>V3813*N3813*O3813</f>
        <v/>
      </c>
      <c r="X3813" s="12">
        <f>IF(LEFT(I3813,2)="MV",2*N3813*IF(L3813="1/C",O3813,1),0)</f>
        <v/>
      </c>
      <c r="Y3813" s="12">
        <f>IF(OR(LEFT(K3813,4)="LVAX",LEFT(K3813,6)="MV15AX",LEFT(K3813,4)="CTAX",LEFT(K3813,2)="W|"),2*N3813*O3813,0)</f>
        <v/>
      </c>
      <c r="Z3813" s="12" t="inlineStr"/>
      <c r="AA3813" s="12">
        <f>N3813*O3813</f>
        <v/>
      </c>
    </row>
    <row r="3814">
      <c r="A3814" s="12" t="inlineStr">
        <is>
          <t>H-FA-0010</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5" t="n">
        <v>300</v>
      </c>
      <c r="U3814" s="15" t="n">
        <v>147</v>
      </c>
      <c r="V3814" s="15">
        <f>ROUNDUP((T3814+U3814+2*'Read Me'!$B$13)*(1+'Read Me'!$B$12),-1)</f>
        <v/>
      </c>
      <c r="W3814" s="15">
        <f>V3814*N3814*O3814</f>
        <v/>
      </c>
      <c r="X3814" s="12">
        <f>IF(LEFT(I3814,2)="MV",2*N3814*IF(L3814="1/C",O3814,1),0)</f>
        <v/>
      </c>
      <c r="Y3814" s="12">
        <f>IF(OR(LEFT(K3814,4)="LVAX",LEFT(K3814,6)="MV15AX",LEFT(K3814,4)="CTAX",LEFT(K3814,2)="W|"),2*N3814*O3814,0)</f>
        <v/>
      </c>
      <c r="Z3814" s="12" t="inlineStr"/>
      <c r="AA3814" s="12">
        <f>N3814*O3814</f>
        <v/>
      </c>
    </row>
    <row r="3815">
      <c r="A3815" s="12" t="inlineStr">
        <is>
          <t>H-FA-0011</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5" t="n">
        <v>160</v>
      </c>
      <c r="U3815" s="15" t="n">
        <v>227</v>
      </c>
      <c r="V3815" s="15">
        <f>ROUNDUP((T3815+U3815+2*'Read Me'!$B$13)*(1+'Read Me'!$B$12),-1)</f>
        <v/>
      </c>
      <c r="W3815" s="15">
        <f>V3815*N3815*O3815</f>
        <v/>
      </c>
      <c r="X3815" s="12">
        <f>IF(LEFT(I3815,2)="MV",2*N3815*IF(L3815="1/C",O3815,1),0)</f>
        <v/>
      </c>
      <c r="Y3815" s="12">
        <f>IF(OR(LEFT(K3815,4)="LVAX",LEFT(K3815,6)="MV15AX",LEFT(K3815,4)="CTAX",LEFT(K3815,2)="W|"),2*N3815*O3815,0)</f>
        <v/>
      </c>
      <c r="Z3815" s="12" t="inlineStr"/>
      <c r="AA3815" s="12">
        <f>N3815*O3815</f>
        <v/>
      </c>
    </row>
    <row r="3816">
      <c r="A3816" s="12" t="inlineStr">
        <is>
          <t>H-FA-0012</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5" t="n">
        <v>160</v>
      </c>
      <c r="U3816" s="15" t="n">
        <v>167</v>
      </c>
      <c r="V3816" s="15">
        <f>ROUNDUP((T3816+U3816+2*'Read Me'!$B$13)*(1+'Read Me'!$B$12),-1)</f>
        <v/>
      </c>
      <c r="W3816" s="15">
        <f>V3816*N3816*O3816</f>
        <v/>
      </c>
      <c r="X3816" s="12">
        <f>IF(LEFT(I3816,2)="MV",2*N3816*IF(L3816="1/C",O3816,1),0)</f>
        <v/>
      </c>
      <c r="Y3816" s="12">
        <f>IF(OR(LEFT(K3816,4)="LVAX",LEFT(K3816,6)="MV15AX",LEFT(K3816,4)="CTAX",LEFT(K3816,2)="W|"),2*N3816*O3816,0)</f>
        <v/>
      </c>
      <c r="Z3816" s="12" t="inlineStr"/>
      <c r="AA3816" s="12">
        <f>N3816*O3816</f>
        <v/>
      </c>
    </row>
    <row r="3817">
      <c r="A3817" s="12" t="inlineStr">
        <is>
          <t>H-FA-0013</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5" t="n">
        <v>30</v>
      </c>
      <c r="U3817" s="15" t="n">
        <v>211</v>
      </c>
      <c r="V3817" s="15">
        <f>ROUNDUP((T3817+U3817+2*'Read Me'!$B$13)*(1+'Read Me'!$B$12),-1)</f>
        <v/>
      </c>
      <c r="W3817" s="15">
        <f>V3817*N3817*O3817</f>
        <v/>
      </c>
      <c r="X3817" s="12">
        <f>IF(LEFT(I3817,2)="MV",2*N3817*IF(L3817="1/C",O3817,1),0)</f>
        <v/>
      </c>
      <c r="Y3817" s="12">
        <f>IF(OR(LEFT(K3817,4)="LVAX",LEFT(K3817,6)="MV15AX",LEFT(K3817,4)="CTAX",LEFT(K3817,2)="W|"),2*N3817*O3817,0)</f>
        <v/>
      </c>
      <c r="Z3817" s="12" t="inlineStr"/>
      <c r="AA3817" s="12">
        <f>N3817*O3817</f>
        <v/>
      </c>
    </row>
    <row r="3818">
      <c r="A3818" s="12" t="inlineStr">
        <is>
          <t>H-FA-0014</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5" t="n">
        <v>30</v>
      </c>
      <c r="U3818" s="15" t="n">
        <v>151</v>
      </c>
      <c r="V3818" s="15">
        <f>ROUNDUP((T3818+U3818+2*'Read Me'!$B$13)*(1+'Read Me'!$B$12),-1)</f>
        <v/>
      </c>
      <c r="W3818" s="15">
        <f>V3818*N3818*O3818</f>
        <v/>
      </c>
      <c r="X3818" s="12">
        <f>IF(LEFT(I3818,2)="MV",2*N3818*IF(L3818="1/C",O3818,1),0)</f>
        <v/>
      </c>
      <c r="Y3818" s="12">
        <f>IF(OR(LEFT(K3818,4)="LVAX",LEFT(K3818,6)="MV15AX",LEFT(K3818,4)="CTAX",LEFT(K3818,2)="W|"),2*N3818*O3818,0)</f>
        <v/>
      </c>
      <c r="Z3818" s="12" t="inlineStr"/>
      <c r="AA3818" s="12">
        <f>N3818*O3818</f>
        <v/>
      </c>
    </row>
    <row r="3819">
      <c r="A3819" s="12" t="inlineStr">
        <is>
          <t>H-FA-0015</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5" t="n">
        <v>0</v>
      </c>
      <c r="U3819" s="15" t="n">
        <v>141</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H-FA-0016</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5" t="n">
        <v>300</v>
      </c>
      <c r="U3820" s="15" t="n">
        <v>205</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H-FA-0017</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5" t="n">
        <v>300</v>
      </c>
      <c r="U3821" s="15" t="n">
        <v>205</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H-FA-0018</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5" t="n">
        <v>160</v>
      </c>
      <c r="U3822" s="15" t="n">
        <v>225</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H-FA-0019</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5" t="n">
        <v>160</v>
      </c>
      <c r="U3823" s="15" t="n">
        <v>225</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H-FA-0020</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5" t="n">
        <v>30</v>
      </c>
      <c r="U3824" s="15" t="n">
        <v>209</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H-FA-0021</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5" t="n">
        <v>336</v>
      </c>
      <c r="U3825" s="15" t="n">
        <v>173</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H-FA-0022</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5" t="n">
        <v>340</v>
      </c>
      <c r="U3826" s="15" t="n">
        <v>253</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H-FA-0023</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5" t="n">
        <v>300</v>
      </c>
      <c r="U3827" s="15" t="n">
        <v>263</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H-FA-0024</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5" t="n">
        <v>160</v>
      </c>
      <c r="U3828" s="15" t="n">
        <v>283</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H-FA-0025</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5" t="n">
        <v>160</v>
      </c>
      <c r="U3829" s="15" t="n">
        <v>283</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H-FA-0026</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5" t="n">
        <v>336</v>
      </c>
      <c r="U3830" s="15" t="n">
        <v>115</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H-FA-0027</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5" t="n">
        <v>336</v>
      </c>
      <c r="U3831" s="15" t="n">
        <v>115</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H-FA-0028</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5" t="n">
        <v>602</v>
      </c>
      <c r="U3832" s="15" t="n">
        <v>57</v>
      </c>
      <c r="V3832" s="15">
        <f>ROUNDUP((T3832+U3832+2*'Read Me'!$B$13)*(1+'Read Me'!$B$12),-1)</f>
        <v/>
      </c>
      <c r="W3832" s="15">
        <f>V3832*N3832*O3832</f>
        <v/>
      </c>
      <c r="X3832" s="12">
        <f>IF(LEFT(I3832,2)="MV",2*N3832*IF(L3832="1/C",O3832,1),0)</f>
        <v/>
      </c>
      <c r="Y3832" s="12">
        <f>IF(OR(LEFT(K3832,4)="LVAX",LEFT(K3832,6)="MV15AX",LEFT(K3832,4)="CTAX",LEFT(K3832,2)="W|"),2*N3832*O3832,0)</f>
        <v/>
      </c>
      <c r="Z3832" s="12" t="inlineStr"/>
      <c r="AA3832" s="12">
        <f>N3832*O3832</f>
        <v/>
      </c>
    </row>
    <row r="3833">
      <c r="A3833" s="12" t="inlineStr">
        <is>
          <t>H-FA-0029</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5" t="n">
        <v>482</v>
      </c>
      <c r="U3833" s="15" t="n">
        <v>117</v>
      </c>
      <c r="V3833" s="15">
        <f>ROUNDUP((T3833+U3833+2*'Read Me'!$B$13)*(1+'Read Me'!$B$12),-1)</f>
        <v/>
      </c>
      <c r="W3833" s="15">
        <f>V3833*N3833*O3833</f>
        <v/>
      </c>
      <c r="X3833" s="12">
        <f>IF(LEFT(I3833,2)="MV",2*N3833*IF(L3833="1/C",O3833,1),0)</f>
        <v/>
      </c>
      <c r="Y3833" s="12">
        <f>IF(OR(LEFT(K3833,4)="LVAX",LEFT(K3833,6)="MV15AX",LEFT(K3833,4)="CTAX",LEFT(K3833,2)="W|"),2*N3833*O3833,0)</f>
        <v/>
      </c>
      <c r="Z3833" s="12" t="inlineStr"/>
      <c r="AA3833" s="12">
        <f>N3833*O3833</f>
        <v/>
      </c>
    </row>
    <row r="3834">
      <c r="A3834" s="12" t="inlineStr">
        <is>
          <t>H-FA-0030</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5" t="n">
        <v>336</v>
      </c>
      <c r="U3834" s="15" t="n">
        <v>177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H-FA-0031</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5" t="n">
        <v>336</v>
      </c>
      <c r="U3835" s="15" t="n">
        <v>117</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H-FA-0032</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5" t="n">
        <v>336</v>
      </c>
      <c r="U3836" s="15" t="n">
        <v>57</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H-FA-0033</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5" t="n">
        <v>336</v>
      </c>
      <c r="U3837" s="15" t="n">
        <v>57</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H-I-0001</t>
        </is>
      </c>
      <c r="B3838" s="12" t="inlineStr">
        <is>
          <t>H</t>
        </is>
      </c>
      <c r="C3838" s="12" t="inlineStr">
        <is>
          <t>BESS</t>
        </is>
      </c>
      <c r="D3838" s="12" t="inlineStr">
        <is>
          <t>Analog instrument to JB JB-BESS PCS / MV skid-AI01: 6 x 1 pr (field cables)</t>
        </is>
      </c>
      <c r="E3838" s="12" t="inlineStr"/>
      <c r="F3838" s="12" t="inlineStr">
        <is>
          <t>BESS PCS / MV skid</t>
        </is>
      </c>
      <c r="G3838" s="12" t="inlineStr">
        <is>
          <t>JB-BESS PCS / MV skid-AI01</t>
        </is>
      </c>
      <c r="H3838" s="12" t="inlineStr">
        <is>
          <t>BESS PCS / MV skid</t>
        </is>
      </c>
      <c r="I3838" s="12" t="inlineStr">
        <is>
          <t>Instrumentation</t>
        </is>
      </c>
      <c r="J3838" s="12" t="inlineStr">
        <is>
          <t>Instrumentation PLTC / TC-ER 300 V, #18 twisted shielded pairs, overall shield</t>
        </is>
      </c>
      <c r="K3838" s="12" t="inlineStr">
        <is>
          <t>PLTC|1 pr|16</t>
        </is>
      </c>
      <c r="L3838" s="12" t="inlineStr">
        <is>
          <t>1 pr</t>
        </is>
      </c>
      <c r="M3838" s="12" t="inlineStr">
        <is>
          <t>16</t>
        </is>
      </c>
      <c r="N3838" s="12" t="n">
        <v>6</v>
      </c>
      <c r="O3838" s="12" t="n">
        <v>1</v>
      </c>
      <c r="P3838" s="12" t="n"/>
      <c r="Q3838" s="12" t="n"/>
      <c r="R3838" s="12" t="n"/>
      <c r="S3838" s="12" t="inlineStr">
        <is>
          <t>Tray / conduit</t>
        </is>
      </c>
      <c r="T3838" s="15" t="n">
        <v>43</v>
      </c>
      <c r="U3838" s="15" t="n">
        <v>10</v>
      </c>
      <c r="V3838" s="15">
        <f>ROUNDUP((T3838+U3838+2*'Read Me'!$B$13)*(1+'Read Me'!$B$12),-1)</f>
        <v/>
      </c>
      <c r="W3838" s="15">
        <f>V3838*N3838*O3838</f>
        <v/>
      </c>
      <c r="X3838" s="12">
        <f>IF(LEFT(I3838,2)="MV",2*N3838*IF(L3838="1/C",O3838,1),0)</f>
        <v/>
      </c>
      <c r="Y3838" s="12">
        <f>IF(OR(LEFT(K3838,4)="LVAX",LEFT(K3838,6)="MV15AX",LEFT(K3838,4)="CTAX",LEFT(K3838,2)="W|"),2*N3838*O3838,0)</f>
        <v/>
      </c>
      <c r="Z3838" s="12" t="inlineStr">
        <is>
          <t>device-to-JB field wiring, one cable per device</t>
        </is>
      </c>
      <c r="AA3838" s="12">
        <f>N3838*O3838</f>
        <v/>
      </c>
    </row>
    <row r="3839">
      <c r="A3839" s="12" t="inlineStr">
        <is>
          <t>H-I-0002</t>
        </is>
      </c>
      <c r="B3839" s="12" t="inlineStr">
        <is>
          <t>H</t>
        </is>
      </c>
      <c r="C3839" s="12" t="inlineStr">
        <is>
          <t>BESS</t>
        </is>
      </c>
      <c r="D3839" s="12" t="inlineStr">
        <is>
          <t>Home run JB-BESS PCS / MV skid-AI01 to the control / marshalling room</t>
        </is>
      </c>
      <c r="E3839" s="12" t="inlineStr"/>
      <c r="F3839" s="12" t="inlineStr">
        <is>
          <t>BESS EMS / SCADA and revenue metering</t>
        </is>
      </c>
      <c r="G3839" s="12" t="inlineStr">
        <is>
          <t>JB-BESS PCS / MV skid-AI01</t>
        </is>
      </c>
      <c r="H3839" s="12" t="inlineStr">
        <is>
          <t>BESS PCS / MV skid</t>
        </is>
      </c>
      <c r="I3839" s="12" t="inlineStr">
        <is>
          <t>Instrumentation</t>
        </is>
      </c>
      <c r="J3839" s="12" t="inlineStr">
        <is>
          <t>Instrumentation PLTC / TC-ER 300 V, #18 twisted shielded pairs, overall shield</t>
        </is>
      </c>
      <c r="K3839" s="12" t="inlineStr">
        <is>
          <t>PLTC|24 pr|18</t>
        </is>
      </c>
      <c r="L3839" s="12" t="inlineStr">
        <is>
          <t>24 pr</t>
        </is>
      </c>
      <c r="M3839" s="12" t="inlineStr">
        <is>
          <t>18</t>
        </is>
      </c>
      <c r="N3839" s="12" t="n">
        <v>1</v>
      </c>
      <c r="O3839" s="12" t="n">
        <v>1</v>
      </c>
      <c r="P3839" s="12" t="n"/>
      <c r="Q3839" s="12" t="n"/>
      <c r="R3839" s="12" t="n"/>
      <c r="S3839" s="12" t="inlineStr">
        <is>
          <t>Duct bank</t>
        </is>
      </c>
      <c r="T3839" s="15" t="n">
        <v>300</v>
      </c>
      <c r="U3839" s="15" t="n">
        <v>103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H-I-0003</t>
        </is>
      </c>
      <c r="B3840" s="12" t="inlineStr">
        <is>
          <t>H</t>
        </is>
      </c>
      <c r="C3840" s="12" t="inlineStr">
        <is>
          <t>BESS</t>
        </is>
      </c>
      <c r="D3840" s="12" t="inlineStr">
        <is>
          <t>Discrete device to JB JB-BESS PCS / MV skid-DI01: 10 x 1 pr (field cables)</t>
        </is>
      </c>
      <c r="E3840" s="12" t="inlineStr"/>
      <c r="F3840" s="12" t="inlineStr">
        <is>
          <t>BESS PCS / MV skid</t>
        </is>
      </c>
      <c r="G3840" s="12" t="inlineStr">
        <is>
          <t>JB-BESS PCS / MV skid-DI01</t>
        </is>
      </c>
      <c r="H3840" s="12" t="inlineStr">
        <is>
          <t>BESS PCS / MV skid</t>
        </is>
      </c>
      <c r="I3840" s="12" t="inlineStr">
        <is>
          <t>Instrumentation</t>
        </is>
      </c>
      <c r="J3840" s="12" t="inlineStr">
        <is>
          <t>Instrumentation PLTC / TC-ER 300 V, #18 twisted shielded pairs, overall shield</t>
        </is>
      </c>
      <c r="K3840" s="12" t="inlineStr">
        <is>
          <t>PLTC|1 pr|16</t>
        </is>
      </c>
      <c r="L3840" s="12" t="inlineStr">
        <is>
          <t>1 pr</t>
        </is>
      </c>
      <c r="M3840" s="12" t="inlineStr">
        <is>
          <t>16</t>
        </is>
      </c>
      <c r="N3840" s="12" t="n">
        <v>10</v>
      </c>
      <c r="O3840" s="12" t="n">
        <v>1</v>
      </c>
      <c r="P3840" s="12" t="n"/>
      <c r="Q3840" s="12" t="n"/>
      <c r="R3840" s="12" t="n"/>
      <c r="S3840" s="12" t="inlineStr">
        <is>
          <t>Tray / conduit</t>
        </is>
      </c>
      <c r="T3840" s="15" t="n">
        <v>43</v>
      </c>
      <c r="U3840" s="15" t="n">
        <v>10</v>
      </c>
      <c r="V3840" s="15">
        <f>ROUNDUP((T3840+U3840+2*'Read Me'!$B$13)*(1+'Read Me'!$B$12),-1)</f>
        <v/>
      </c>
      <c r="W3840" s="15">
        <f>V3840*N3840*O3840</f>
        <v/>
      </c>
      <c r="X3840" s="12">
        <f>IF(LEFT(I3840,2)="MV",2*N3840*IF(L3840="1/C",O3840,1),0)</f>
        <v/>
      </c>
      <c r="Y3840" s="12">
        <f>IF(OR(LEFT(K3840,4)="LVAX",LEFT(K3840,6)="MV15AX",LEFT(K3840,4)="CTAX",LEFT(K3840,2)="W|"),2*N3840*O3840,0)</f>
        <v/>
      </c>
      <c r="Z3840" s="12" t="inlineStr">
        <is>
          <t>device-to-JB field wiring, one cable per device</t>
        </is>
      </c>
      <c r="AA3840" s="12">
        <f>N3840*O3840</f>
        <v/>
      </c>
    </row>
    <row r="3841">
      <c r="A3841" s="12" t="inlineStr">
        <is>
          <t>H-I-0004</t>
        </is>
      </c>
      <c r="B3841" s="12" t="inlineStr">
        <is>
          <t>H</t>
        </is>
      </c>
      <c r="C3841" s="12" t="inlineStr">
        <is>
          <t>BESS</t>
        </is>
      </c>
      <c r="D3841" s="12" t="inlineStr">
        <is>
          <t>Home run JB-BESS PCS / MV skid-DI01 to the control / marshalling room</t>
        </is>
      </c>
      <c r="E3841" s="12" t="inlineStr"/>
      <c r="F3841" s="12" t="inlineStr">
        <is>
          <t>BESS EMS / SCADA and revenue metering</t>
        </is>
      </c>
      <c r="G3841" s="12" t="inlineStr">
        <is>
          <t>JB-BESS PCS / MV skid-DI01</t>
        </is>
      </c>
      <c r="H3841" s="12" t="inlineStr">
        <is>
          <t>BESS PCS / MV skid</t>
        </is>
      </c>
      <c r="I3841" s="12" t="inlineStr">
        <is>
          <t>Instrumentation</t>
        </is>
      </c>
      <c r="J3841" s="12" t="inlineStr">
        <is>
          <t>Instrumentation PLTC / TC-ER 300 V, #18 twisted shielded pairs, overall shield</t>
        </is>
      </c>
      <c r="K3841" s="12" t="inlineStr">
        <is>
          <t>PLTC|24 pr|18</t>
        </is>
      </c>
      <c r="L3841" s="12" t="inlineStr">
        <is>
          <t>24 pr</t>
        </is>
      </c>
      <c r="M3841" s="12" t="inlineStr">
        <is>
          <t>18</t>
        </is>
      </c>
      <c r="N3841" s="12" t="n">
        <v>1</v>
      </c>
      <c r="O3841" s="12" t="n">
        <v>1</v>
      </c>
      <c r="P3841" s="12" t="n"/>
      <c r="Q3841" s="12" t="n"/>
      <c r="R3841" s="12" t="n"/>
      <c r="S3841" s="12" t="inlineStr">
        <is>
          <t>Duct bank</t>
        </is>
      </c>
      <c r="T3841" s="15" t="n">
        <v>300</v>
      </c>
      <c r="U3841" s="15" t="n">
        <v>103</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H-I-0005</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5" t="n">
        <v>43</v>
      </c>
      <c r="U3842" s="15" t="n">
        <v>10</v>
      </c>
      <c r="V3842" s="15">
        <f>ROUNDUP((T3842+U3842+2*'Read Me'!$B$13)*(1+'Read Me'!$B$12),-1)</f>
        <v/>
      </c>
      <c r="W3842" s="15">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H-I-0006</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5" t="n">
        <v>160</v>
      </c>
      <c r="U3843" s="15" t="n">
        <v>123</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H-I-0007</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5" t="n">
        <v>43</v>
      </c>
      <c r="U3844" s="15" t="n">
        <v>10</v>
      </c>
      <c r="V3844" s="15">
        <f>ROUNDUP((T3844+U3844+2*'Read Me'!$B$13)*(1+'Read Me'!$B$12),-1)</f>
        <v/>
      </c>
      <c r="W3844" s="15">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H-I-0008</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5" t="n">
        <v>160</v>
      </c>
      <c r="U3845" s="15" t="n">
        <v>123</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H-I-0009</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5" t="n">
        <v>43</v>
      </c>
      <c r="U3846" s="15" t="n">
        <v>10</v>
      </c>
      <c r="V3846" s="15">
        <f>ROUNDUP((T3846+U3846+2*'Read Me'!$B$13)*(1+'Read Me'!$B$12),-1)</f>
        <v/>
      </c>
      <c r="W3846" s="15">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H-I-0010</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5" t="n">
        <v>30</v>
      </c>
      <c r="U3847" s="15" t="n">
        <v>107</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H-I-0011</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5" t="n">
        <v>43</v>
      </c>
      <c r="U3848" s="15" t="n">
        <v>10</v>
      </c>
      <c r="V3848" s="15">
        <f>ROUNDUP((T3848+U3848+2*'Read Me'!$B$13)*(1+'Read Me'!$B$12),-1)</f>
        <v/>
      </c>
      <c r="W3848" s="15">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H-I-0012</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5" t="n">
        <v>30</v>
      </c>
      <c r="U3849" s="15" t="n">
        <v>107</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H-I-0013</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5" t="n">
        <v>43</v>
      </c>
      <c r="U3850" s="15" t="n">
        <v>10</v>
      </c>
      <c r="V3850" s="15">
        <f>ROUNDUP((T3850+U3850+2*'Read Me'!$B$13)*(1+'Read Me'!$B$12),-1)</f>
        <v/>
      </c>
      <c r="W3850" s="15">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H-I-0014</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5" t="n">
        <v>300</v>
      </c>
      <c r="U3851" s="15" t="n">
        <v>161</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H-I-0015</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5" t="n">
        <v>43</v>
      </c>
      <c r="U3852" s="15" t="n">
        <v>10</v>
      </c>
      <c r="V3852" s="15">
        <f>ROUNDUP((T3852+U3852+2*'Read Me'!$B$13)*(1+'Read Me'!$B$12),-1)</f>
        <v/>
      </c>
      <c r="W3852" s="15">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H-I-0016</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5" t="n">
        <v>300</v>
      </c>
      <c r="U3853" s="15" t="n">
        <v>161</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H-I-0017</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5" t="n">
        <v>43</v>
      </c>
      <c r="U3854" s="15" t="n">
        <v>10</v>
      </c>
      <c r="V3854" s="15">
        <f>ROUNDUP((T3854+U3854+2*'Read Me'!$B$13)*(1+'Read Me'!$B$12),-1)</f>
        <v/>
      </c>
      <c r="W3854" s="15">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H-I-0018</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5" t="n">
        <v>160</v>
      </c>
      <c r="U3855" s="15" t="n">
        <v>181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H-I-0019</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5" t="n">
        <v>43</v>
      </c>
      <c r="U3856" s="15" t="n">
        <v>10</v>
      </c>
      <c r="V3856" s="15">
        <f>ROUNDUP((T3856+U3856+2*'Read Me'!$B$13)*(1+'Read Me'!$B$12),-1)</f>
        <v/>
      </c>
      <c r="W3856" s="15">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H-I-0020</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5" t="n">
        <v>160</v>
      </c>
      <c r="U3857" s="15" t="n">
        <v>181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H-I-0021</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5" t="n">
        <v>43</v>
      </c>
      <c r="U3858" s="15" t="n">
        <v>10</v>
      </c>
      <c r="V3858" s="15">
        <f>ROUNDUP((T3858+U3858+2*'Read Me'!$B$13)*(1+'Read Me'!$B$12),-1)</f>
        <v/>
      </c>
      <c r="W3858" s="15">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H-I-0022</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5" t="n">
        <v>30</v>
      </c>
      <c r="U3859" s="15" t="n">
        <v>165</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H-I-0023</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5" t="n">
        <v>43</v>
      </c>
      <c r="U3860" s="15" t="n">
        <v>10</v>
      </c>
      <c r="V3860" s="15">
        <f>ROUNDUP((T3860+U3860+2*'Read Me'!$B$13)*(1+'Read Me'!$B$12),-1)</f>
        <v/>
      </c>
      <c r="W3860" s="15">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H-I-0024</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5" t="n">
        <v>30</v>
      </c>
      <c r="U3861" s="15" t="n">
        <v>165</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H-I-0025</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5" t="n">
        <v>43</v>
      </c>
      <c r="U3862" s="15" t="n">
        <v>10</v>
      </c>
      <c r="V3862" s="15">
        <f>ROUNDUP((T3862+U3862+2*'Read Me'!$B$13)*(1+'Read Me'!$B$12),-1)</f>
        <v/>
      </c>
      <c r="W3862" s="15">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H-I-0026</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5" t="n">
        <v>300</v>
      </c>
      <c r="U3863" s="15" t="n">
        <v>219</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H-I-0027</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5" t="n">
        <v>43</v>
      </c>
      <c r="U3864" s="15" t="n">
        <v>10</v>
      </c>
      <c r="V3864" s="15">
        <f>ROUNDUP((T3864+U3864+2*'Read Me'!$B$13)*(1+'Read Me'!$B$12),-1)</f>
        <v/>
      </c>
      <c r="W3864" s="15">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H-I-0028</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5" t="n">
        <v>300</v>
      </c>
      <c r="U3865" s="15" t="n">
        <v>219</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H-I-0029</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5" t="n">
        <v>43</v>
      </c>
      <c r="U3866" s="15" t="n">
        <v>10</v>
      </c>
      <c r="V3866" s="15">
        <f>ROUNDUP((T3866+U3866+2*'Read Me'!$B$13)*(1+'Read Me'!$B$12),-1)</f>
        <v/>
      </c>
      <c r="W3866" s="15">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H-I-0030</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5" t="n">
        <v>160</v>
      </c>
      <c r="U3867" s="15" t="n">
        <v>239</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H-I-0031</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5" t="n">
        <v>43</v>
      </c>
      <c r="U3868" s="15" t="n">
        <v>10</v>
      </c>
      <c r="V3868" s="15">
        <f>ROUNDUP((T3868+U3868+2*'Read Me'!$B$13)*(1+'Read Me'!$B$12),-1)</f>
        <v/>
      </c>
      <c r="W3868" s="15">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H-I-0032</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5" t="n">
        <v>160</v>
      </c>
      <c r="U3869" s="15" t="n">
        <v>239</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H-I-0033</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5" t="n">
        <v>43</v>
      </c>
      <c r="U3870" s="15" t="n">
        <v>10</v>
      </c>
      <c r="V3870" s="15">
        <f>ROUNDUP((T3870+U3870+2*'Read Me'!$B$13)*(1+'Read Me'!$B$12),-1)</f>
        <v/>
      </c>
      <c r="W3870" s="15">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H-I-0034</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5" t="n">
        <v>336</v>
      </c>
      <c r="U3871" s="15" t="n">
        <v>149</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H-I-0035</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5" t="n">
        <v>43</v>
      </c>
      <c r="U3872" s="15" t="n">
        <v>10</v>
      </c>
      <c r="V3872" s="15">
        <f>ROUNDUP((T3872+U3872+2*'Read Me'!$B$13)*(1+'Read Me'!$B$12),-1)</f>
        <v/>
      </c>
      <c r="W3872" s="15">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H-I-0036</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5" t="n">
        <v>336</v>
      </c>
      <c r="U3873" s="15" t="n">
        <v>149</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H-I-0037</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5" t="n">
        <v>43</v>
      </c>
      <c r="U3874" s="15" t="n">
        <v>10</v>
      </c>
      <c r="V3874" s="15">
        <f>ROUNDUP((T3874+U3874+2*'Read Me'!$B$13)*(1+'Read Me'!$B$12),-1)</f>
        <v/>
      </c>
      <c r="W3874" s="15">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H-I-0038</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5" t="n">
        <v>602</v>
      </c>
      <c r="U3875" s="15" t="n">
        <v>91</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H-I-0039</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5" t="n">
        <v>43</v>
      </c>
      <c r="U3876" s="15" t="n">
        <v>10</v>
      </c>
      <c r="V3876" s="15">
        <f>ROUNDUP((T3876+U3876+2*'Read Me'!$B$13)*(1+'Read Me'!$B$12),-1)</f>
        <v/>
      </c>
      <c r="W3876" s="15">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H-I-0040</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5" t="n">
        <v>602</v>
      </c>
      <c r="U3877" s="15" t="n">
        <v>91</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H-I-0041</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5" t="n">
        <v>43</v>
      </c>
      <c r="U3878" s="15" t="n">
        <v>10</v>
      </c>
      <c r="V3878" s="15">
        <f>ROUNDUP((T3878+U3878+2*'Read Me'!$B$13)*(1+'Read Me'!$B$12),-1)</f>
        <v/>
      </c>
      <c r="W3878" s="15">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H-I-0042</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5" t="n">
        <v>336</v>
      </c>
      <c r="U3879" s="15" t="n">
        <v>211</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H-I-0043</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5" t="n">
        <v>43</v>
      </c>
      <c r="U3880" s="15" t="n">
        <v>10</v>
      </c>
      <c r="V3880" s="15">
        <f>ROUNDUP((T3880+U3880+2*'Read Me'!$B$13)*(1+'Read Me'!$B$12),-1)</f>
        <v/>
      </c>
      <c r="W3880" s="15">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H-I-0044</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5" t="n">
        <v>336</v>
      </c>
      <c r="U3881" s="15" t="n">
        <v>211</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H-I-0045</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5" t="n">
        <v>43</v>
      </c>
      <c r="U3882" s="15" t="n">
        <v>10</v>
      </c>
      <c r="V3882" s="15">
        <f>ROUNDUP((T3882+U3882+2*'Read Me'!$B$13)*(1+'Read Me'!$B$12),-1)</f>
        <v/>
      </c>
      <c r="W3882" s="15">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H-I-0046</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5" t="n">
        <v>336</v>
      </c>
      <c r="U3883" s="15" t="n">
        <v>91</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H-I-0047</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5" t="n">
        <v>43</v>
      </c>
      <c r="U3884" s="15" t="n">
        <v>10</v>
      </c>
      <c r="V3884" s="15">
        <f>ROUNDUP((T3884+U3884+2*'Read Me'!$B$13)*(1+'Read Me'!$B$12),-1)</f>
        <v/>
      </c>
      <c r="W3884" s="15">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H-I-0048</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5" t="n">
        <v>336</v>
      </c>
      <c r="U3885" s="15" t="n">
        <v>91</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H-I-0049</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5" t="n">
        <v>43</v>
      </c>
      <c r="U3886" s="15" t="n">
        <v>10</v>
      </c>
      <c r="V3886" s="15">
        <f>ROUNDUP((T3886+U3886+2*'Read Me'!$B$13)*(1+'Read Me'!$B$12),-1)</f>
        <v/>
      </c>
      <c r="W3886" s="15">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H-I-0050</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5" t="n">
        <v>602</v>
      </c>
      <c r="U3887" s="15" t="n">
        <v>37</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H-I-0051</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5" t="n">
        <v>43</v>
      </c>
      <c r="U3888" s="15" t="n">
        <v>10</v>
      </c>
      <c r="V3888" s="15">
        <f>ROUNDUP((T3888+U3888+2*'Read Me'!$B$13)*(1+'Read Me'!$B$12),-1)</f>
        <v/>
      </c>
      <c r="W3888" s="15">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H-I-0052</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5" t="n">
        <v>602</v>
      </c>
      <c r="U3889" s="15" t="n">
        <v>37</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H-I-0053</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5" t="n">
        <v>43</v>
      </c>
      <c r="U3890" s="15" t="n">
        <v>10</v>
      </c>
      <c r="V3890" s="15">
        <f>ROUNDUP((T3890+U3890+2*'Read Me'!$B$13)*(1+'Read Me'!$B$12),-1)</f>
        <v/>
      </c>
      <c r="W3890" s="15">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H-I-0054</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5" t="n">
        <v>336</v>
      </c>
      <c r="U3891" s="15" t="n">
        <v>157</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H-I-0055</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5" t="n">
        <v>43</v>
      </c>
      <c r="U3892" s="15" t="n">
        <v>10</v>
      </c>
      <c r="V3892" s="15">
        <f>ROUNDUP((T3892+U3892+2*'Read Me'!$B$13)*(1+'Read Me'!$B$12),-1)</f>
        <v/>
      </c>
      <c r="W3892" s="15">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H-I-0056</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5" t="n">
        <v>336</v>
      </c>
      <c r="U3893" s="15" t="n">
        <v>157</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H-I-0057</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5" t="n">
        <v>43</v>
      </c>
      <c r="U3894" s="15" t="n">
        <v>10</v>
      </c>
      <c r="V3894" s="15">
        <f>ROUNDUP((T3894+U3894+2*'Read Me'!$B$13)*(1+'Read Me'!$B$12),-1)</f>
        <v/>
      </c>
      <c r="W3894" s="15">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H-I-0058</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5" t="n">
        <v>336</v>
      </c>
      <c r="U3895" s="15" t="n">
        <v>37</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H-I-0059</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5" t="n">
        <v>43</v>
      </c>
      <c r="U3896" s="15" t="n">
        <v>10</v>
      </c>
      <c r="V3896" s="15">
        <f>ROUNDUP((T3896+U3896+2*'Read Me'!$B$13)*(1+'Read Me'!$B$12),-1)</f>
        <v/>
      </c>
      <c r="W3896" s="15">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H-I-0060</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5" t="n">
        <v>336</v>
      </c>
      <c r="U3897" s="15" t="n">
        <v>37</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H-I-0061</t>
        </is>
      </c>
      <c r="B3898" s="12" t="inlineStr">
        <is>
          <t>H</t>
        </is>
      </c>
      <c r="C3898" s="12" t="inlineStr">
        <is>
          <t>BESS</t>
        </is>
      </c>
      <c r="D3898" s="12" t="inlineStr">
        <is>
          <t>Instrumentation</t>
        </is>
      </c>
      <c r="E3898" s="12" t="inlineStr"/>
      <c r="F3898" s="12" t="inlineStr">
        <is>
          <t>BESS EMS / SCADA and revenue metering</t>
        </is>
      </c>
      <c r="G3898" s="12" t="inlineStr"/>
      <c r="H3898" s="12" t="inlineStr">
        <is>
          <t>BESS auxiliary transformer</t>
        </is>
      </c>
      <c r="I3898" s="12" t="inlineStr">
        <is>
          <t>Instrumentation</t>
        </is>
      </c>
      <c r="J3898" s="12" t="inlineStr">
        <is>
          <t>Instrumentation PLTC / TC-ER 300 V, #18 twisted shielded pairs, overall shield</t>
        </is>
      </c>
      <c r="K3898" s="12" t="inlineStr">
        <is>
          <t>PLTC|4 pr|18</t>
        </is>
      </c>
      <c r="L3898" s="12" t="inlineStr">
        <is>
          <t>4 pr</t>
        </is>
      </c>
      <c r="M3898" s="12" t="inlineStr">
        <is>
          <t>18</t>
        </is>
      </c>
      <c r="N3898" s="12" t="n">
        <v>1</v>
      </c>
      <c r="O3898" s="12" t="n">
        <v>1</v>
      </c>
      <c r="P3898" s="12" t="n"/>
      <c r="Q3898" s="12" t="n"/>
      <c r="R3898" s="12" t="n"/>
      <c r="S3898" s="12" t="inlineStr">
        <is>
          <t>Tray</t>
        </is>
      </c>
      <c r="T3898" s="15" t="n">
        <v>38</v>
      </c>
      <c r="U3898" s="15" t="n">
        <v>32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H-I-0062</t>
        </is>
      </c>
      <c r="B3899" s="12" t="inlineStr">
        <is>
          <t>H</t>
        </is>
      </c>
      <c r="C3899" s="12" t="inlineStr">
        <is>
          <t>BESS</t>
        </is>
      </c>
      <c r="D3899" s="12" t="inlineStr">
        <is>
          <t>Instrumentation</t>
        </is>
      </c>
      <c r="E3899" s="12" t="inlineStr"/>
      <c r="F3899" s="12" t="inlineStr">
        <is>
          <t>BESS EMS / SCADA and revenue metering</t>
        </is>
      </c>
      <c r="G3899" s="12" t="inlineStr">
        <is>
          <t>BESS</t>
        </is>
      </c>
      <c r="H3899" s="12" t="inlineStr">
        <is>
          <t>BESS blocks: 30 containers + 15 PCS / MV skids</t>
        </is>
      </c>
      <c r="I3899" s="12" t="inlineStr">
        <is>
          <t>Instrumentation</t>
        </is>
      </c>
      <c r="J3899" s="12" t="inlineStr">
        <is>
          <t>Instrumentation PLTC / TC-ER 300 V, #18 twisted shielded pairs, overall shield</t>
        </is>
      </c>
      <c r="K3899" s="12" t="inlineStr">
        <is>
          <t>PLTC|4 pr|18</t>
        </is>
      </c>
      <c r="L3899" s="12" t="inlineStr">
        <is>
          <t>4 pr</t>
        </is>
      </c>
      <c r="M3899" s="12" t="inlineStr">
        <is>
          <t>18</t>
        </is>
      </c>
      <c r="N3899" s="12" t="n">
        <v>1</v>
      </c>
      <c r="O3899" s="12" t="n">
        <v>1</v>
      </c>
      <c r="P3899" s="12" t="n"/>
      <c r="Q3899" s="12" t="n"/>
      <c r="R3899" s="12" t="n"/>
      <c r="S3899" s="12" t="inlineStr">
        <is>
          <t>Duct bank</t>
        </is>
      </c>
      <c r="T3899" s="15" t="n">
        <v>336</v>
      </c>
      <c r="U3899" s="15" t="n">
        <v>32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H-I-0063</t>
        </is>
      </c>
      <c r="B3900" s="12" t="inlineStr">
        <is>
          <t>H</t>
        </is>
      </c>
      <c r="C3900" s="12" t="inlineStr">
        <is>
          <t>BESS</t>
        </is>
      </c>
      <c r="D3900" s="12" t="inlineStr">
        <is>
          <t>Instrumentation</t>
        </is>
      </c>
      <c r="E3900" s="12" t="inlineStr"/>
      <c r="F3900" s="12" t="inlineStr">
        <is>
          <t>BESS EMS / SCADA and revenue metering</t>
        </is>
      </c>
      <c r="G3900" s="12" t="inlineStr">
        <is>
          <t>BESS</t>
        </is>
      </c>
      <c r="H3900" s="12" t="inlineStr">
        <is>
          <t>BESS blocks: 30 containers + 15 PCS / MV skids</t>
        </is>
      </c>
      <c r="I3900" s="12" t="inlineStr">
        <is>
          <t>Instrumentation</t>
        </is>
      </c>
      <c r="J3900" s="12" t="inlineStr">
        <is>
          <t>Instrumentation PLTC / TC-ER 300 V, #18 twisted shielded pairs, overall shield</t>
        </is>
      </c>
      <c r="K3900" s="12" t="inlineStr">
        <is>
          <t>PLTC|12 pr|18</t>
        </is>
      </c>
      <c r="L3900" s="12" t="inlineStr">
        <is>
          <t>12 pr</t>
        </is>
      </c>
      <c r="M3900" s="12" t="inlineStr">
        <is>
          <t>18</t>
        </is>
      </c>
      <c r="N3900" s="12" t="n">
        <v>1</v>
      </c>
      <c r="O3900" s="12" t="n">
        <v>1</v>
      </c>
      <c r="P3900" s="12" t="n"/>
      <c r="Q3900" s="12" t="n"/>
      <c r="R3900" s="12" t="n"/>
      <c r="S3900" s="12" t="inlineStr">
        <is>
          <t>Duct bank</t>
        </is>
      </c>
      <c r="T3900" s="15" t="n">
        <v>336</v>
      </c>
      <c r="U3900" s="15" t="n">
        <v>32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H-I-0064</t>
        </is>
      </c>
      <c r="B3901" s="12" t="inlineStr">
        <is>
          <t>H</t>
        </is>
      </c>
      <c r="C3901" s="12" t="inlineStr">
        <is>
          <t>BESS</t>
        </is>
      </c>
      <c r="D3901" s="12" t="inlineStr">
        <is>
          <t>Thermocouples</t>
        </is>
      </c>
      <c r="E3901" s="12" t="inlineStr"/>
      <c r="F3901" s="12" t="inlineStr">
        <is>
          <t>BESS EMS / SCADA and revenue metering</t>
        </is>
      </c>
      <c r="G3901" s="12" t="inlineStr">
        <is>
          <t>BESS</t>
        </is>
      </c>
      <c r="H3901" s="12" t="inlineStr">
        <is>
          <t>BESS blocks: 30 containers + 15 PCS / MV skids</t>
        </is>
      </c>
      <c r="I3901" s="12" t="inlineStr">
        <is>
          <t>Instrumentation</t>
        </is>
      </c>
      <c r="J3901" s="12" t="inlineStr">
        <is>
          <t>Thermocouple extension KX, #16 shielded pairs, PLTC</t>
        </is>
      </c>
      <c r="K3901" s="12" t="inlineStr">
        <is>
          <t>TCX|12 pr|16</t>
        </is>
      </c>
      <c r="L3901" s="12" t="inlineStr">
        <is>
          <t>12 pr</t>
        </is>
      </c>
      <c r="M3901" s="12" t="inlineStr">
        <is>
          <t>16</t>
        </is>
      </c>
      <c r="N3901" s="12" t="n">
        <v>1</v>
      </c>
      <c r="O3901" s="12" t="n">
        <v>1</v>
      </c>
      <c r="P3901" s="12" t="n"/>
      <c r="Q3901" s="12" t="n"/>
      <c r="R3901" s="12" t="n"/>
      <c r="S3901" s="12" t="inlineStr">
        <is>
          <t>Duct bank</t>
        </is>
      </c>
      <c r="T3901" s="15" t="n">
        <v>336</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H-I-0065</t>
        </is>
      </c>
      <c r="B3902" s="12" t="inlineStr">
        <is>
          <t>H</t>
        </is>
      </c>
      <c r="C3902" s="12" t="inlineStr">
        <is>
          <t>BESS</t>
        </is>
      </c>
      <c r="D3902" s="12" t="inlineStr">
        <is>
          <t>Thermocouples</t>
        </is>
      </c>
      <c r="E3902" s="12" t="inlineStr"/>
      <c r="F3902" s="12" t="inlineStr">
        <is>
          <t>BESS EMS / SCADA and revenue metering</t>
        </is>
      </c>
      <c r="G3902" s="12" t="inlineStr">
        <is>
          <t>BESS</t>
        </is>
      </c>
      <c r="H3902" s="12" t="inlineStr">
        <is>
          <t>BESS blocks: 30 containers + 15 PCS / MV skids</t>
        </is>
      </c>
      <c r="I3902" s="12" t="inlineStr">
        <is>
          <t>Instrumentation</t>
        </is>
      </c>
      <c r="J3902" s="12" t="inlineStr">
        <is>
          <t>Thermocouple extension KX, #16 shielded pairs, PLTC</t>
        </is>
      </c>
      <c r="K3902" s="12" t="inlineStr">
        <is>
          <t>TCX|12 pr|16</t>
        </is>
      </c>
      <c r="L3902" s="12" t="inlineStr">
        <is>
          <t>12 pr</t>
        </is>
      </c>
      <c r="M3902" s="12" t="inlineStr">
        <is>
          <t>16</t>
        </is>
      </c>
      <c r="N3902" s="12" t="n">
        <v>1</v>
      </c>
      <c r="O3902" s="12" t="n">
        <v>1</v>
      </c>
      <c r="P3902" s="12" t="n"/>
      <c r="Q3902" s="12" t="n"/>
      <c r="R3902" s="12" t="n"/>
      <c r="S3902" s="12" t="inlineStr">
        <is>
          <t>Duct bank</t>
        </is>
      </c>
      <c r="T3902" s="15" t="n">
        <v>336</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H-I-0066</t>
        </is>
      </c>
      <c r="B3903" s="12" t="inlineStr">
        <is>
          <t>H</t>
        </is>
      </c>
      <c r="C3903" s="12" t="inlineStr">
        <is>
          <t>BESS</t>
        </is>
      </c>
      <c r="D3903" s="12" t="inlineStr">
        <is>
          <t>Instrumentation</t>
        </is>
      </c>
      <c r="E3903" s="12" t="inlineStr"/>
      <c r="F3903" s="12" t="inlineStr">
        <is>
          <t>BESS PCS / MV skid</t>
        </is>
      </c>
      <c r="G3903" s="12" t="inlineStr"/>
      <c r="H3903" s="12" t="inlineStr">
        <is>
          <t>BESS container (ISO 40 ft high cube)</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5" t="n">
        <v>10</v>
      </c>
      <c r="U3903" s="15" t="n">
        <v>150</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H-I-0067</t>
        </is>
      </c>
      <c r="B3904" s="12" t="inlineStr">
        <is>
          <t>H</t>
        </is>
      </c>
      <c r="C3904" s="12" t="inlineStr">
        <is>
          <t>BESS</t>
        </is>
      </c>
      <c r="D3904" s="12" t="inlineStr">
        <is>
          <t>Instrumentation</t>
        </is>
      </c>
      <c r="E3904" s="12" t="inlineStr"/>
      <c r="F3904" s="12" t="inlineStr">
        <is>
          <t>BESS PCS / MV skid</t>
        </is>
      </c>
      <c r="G3904" s="12" t="inlineStr"/>
      <c r="H3904" s="12" t="inlineStr">
        <is>
          <t>BESS container (ISO 40 ft high cube)</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5" t="n">
        <v>0</v>
      </c>
      <c r="U3904" s="15" t="n">
        <v>160</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H-I-0068</t>
        </is>
      </c>
      <c r="B3905" s="12" t="inlineStr">
        <is>
          <t>H</t>
        </is>
      </c>
      <c r="C3905" s="12" t="inlineStr">
        <is>
          <t>BESS</t>
        </is>
      </c>
      <c r="D3905" s="12" t="inlineStr">
        <is>
          <t>Instrumentation</t>
        </is>
      </c>
      <c r="E3905" s="12" t="inlineStr"/>
      <c r="F3905" s="12" t="inlineStr">
        <is>
          <t>BESS PCS / MV skid</t>
        </is>
      </c>
      <c r="G3905" s="12" t="inlineStr"/>
      <c r="H3905" s="12" t="inlineStr">
        <is>
          <t>BESS container (ISO 40 ft high cube)</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Tray</t>
        </is>
      </c>
      <c r="T3905" s="15" t="n">
        <v>0</v>
      </c>
      <c r="U3905" s="15" t="n">
        <v>200</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H-I-0069</t>
        </is>
      </c>
      <c r="B3906" s="12" t="inlineStr">
        <is>
          <t>H</t>
        </is>
      </c>
      <c r="C3906" s="12" t="inlineStr">
        <is>
          <t>BESS</t>
        </is>
      </c>
      <c r="D3906" s="12" t="inlineStr">
        <is>
          <t>Instrumentation</t>
        </is>
      </c>
      <c r="E3906" s="12" t="inlineStr"/>
      <c r="F3906" s="12" t="inlineStr">
        <is>
          <t>BESS PCS / MV skid</t>
        </is>
      </c>
      <c r="G3906" s="12" t="inlineStr"/>
      <c r="H3906" s="12" t="inlineStr">
        <is>
          <t>BESS container (ISO 40 ft high cube)</t>
        </is>
      </c>
      <c r="I3906" s="12" t="inlineStr">
        <is>
          <t>Instrumentation</t>
        </is>
      </c>
      <c r="J3906" s="12" t="inlineStr">
        <is>
          <t>Instrumentation PLTC / TC-ER 300 V, #18 twisted shielded pairs, overall shield</t>
        </is>
      </c>
      <c r="K3906" s="12" t="inlineStr">
        <is>
          <t>PLTC|4 pr|18</t>
        </is>
      </c>
      <c r="L3906" s="12" t="inlineStr">
        <is>
          <t>4 pr</t>
        </is>
      </c>
      <c r="M3906" s="12" t="inlineStr">
        <is>
          <t>18</t>
        </is>
      </c>
      <c r="N3906" s="12" t="n">
        <v>1</v>
      </c>
      <c r="O3906" s="12" t="n">
        <v>1</v>
      </c>
      <c r="P3906" s="12" t="n"/>
      <c r="Q3906" s="12" t="n"/>
      <c r="R3906" s="12" t="n"/>
      <c r="S3906" s="12" t="inlineStr">
        <is>
          <t>Tray</t>
        </is>
      </c>
      <c r="T3906" s="15" t="n">
        <v>0</v>
      </c>
      <c r="U3906" s="15" t="n">
        <v>200</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H-I-0070</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Tray</t>
        </is>
      </c>
      <c r="T3907" s="15" t="n">
        <v>0</v>
      </c>
      <c r="U3907" s="15" t="n">
        <v>168</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H-I-0071</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5" t="n">
        <v>0</v>
      </c>
      <c r="U3908" s="15" t="n">
        <v>168</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H-I-0072</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5" t="n">
        <v>10</v>
      </c>
      <c r="U3909" s="15" t="n">
        <v>266</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H-I-0073</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5" t="n">
        <v>0</v>
      </c>
      <c r="U3910" s="15" t="n">
        <v>276</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H-I-0074</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5" t="n">
        <v>0</v>
      </c>
      <c r="U3911" s="15" t="n">
        <v>316</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H-I-0075</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5" t="n">
        <v>0</v>
      </c>
      <c r="U3912" s="15" t="n">
        <v>316</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H-I-0076</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5" t="n">
        <v>0</v>
      </c>
      <c r="U3913" s="15" t="n">
        <v>284</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H-I-0077</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5" t="n">
        <v>0</v>
      </c>
      <c r="U3914" s="15" t="n">
        <v>284</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H-I-0078</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5" t="n">
        <v>0</v>
      </c>
      <c r="U3915" s="15" t="n">
        <v>290</v>
      </c>
      <c r="V3915" s="15">
        <f>ROUNDUP((T3915+U3915+2*'Read Me'!$B$13)*(1+'Read Me'!$B$12),-1)</f>
        <v/>
      </c>
      <c r="W3915" s="15">
        <f>V3915*N3915*O3915</f>
        <v/>
      </c>
      <c r="X3915" s="12">
        <f>IF(LEFT(I3915,2)="MV",2*N3915*IF(L3915="1/C",O3915,1),0)</f>
        <v/>
      </c>
      <c r="Y3915" s="12">
        <f>IF(OR(LEFT(K3915,4)="LVAX",LEFT(K3915,6)="MV15AX",LEFT(K3915,4)="CTAX",LEFT(K3915,2)="W|"),2*N3915*O3915,0)</f>
        <v/>
      </c>
      <c r="Z3915" s="12" t="inlineStr"/>
      <c r="AA3915" s="12">
        <f>N3915*O3915</f>
        <v/>
      </c>
    </row>
    <row r="3916">
      <c r="A3916" s="12" t="inlineStr">
        <is>
          <t>H-I-0079</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5" t="n">
        <v>0</v>
      </c>
      <c r="U3916" s="15" t="n">
        <v>290</v>
      </c>
      <c r="V3916" s="15">
        <f>ROUNDUP((T3916+U3916+2*'Read Me'!$B$13)*(1+'Read Me'!$B$12),-1)</f>
        <v/>
      </c>
      <c r="W3916" s="15">
        <f>V3916*N3916*O3916</f>
        <v/>
      </c>
      <c r="X3916" s="12">
        <f>IF(LEFT(I3916,2)="MV",2*N3916*IF(L3916="1/C",O3916,1),0)</f>
        <v/>
      </c>
      <c r="Y3916" s="12">
        <f>IF(OR(LEFT(K3916,4)="LVAX",LEFT(K3916,6)="MV15AX",LEFT(K3916,4)="CTAX",LEFT(K3916,2)="W|"),2*N3916*O3916,0)</f>
        <v/>
      </c>
      <c r="Z3916" s="12" t="inlineStr"/>
      <c r="AA3916" s="12">
        <f>N3916*O3916</f>
        <v/>
      </c>
    </row>
    <row r="3917">
      <c r="A3917" s="12" t="inlineStr">
        <is>
          <t>H-I-0080</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5" t="n">
        <v>0</v>
      </c>
      <c r="U3917" s="15" t="n">
        <v>290</v>
      </c>
      <c r="V3917" s="15">
        <f>ROUNDUP((T3917+U3917+2*'Read Me'!$B$13)*(1+'Read Me'!$B$12),-1)</f>
        <v/>
      </c>
      <c r="W3917" s="15">
        <f>V3917*N3917*O3917</f>
        <v/>
      </c>
      <c r="X3917" s="12">
        <f>IF(LEFT(I3917,2)="MV",2*N3917*IF(L3917="1/C",O3917,1),0)</f>
        <v/>
      </c>
      <c r="Y3917" s="12">
        <f>IF(OR(LEFT(K3917,4)="LVAX",LEFT(K3917,6)="MV15AX",LEFT(K3917,4)="CTAX",LEFT(K3917,2)="W|"),2*N3917*O3917,0)</f>
        <v/>
      </c>
      <c r="Z3917" s="12" t="inlineStr"/>
      <c r="AA3917" s="12">
        <f>N3917*O3917</f>
        <v/>
      </c>
    </row>
    <row r="3918">
      <c r="A3918" s="12" t="inlineStr">
        <is>
          <t>H-I-0081</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5" t="n">
        <v>0</v>
      </c>
      <c r="U3918" s="15" t="n">
        <v>290</v>
      </c>
      <c r="V3918" s="15">
        <f>ROUNDUP((T3918+U3918+2*'Read Me'!$B$13)*(1+'Read Me'!$B$12),-1)</f>
        <v/>
      </c>
      <c r="W3918" s="15">
        <f>V3918*N3918*O3918</f>
        <v/>
      </c>
      <c r="X3918" s="12">
        <f>IF(LEFT(I3918,2)="MV",2*N3918*IF(L3918="1/C",O3918,1),0)</f>
        <v/>
      </c>
      <c r="Y3918" s="12">
        <f>IF(OR(LEFT(K3918,4)="LVAX",LEFT(K3918,6)="MV15AX",LEFT(K3918,4)="CTAX",LEFT(K3918,2)="W|"),2*N3918*O3918,0)</f>
        <v/>
      </c>
      <c r="Z3918" s="12" t="inlineStr"/>
      <c r="AA3918" s="12">
        <f>N3918*O3918</f>
        <v/>
      </c>
    </row>
    <row r="3919">
      <c r="A3919" s="12" t="inlineStr">
        <is>
          <t>H-I-0082</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5" t="n">
        <v>0</v>
      </c>
      <c r="U3919" s="15" t="n">
        <v>290</v>
      </c>
      <c r="V3919" s="15">
        <f>ROUNDUP((T3919+U3919+2*'Read Me'!$B$13)*(1+'Read Me'!$B$12),-1)</f>
        <v/>
      </c>
      <c r="W3919" s="15">
        <f>V3919*N3919*O3919</f>
        <v/>
      </c>
      <c r="X3919" s="12">
        <f>IF(LEFT(I3919,2)="MV",2*N3919*IF(L3919="1/C",O3919,1),0)</f>
        <v/>
      </c>
      <c r="Y3919" s="12">
        <f>IF(OR(LEFT(K3919,4)="LVAX",LEFT(K3919,6)="MV15AX",LEFT(K3919,4)="CTAX",LEFT(K3919,2)="W|"),2*N3919*O3919,0)</f>
        <v/>
      </c>
      <c r="Z3919" s="12" t="inlineStr"/>
      <c r="AA3919" s="12">
        <f>N3919*O3919</f>
        <v/>
      </c>
    </row>
    <row r="3920">
      <c r="A3920" s="12" t="inlineStr">
        <is>
          <t>H-I-0083</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5" t="n">
        <v>0</v>
      </c>
      <c r="U3920" s="15" t="n">
        <v>290</v>
      </c>
      <c r="V3920" s="15">
        <f>ROUNDUP((T3920+U3920+2*'Read Me'!$B$13)*(1+'Read Me'!$B$12),-1)</f>
        <v/>
      </c>
      <c r="W3920" s="15">
        <f>V3920*N3920*O3920</f>
        <v/>
      </c>
      <c r="X3920" s="12">
        <f>IF(LEFT(I3920,2)="MV",2*N3920*IF(L3920="1/C",O3920,1),0)</f>
        <v/>
      </c>
      <c r="Y3920" s="12">
        <f>IF(OR(LEFT(K3920,4)="LVAX",LEFT(K3920,6)="MV15AX",LEFT(K3920,4)="CTAX",LEFT(K3920,2)="W|"),2*N3920*O3920,0)</f>
        <v/>
      </c>
      <c r="Z3920" s="12" t="inlineStr"/>
      <c r="AA3920" s="12">
        <f>N3920*O3920</f>
        <v/>
      </c>
    </row>
    <row r="3921">
      <c r="A3921" s="12" t="inlineStr">
        <is>
          <t>H-I-0084</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5" t="n">
        <v>0</v>
      </c>
      <c r="U3921" s="15" t="n">
        <v>174</v>
      </c>
      <c r="V3921" s="15">
        <f>ROUNDUP((T3921+U3921+2*'Read Me'!$B$13)*(1+'Read Me'!$B$12),-1)</f>
        <v/>
      </c>
      <c r="W3921" s="15">
        <f>V3921*N3921*O3921</f>
        <v/>
      </c>
      <c r="X3921" s="12">
        <f>IF(LEFT(I3921,2)="MV",2*N3921*IF(L3921="1/C",O3921,1),0)</f>
        <v/>
      </c>
      <c r="Y3921" s="12">
        <f>IF(OR(LEFT(K3921,4)="LVAX",LEFT(K3921,6)="MV15AX",LEFT(K3921,4)="CTAX",LEFT(K3921,2)="W|"),2*N3921*O3921,0)</f>
        <v/>
      </c>
      <c r="Z3921" s="12" t="inlineStr"/>
      <c r="AA3921" s="12">
        <f>N3921*O3921</f>
        <v/>
      </c>
    </row>
    <row r="3922">
      <c r="A3922" s="12" t="inlineStr">
        <is>
          <t>H-I-0085</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5" t="n">
        <v>0</v>
      </c>
      <c r="U3922" s="15" t="n">
        <v>174</v>
      </c>
      <c r="V3922" s="15">
        <f>ROUNDUP((T3922+U3922+2*'Read Me'!$B$13)*(1+'Read Me'!$B$12),-1)</f>
        <v/>
      </c>
      <c r="W3922" s="15">
        <f>V3922*N3922*O3922</f>
        <v/>
      </c>
      <c r="X3922" s="12">
        <f>IF(LEFT(I3922,2)="MV",2*N3922*IF(L3922="1/C",O3922,1),0)</f>
        <v/>
      </c>
      <c r="Y3922" s="12">
        <f>IF(OR(LEFT(K3922,4)="LVAX",LEFT(K3922,6)="MV15AX",LEFT(K3922,4)="CTAX",LEFT(K3922,2)="W|"),2*N3922*O3922,0)</f>
        <v/>
      </c>
      <c r="Z3922" s="12" t="inlineStr"/>
      <c r="AA3922" s="12">
        <f>N3922*O3922</f>
        <v/>
      </c>
    </row>
    <row r="3923">
      <c r="A3923" s="12" t="inlineStr">
        <is>
          <t>H-I-0086</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5" t="n">
        <v>0</v>
      </c>
      <c r="U3923" s="15" t="n">
        <v>174</v>
      </c>
      <c r="V3923" s="15">
        <f>ROUNDUP((T3923+U3923+2*'Read Me'!$B$13)*(1+'Read Me'!$B$12),-1)</f>
        <v/>
      </c>
      <c r="W3923" s="15">
        <f>V3923*N3923*O3923</f>
        <v/>
      </c>
      <c r="X3923" s="12">
        <f>IF(LEFT(I3923,2)="MV",2*N3923*IF(L3923="1/C",O3923,1),0)</f>
        <v/>
      </c>
      <c r="Y3923" s="12">
        <f>IF(OR(LEFT(K3923,4)="LVAX",LEFT(K3923,6)="MV15AX",LEFT(K3923,4)="CTAX",LEFT(K3923,2)="W|"),2*N3923*O3923,0)</f>
        <v/>
      </c>
      <c r="Z3923" s="12" t="inlineStr"/>
      <c r="AA3923" s="12">
        <f>N3923*O3923</f>
        <v/>
      </c>
    </row>
    <row r="3924">
      <c r="A3924" s="12" t="inlineStr">
        <is>
          <t>H-I-0087</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5" t="n">
        <v>0</v>
      </c>
      <c r="U3924" s="15" t="n">
        <v>174</v>
      </c>
      <c r="V3924" s="15">
        <f>ROUNDUP((T3924+U3924+2*'Read Me'!$B$13)*(1+'Read Me'!$B$12),-1)</f>
        <v/>
      </c>
      <c r="W3924" s="15">
        <f>V3924*N3924*O3924</f>
        <v/>
      </c>
      <c r="X3924" s="12">
        <f>IF(LEFT(I3924,2)="MV",2*N3924*IF(L3924="1/C",O3924,1),0)</f>
        <v/>
      </c>
      <c r="Y3924" s="12">
        <f>IF(OR(LEFT(K3924,4)="LVAX",LEFT(K3924,6)="MV15AX",LEFT(K3924,4)="CTAX",LEFT(K3924,2)="W|"),2*N3924*O3924,0)</f>
        <v/>
      </c>
      <c r="Z3924" s="12" t="inlineStr"/>
      <c r="AA3924" s="12">
        <f>N3924*O3924</f>
        <v/>
      </c>
    </row>
    <row r="3925">
      <c r="A3925" s="12" t="inlineStr">
        <is>
          <t>H-I-0088</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5" t="n">
        <v>0</v>
      </c>
      <c r="U3925" s="15" t="n">
        <v>174</v>
      </c>
      <c r="V3925" s="15">
        <f>ROUNDUP((T3925+U3925+2*'Read Me'!$B$13)*(1+'Read Me'!$B$12),-1)</f>
        <v/>
      </c>
      <c r="W3925" s="15">
        <f>V3925*N3925*O3925</f>
        <v/>
      </c>
      <c r="X3925" s="12">
        <f>IF(LEFT(I3925,2)="MV",2*N3925*IF(L3925="1/C",O3925,1),0)</f>
        <v/>
      </c>
      <c r="Y3925" s="12">
        <f>IF(OR(LEFT(K3925,4)="LVAX",LEFT(K3925,6)="MV15AX",LEFT(K3925,4)="CTAX",LEFT(K3925,2)="W|"),2*N3925*O3925,0)</f>
        <v/>
      </c>
      <c r="Z3925" s="12" t="inlineStr"/>
      <c r="AA3925" s="12">
        <f>N3925*O3925</f>
        <v/>
      </c>
    </row>
    <row r="3926">
      <c r="A3926" s="12" t="inlineStr">
        <is>
          <t>H-I-0089</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5" t="n">
        <v>0</v>
      </c>
      <c r="U3926" s="15" t="n">
        <v>174</v>
      </c>
      <c r="V3926" s="15">
        <f>ROUNDUP((T3926+U3926+2*'Read Me'!$B$13)*(1+'Read Me'!$B$12),-1)</f>
        <v/>
      </c>
      <c r="W3926" s="15">
        <f>V3926*N3926*O3926</f>
        <v/>
      </c>
      <c r="X3926" s="12">
        <f>IF(LEFT(I3926,2)="MV",2*N3926*IF(L3926="1/C",O3926,1),0)</f>
        <v/>
      </c>
      <c r="Y3926" s="12">
        <f>IF(OR(LEFT(K3926,4)="LVAX",LEFT(K3926,6)="MV15AX",LEFT(K3926,4)="CTAX",LEFT(K3926,2)="W|"),2*N3926*O3926,0)</f>
        <v/>
      </c>
      <c r="Z3926" s="12" t="inlineStr"/>
      <c r="AA3926" s="12">
        <f>N3926*O3926</f>
        <v/>
      </c>
    </row>
    <row r="3927">
      <c r="A3927" s="12" t="inlineStr">
        <is>
          <t>H-I-0090</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5" t="n">
        <v>0</v>
      </c>
      <c r="U3927" s="15" t="n">
        <v>62</v>
      </c>
      <c r="V3927" s="15">
        <f>ROUNDUP((T3927+U3927+2*'Read Me'!$B$13)*(1+'Read Me'!$B$12),-1)</f>
        <v/>
      </c>
      <c r="W3927" s="15">
        <f>V3927*N3927*O3927</f>
        <v/>
      </c>
      <c r="X3927" s="12">
        <f>IF(LEFT(I3927,2)="MV",2*N3927*IF(L3927="1/C",O3927,1),0)</f>
        <v/>
      </c>
      <c r="Y3927" s="12">
        <f>IF(OR(LEFT(K3927,4)="LVAX",LEFT(K3927,6)="MV15AX",LEFT(K3927,4)="CTAX",LEFT(K3927,2)="W|"),2*N3927*O3927,0)</f>
        <v/>
      </c>
      <c r="Z3927" s="12" t="inlineStr"/>
      <c r="AA3927" s="12">
        <f>N3927*O3927</f>
        <v/>
      </c>
    </row>
    <row r="3928">
      <c r="A3928" s="12" t="inlineStr">
        <is>
          <t>H-I-0091</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5" t="n">
        <v>0</v>
      </c>
      <c r="U3928" s="15" t="n">
        <v>62</v>
      </c>
      <c r="V3928" s="15">
        <f>ROUNDUP((T3928+U3928+2*'Read Me'!$B$13)*(1+'Read Me'!$B$12),-1)</f>
        <v/>
      </c>
      <c r="W3928" s="15">
        <f>V3928*N3928*O3928</f>
        <v/>
      </c>
      <c r="X3928" s="12">
        <f>IF(LEFT(I3928,2)="MV",2*N3928*IF(L3928="1/C",O3928,1),0)</f>
        <v/>
      </c>
      <c r="Y3928" s="12">
        <f>IF(OR(LEFT(K3928,4)="LVAX",LEFT(K3928,6)="MV15AX",LEFT(K3928,4)="CTAX",LEFT(K3928,2)="W|"),2*N3928*O3928,0)</f>
        <v/>
      </c>
      <c r="Z3928" s="12" t="inlineStr"/>
      <c r="AA3928" s="12">
        <f>N3928*O3928</f>
        <v/>
      </c>
    </row>
    <row r="3929">
      <c r="A3929" s="12" t="inlineStr">
        <is>
          <t>H-I-0092</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5" t="n">
        <v>0</v>
      </c>
      <c r="U3929" s="15" t="n">
        <v>62</v>
      </c>
      <c r="V3929" s="15">
        <f>ROUNDUP((T3929+U3929+2*'Read Me'!$B$13)*(1+'Read Me'!$B$12),-1)</f>
        <v/>
      </c>
      <c r="W3929" s="15">
        <f>V3929*N3929*O3929</f>
        <v/>
      </c>
      <c r="X3929" s="12">
        <f>IF(LEFT(I3929,2)="MV",2*N3929*IF(L3929="1/C",O3929,1),0)</f>
        <v/>
      </c>
      <c r="Y3929" s="12">
        <f>IF(OR(LEFT(K3929,4)="LVAX",LEFT(K3929,6)="MV15AX",LEFT(K3929,4)="CTAX",LEFT(K3929,2)="W|"),2*N3929*O3929,0)</f>
        <v/>
      </c>
      <c r="Z3929" s="12" t="inlineStr"/>
      <c r="AA3929" s="12">
        <f>N3929*O3929</f>
        <v/>
      </c>
    </row>
    <row r="3930">
      <c r="A3930" s="12" t="inlineStr">
        <is>
          <t>H-I-0093</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5" t="n">
        <v>0</v>
      </c>
      <c r="U3930" s="15" t="n">
        <v>62</v>
      </c>
      <c r="V3930" s="15">
        <f>ROUNDUP((T3930+U3930+2*'Read Me'!$B$13)*(1+'Read Me'!$B$12),-1)</f>
        <v/>
      </c>
      <c r="W3930" s="15">
        <f>V3930*N3930*O3930</f>
        <v/>
      </c>
      <c r="X3930" s="12">
        <f>IF(LEFT(I3930,2)="MV",2*N3930*IF(L3930="1/C",O3930,1),0)</f>
        <v/>
      </c>
      <c r="Y3930" s="12">
        <f>IF(OR(LEFT(K3930,4)="LVAX",LEFT(K3930,6)="MV15AX",LEFT(K3930,4)="CTAX",LEFT(K3930,2)="W|"),2*N3930*O3930,0)</f>
        <v/>
      </c>
      <c r="Z3930" s="12" t="inlineStr"/>
      <c r="AA3930" s="12">
        <f>N3930*O3930</f>
        <v/>
      </c>
    </row>
    <row r="3931">
      <c r="A3931" s="12" t="inlineStr">
        <is>
          <t>H-I-0094</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5" t="n">
        <v>0</v>
      </c>
      <c r="U3931" s="15" t="n">
        <v>62</v>
      </c>
      <c r="V3931" s="15">
        <f>ROUNDUP((T3931+U3931+2*'Read Me'!$B$13)*(1+'Read Me'!$B$12),-1)</f>
        <v/>
      </c>
      <c r="W3931" s="15">
        <f>V3931*N3931*O3931</f>
        <v/>
      </c>
      <c r="X3931" s="12">
        <f>IF(LEFT(I3931,2)="MV",2*N3931*IF(L3931="1/C",O3931,1),0)</f>
        <v/>
      </c>
      <c r="Y3931" s="12">
        <f>IF(OR(LEFT(K3931,4)="LVAX",LEFT(K3931,6)="MV15AX",LEFT(K3931,4)="CTAX",LEFT(K3931,2)="W|"),2*N3931*O3931,0)</f>
        <v/>
      </c>
      <c r="Z3931" s="12" t="inlineStr"/>
      <c r="AA3931" s="12">
        <f>N3931*O3931</f>
        <v/>
      </c>
    </row>
    <row r="3932">
      <c r="A3932" s="12" t="inlineStr">
        <is>
          <t>H-I-0095</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5" t="n">
        <v>0</v>
      </c>
      <c r="U3932" s="15" t="n">
        <v>62</v>
      </c>
      <c r="V3932" s="15">
        <f>ROUNDUP((T3932+U3932+2*'Read Me'!$B$13)*(1+'Read Me'!$B$12),-1)</f>
        <v/>
      </c>
      <c r="W3932" s="15">
        <f>V3932*N3932*O3932</f>
        <v/>
      </c>
      <c r="X3932" s="12">
        <f>IF(LEFT(I3932,2)="MV",2*N3932*IF(L3932="1/C",O3932,1),0)</f>
        <v/>
      </c>
      <c r="Y3932" s="12">
        <f>IF(OR(LEFT(K3932,4)="LVAX",LEFT(K3932,6)="MV15AX",LEFT(K3932,4)="CTAX",LEFT(K3932,2)="W|"),2*N3932*O3932,0)</f>
        <v/>
      </c>
      <c r="Z3932" s="12" t="inlineStr"/>
      <c r="AA3932" s="12">
        <f>N3932*O3932</f>
        <v/>
      </c>
    </row>
    <row r="3933">
      <c r="A3933" s="12" t="inlineStr">
        <is>
          <t>H-I-0096</t>
        </is>
      </c>
      <c r="B3933" s="12" t="inlineStr">
        <is>
          <t>H</t>
        </is>
      </c>
      <c r="C3933" s="12" t="inlineStr">
        <is>
          <t>BESS</t>
        </is>
      </c>
      <c r="D3933" s="12" t="inlineStr">
        <is>
          <t>Discrete device to JB JB-BESS container (IS-DI01: 8 x 1 pr (field cables)</t>
        </is>
      </c>
      <c r="E3933" s="12" t="inlineStr"/>
      <c r="F3933" s="12" t="inlineStr">
        <is>
          <t>BESS container (ISO 40 ft high cube)</t>
        </is>
      </c>
      <c r="G3933" s="12" t="inlineStr">
        <is>
          <t>JB-BESS container (IS-DI01</t>
        </is>
      </c>
      <c r="H3933" s="12" t="inlineStr">
        <is>
          <t>BESS container (ISO 40 ft high cube)</t>
        </is>
      </c>
      <c r="I3933" s="12" t="inlineStr">
        <is>
          <t>Instrumentation</t>
        </is>
      </c>
      <c r="J3933" s="12" t="inlineStr">
        <is>
          <t>Instrumentation PLTC / TC-ER 300 V, #18 twisted shielded pairs, overall shield</t>
        </is>
      </c>
      <c r="K3933" s="12" t="inlineStr">
        <is>
          <t>PLTC|1 pr|16</t>
        </is>
      </c>
      <c r="L3933" s="12" t="inlineStr">
        <is>
          <t>1 pr</t>
        </is>
      </c>
      <c r="M3933" s="12" t="inlineStr">
        <is>
          <t>16</t>
        </is>
      </c>
      <c r="N3933" s="12" t="n">
        <v>8</v>
      </c>
      <c r="O3933" s="12" t="n">
        <v>1</v>
      </c>
      <c r="P3933" s="12" t="n"/>
      <c r="Q3933" s="12" t="n"/>
      <c r="R3933" s="12" t="n"/>
      <c r="S3933" s="12" t="inlineStr">
        <is>
          <t>Tray / conduit</t>
        </is>
      </c>
      <c r="T3933" s="15" t="n">
        <v>53</v>
      </c>
      <c r="U3933" s="15" t="n">
        <v>10</v>
      </c>
      <c r="V3933" s="15">
        <f>ROUNDUP((T3933+U3933+2*'Read Me'!$B$13)*(1+'Read Me'!$B$12),-1)</f>
        <v/>
      </c>
      <c r="W3933" s="15">
        <f>V3933*N3933*O3933</f>
        <v/>
      </c>
      <c r="X3933" s="12">
        <f>IF(LEFT(I3933,2)="MV",2*N3933*IF(L3933="1/C",O3933,1),0)</f>
        <v/>
      </c>
      <c r="Y3933" s="12">
        <f>IF(OR(LEFT(K3933,4)="LVAX",LEFT(K3933,6)="MV15AX",LEFT(K3933,4)="CTAX",LEFT(K3933,2)="W|"),2*N3933*O3933,0)</f>
        <v/>
      </c>
      <c r="Z3933" s="12" t="inlineStr">
        <is>
          <t>device-to-JB field wiring, one cable per device</t>
        </is>
      </c>
      <c r="AA3933" s="12">
        <f>N3933*O3933</f>
        <v/>
      </c>
    </row>
    <row r="3934">
      <c r="A3934" s="12" t="inlineStr">
        <is>
          <t>H-I-0097</t>
        </is>
      </c>
      <c r="B3934" s="12" t="inlineStr">
        <is>
          <t>H</t>
        </is>
      </c>
      <c r="C3934" s="12" t="inlineStr">
        <is>
          <t>BESS</t>
        </is>
      </c>
      <c r="D3934" s="12" t="inlineStr">
        <is>
          <t>Home run JB-BESS container (IS-DI01 to the control / marshalling room</t>
        </is>
      </c>
      <c r="E3934" s="12" t="inlineStr"/>
      <c r="F3934" s="12" t="inlineStr">
        <is>
          <t>BESS EMS / SCADA and revenue metering</t>
        </is>
      </c>
      <c r="G3934" s="12" t="inlineStr">
        <is>
          <t>JB-BESS container (IS-DI01</t>
        </is>
      </c>
      <c r="H3934" s="12" t="inlineStr">
        <is>
          <t>BESS container (ISO 40 ft high cube)</t>
        </is>
      </c>
      <c r="I3934" s="12" t="inlineStr">
        <is>
          <t>Instrumentation</t>
        </is>
      </c>
      <c r="J3934" s="12" t="inlineStr">
        <is>
          <t>Instrumentation PLTC / TC-ER 300 V, #18 twisted shielded pairs, overall shield</t>
        </is>
      </c>
      <c r="K3934" s="12" t="inlineStr">
        <is>
          <t>PLTC|24 pr|18</t>
        </is>
      </c>
      <c r="L3934" s="12" t="inlineStr">
        <is>
          <t>24 pr</t>
        </is>
      </c>
      <c r="M3934" s="12" t="inlineStr">
        <is>
          <t>18</t>
        </is>
      </c>
      <c r="N3934" s="12" t="n">
        <v>1</v>
      </c>
      <c r="O3934" s="12" t="n">
        <v>1</v>
      </c>
      <c r="P3934" s="12" t="n"/>
      <c r="Q3934" s="12" t="n"/>
      <c r="R3934" s="12" t="n"/>
      <c r="S3934" s="12" t="inlineStr">
        <is>
          <t>Duct bank</t>
        </is>
      </c>
      <c r="T3934" s="15" t="n">
        <v>300</v>
      </c>
      <c r="U3934" s="15" t="n">
        <v>89</v>
      </c>
      <c r="V3934" s="15">
        <f>ROUNDUP((T3934+U3934+2*'Read Me'!$B$13)*(1+'Read Me'!$B$12),-1)</f>
        <v/>
      </c>
      <c r="W3934" s="15">
        <f>V3934*N3934*O3934</f>
        <v/>
      </c>
      <c r="X3934" s="12">
        <f>IF(LEFT(I3934,2)="MV",2*N3934*IF(L3934="1/C",O3934,1),0)</f>
        <v/>
      </c>
      <c r="Y3934" s="12">
        <f>IF(OR(LEFT(K3934,4)="LVAX",LEFT(K3934,6)="MV15AX",LEFT(K3934,4)="CTAX",LEFT(K3934,2)="W|"),2*N3934*O3934,0)</f>
        <v/>
      </c>
      <c r="Z3934" s="12" t="inlineStr"/>
      <c r="AA3934" s="12">
        <f>N3934*O3934</f>
        <v/>
      </c>
    </row>
    <row r="3935">
      <c r="A3935" s="12" t="inlineStr">
        <is>
          <t>H-I-0098</t>
        </is>
      </c>
      <c r="B3935" s="12" t="inlineStr">
        <is>
          <t>H</t>
        </is>
      </c>
      <c r="C3935" s="12" t="inlineStr">
        <is>
          <t>BESS</t>
        </is>
      </c>
      <c r="D3935" s="12" t="inlineStr">
        <is>
          <t>Discrete device to JB JB-BESS container (IS-DI01: 8 x 1 pr (field cables)</t>
        </is>
      </c>
      <c r="E3935" s="12" t="inlineStr"/>
      <c r="F3935" s="12" t="inlineStr">
        <is>
          <t>BESS container (ISO 40 ft high cube)</t>
        </is>
      </c>
      <c r="G3935" s="12" t="inlineStr">
        <is>
          <t>JB-BESS container (IS-DI01</t>
        </is>
      </c>
      <c r="H3935" s="12" t="inlineStr">
        <is>
          <t>BESS container (ISO 40 ft high cube)</t>
        </is>
      </c>
      <c r="I3935" s="12" t="inlineStr">
        <is>
          <t>Instrumentation</t>
        </is>
      </c>
      <c r="J3935" s="12" t="inlineStr">
        <is>
          <t>Instrumentation PLTC / TC-ER 300 V, #18 twisted shielded pairs, overall shield</t>
        </is>
      </c>
      <c r="K3935" s="12" t="inlineStr">
        <is>
          <t>PLTC|1 pr|16</t>
        </is>
      </c>
      <c r="L3935" s="12" t="inlineStr">
        <is>
          <t>1 pr</t>
        </is>
      </c>
      <c r="M3935" s="12" t="inlineStr">
        <is>
          <t>16</t>
        </is>
      </c>
      <c r="N3935" s="12" t="n">
        <v>8</v>
      </c>
      <c r="O3935" s="12" t="n">
        <v>1</v>
      </c>
      <c r="P3935" s="12" t="n"/>
      <c r="Q3935" s="12" t="n"/>
      <c r="R3935" s="12" t="n"/>
      <c r="S3935" s="12" t="inlineStr">
        <is>
          <t>Tray / conduit</t>
        </is>
      </c>
      <c r="T3935" s="15" t="n">
        <v>53</v>
      </c>
      <c r="U3935" s="15" t="n">
        <v>10</v>
      </c>
      <c r="V3935" s="15">
        <f>ROUNDUP((T3935+U3935+2*'Read Me'!$B$13)*(1+'Read Me'!$B$12),-1)</f>
        <v/>
      </c>
      <c r="W3935" s="15">
        <f>V3935*N3935*O3935</f>
        <v/>
      </c>
      <c r="X3935" s="12">
        <f>IF(LEFT(I3935,2)="MV",2*N3935*IF(L3935="1/C",O3935,1),0)</f>
        <v/>
      </c>
      <c r="Y3935" s="12">
        <f>IF(OR(LEFT(K3935,4)="LVAX",LEFT(K3935,6)="MV15AX",LEFT(K3935,4)="CTAX",LEFT(K3935,2)="W|"),2*N3935*O3935,0)</f>
        <v/>
      </c>
      <c r="Z3935" s="12" t="inlineStr">
        <is>
          <t>device-to-JB field wiring, one cable per device</t>
        </is>
      </c>
      <c r="AA3935" s="12">
        <f>N3935*O3935</f>
        <v/>
      </c>
    </row>
    <row r="3936">
      <c r="A3936" s="12" t="inlineStr">
        <is>
          <t>H-I-0099</t>
        </is>
      </c>
      <c r="B3936" s="12" t="inlineStr">
        <is>
          <t>H</t>
        </is>
      </c>
      <c r="C3936" s="12" t="inlineStr">
        <is>
          <t>BESS</t>
        </is>
      </c>
      <c r="D3936" s="12" t="inlineStr">
        <is>
          <t>Home run JB-BESS container (IS-DI01 to the control / marshalling room</t>
        </is>
      </c>
      <c r="E3936" s="12" t="inlineStr"/>
      <c r="F3936" s="12" t="inlineStr">
        <is>
          <t>BESS EMS / SCADA and revenue metering</t>
        </is>
      </c>
      <c r="G3936" s="12" t="inlineStr">
        <is>
          <t>JB-BESS container (IS-DI01</t>
        </is>
      </c>
      <c r="H3936" s="12" t="inlineStr">
        <is>
          <t>BESS container (ISO 40 ft high cube)</t>
        </is>
      </c>
      <c r="I3936" s="12" t="inlineStr">
        <is>
          <t>Instrumentation</t>
        </is>
      </c>
      <c r="J3936" s="12" t="inlineStr">
        <is>
          <t>Instrumentation PLTC / TC-ER 300 V, #18 twisted shielded pairs, overall shield</t>
        </is>
      </c>
      <c r="K3936" s="12" t="inlineStr">
        <is>
          <t>PLTC|24 pr|18</t>
        </is>
      </c>
      <c r="L3936" s="12" t="inlineStr">
        <is>
          <t>24 pr</t>
        </is>
      </c>
      <c r="M3936" s="12" t="inlineStr">
        <is>
          <t>18</t>
        </is>
      </c>
      <c r="N3936" s="12" t="n">
        <v>1</v>
      </c>
      <c r="O3936" s="12" t="n">
        <v>1</v>
      </c>
      <c r="P3936" s="12" t="n"/>
      <c r="Q3936" s="12" t="n"/>
      <c r="R3936" s="12" t="n"/>
      <c r="S3936" s="12" t="inlineStr">
        <is>
          <t>Duct bank</t>
        </is>
      </c>
      <c r="T3936" s="15" t="n">
        <v>160</v>
      </c>
      <c r="U3936" s="15" t="n">
        <v>169</v>
      </c>
      <c r="V3936" s="15">
        <f>ROUNDUP((T3936+U3936+2*'Read Me'!$B$13)*(1+'Read Me'!$B$12),-1)</f>
        <v/>
      </c>
      <c r="W3936" s="15">
        <f>V3936*N3936*O3936</f>
        <v/>
      </c>
      <c r="X3936" s="12">
        <f>IF(LEFT(I3936,2)="MV",2*N3936*IF(L3936="1/C",O3936,1),0)</f>
        <v/>
      </c>
      <c r="Y3936" s="12">
        <f>IF(OR(LEFT(K3936,4)="LVAX",LEFT(K3936,6)="MV15AX",LEFT(K3936,4)="CTAX",LEFT(K3936,2)="W|"),2*N3936*O3936,0)</f>
        <v/>
      </c>
      <c r="Z3936" s="12" t="inlineStr"/>
      <c r="AA3936" s="12">
        <f>N3936*O3936</f>
        <v/>
      </c>
    </row>
    <row r="3937">
      <c r="A3937" s="12" t="inlineStr">
        <is>
          <t>H-I-0100</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5" t="n">
        <v>53</v>
      </c>
      <c r="U3937" s="15" t="n">
        <v>10</v>
      </c>
      <c r="V3937" s="15">
        <f>ROUNDUP((T3937+U3937+2*'Read Me'!$B$13)*(1+'Read Me'!$B$12),-1)</f>
        <v/>
      </c>
      <c r="W3937" s="15">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H-I-0101</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5" t="n">
        <v>160</v>
      </c>
      <c r="U3938" s="15" t="n">
        <v>109</v>
      </c>
      <c r="V3938" s="15">
        <f>ROUNDUP((T3938+U3938+2*'Read Me'!$B$13)*(1+'Read Me'!$B$12),-1)</f>
        <v/>
      </c>
      <c r="W3938" s="15">
        <f>V3938*N3938*O3938</f>
        <v/>
      </c>
      <c r="X3938" s="12">
        <f>IF(LEFT(I3938,2)="MV",2*N3938*IF(L3938="1/C",O3938,1),0)</f>
        <v/>
      </c>
      <c r="Y3938" s="12">
        <f>IF(OR(LEFT(K3938,4)="LVAX",LEFT(K3938,6)="MV15AX",LEFT(K3938,4)="CTAX",LEFT(K3938,2)="W|"),2*N3938*O3938,0)</f>
        <v/>
      </c>
      <c r="Z3938" s="12" t="inlineStr"/>
      <c r="AA3938" s="12">
        <f>N3938*O3938</f>
        <v/>
      </c>
    </row>
    <row r="3939">
      <c r="A3939" s="12" t="inlineStr">
        <is>
          <t>H-I-0102</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5" t="n">
        <v>53</v>
      </c>
      <c r="U3939" s="15" t="n">
        <v>10</v>
      </c>
      <c r="V3939" s="15">
        <f>ROUNDUP((T3939+U3939+2*'Read Me'!$B$13)*(1+'Read Me'!$B$12),-1)</f>
        <v/>
      </c>
      <c r="W3939" s="15">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H-I-0103</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5" t="n">
        <v>70</v>
      </c>
      <c r="U3940" s="15" t="n">
        <v>139</v>
      </c>
      <c r="V3940" s="15">
        <f>ROUNDUP((T3940+U3940+2*'Read Me'!$B$13)*(1+'Read Me'!$B$12),-1)</f>
        <v/>
      </c>
      <c r="W3940" s="15">
        <f>V3940*N3940*O3940</f>
        <v/>
      </c>
      <c r="X3940" s="12">
        <f>IF(LEFT(I3940,2)="MV",2*N3940*IF(L3940="1/C",O3940,1),0)</f>
        <v/>
      </c>
      <c r="Y3940" s="12">
        <f>IF(OR(LEFT(K3940,4)="LVAX",LEFT(K3940,6)="MV15AX",LEFT(K3940,4)="CTAX",LEFT(K3940,2)="W|"),2*N3940*O3940,0)</f>
        <v/>
      </c>
      <c r="Z3940" s="12" t="inlineStr"/>
      <c r="AA3940" s="12">
        <f>N3940*O3940</f>
        <v/>
      </c>
    </row>
    <row r="3941">
      <c r="A3941" s="12" t="inlineStr">
        <is>
          <t>H-I-0104</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5" t="n">
        <v>53</v>
      </c>
      <c r="U3941" s="15" t="n">
        <v>10</v>
      </c>
      <c r="V3941" s="15">
        <f>ROUNDUP((T3941+U3941+2*'Read Me'!$B$13)*(1+'Read Me'!$B$12),-1)</f>
        <v/>
      </c>
      <c r="W3941" s="15">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H-I-0105</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5" t="n">
        <v>30</v>
      </c>
      <c r="U3942" s="15" t="n">
        <v>93</v>
      </c>
      <c r="V3942" s="15">
        <f>ROUNDUP((T3942+U3942+2*'Read Me'!$B$13)*(1+'Read Me'!$B$12),-1)</f>
        <v/>
      </c>
      <c r="W3942" s="15">
        <f>V3942*N3942*O3942</f>
        <v/>
      </c>
      <c r="X3942" s="12">
        <f>IF(LEFT(I3942,2)="MV",2*N3942*IF(L3942="1/C",O3942,1),0)</f>
        <v/>
      </c>
      <c r="Y3942" s="12">
        <f>IF(OR(LEFT(K3942,4)="LVAX",LEFT(K3942,6)="MV15AX",LEFT(K3942,4)="CTAX",LEFT(K3942,2)="W|"),2*N3942*O3942,0)</f>
        <v/>
      </c>
      <c r="Z3942" s="12" t="inlineStr"/>
      <c r="AA3942" s="12">
        <f>N3942*O3942</f>
        <v/>
      </c>
    </row>
    <row r="3943">
      <c r="A3943" s="12" t="inlineStr">
        <is>
          <t>H-I-0106</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5" t="n">
        <v>53</v>
      </c>
      <c r="U3943" s="15" t="n">
        <v>10</v>
      </c>
      <c r="V3943" s="15">
        <f>ROUNDUP((T3943+U3943+2*'Read Me'!$B$13)*(1+'Read Me'!$B$12),-1)</f>
        <v/>
      </c>
      <c r="W3943" s="15">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H-I-0107</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Tray</t>
        </is>
      </c>
      <c r="T3944" s="15" t="n">
        <v>0</v>
      </c>
      <c r="U3944" s="15" t="n">
        <v>83</v>
      </c>
      <c r="V3944" s="15">
        <f>ROUNDUP((T3944+U3944+2*'Read Me'!$B$13)*(1+'Read Me'!$B$12),-1)</f>
        <v/>
      </c>
      <c r="W3944" s="15">
        <f>V3944*N3944*O3944</f>
        <v/>
      </c>
      <c r="X3944" s="12">
        <f>IF(LEFT(I3944,2)="MV",2*N3944*IF(L3944="1/C",O3944,1),0)</f>
        <v/>
      </c>
      <c r="Y3944" s="12">
        <f>IF(OR(LEFT(K3944,4)="LVAX",LEFT(K3944,6)="MV15AX",LEFT(K3944,4)="CTAX",LEFT(K3944,2)="W|"),2*N3944*O3944,0)</f>
        <v/>
      </c>
      <c r="Z3944" s="12" t="inlineStr"/>
      <c r="AA3944" s="12">
        <f>N3944*O3944</f>
        <v/>
      </c>
    </row>
    <row r="3945">
      <c r="A3945" s="12" t="inlineStr">
        <is>
          <t>H-I-0108</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5" t="n">
        <v>53</v>
      </c>
      <c r="U3945" s="15" t="n">
        <v>10</v>
      </c>
      <c r="V3945" s="15">
        <f>ROUNDUP((T3945+U3945+2*'Read Me'!$B$13)*(1+'Read Me'!$B$12),-1)</f>
        <v/>
      </c>
      <c r="W3945" s="15">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H-I-0109</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5" t="n">
        <v>300</v>
      </c>
      <c r="U3946" s="15" t="n">
        <v>147</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H-I-0110</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5" t="n">
        <v>53</v>
      </c>
      <c r="U3947" s="15" t="n">
        <v>10</v>
      </c>
      <c r="V3947" s="15">
        <f>ROUNDUP((T3947+U3947+2*'Read Me'!$B$13)*(1+'Read Me'!$B$12),-1)</f>
        <v/>
      </c>
      <c r="W3947" s="15">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H-I-0111</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5" t="n">
        <v>160</v>
      </c>
      <c r="U3948" s="15" t="n">
        <v>227</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H-I-0112</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5" t="n">
        <v>53</v>
      </c>
      <c r="U3949" s="15" t="n">
        <v>10</v>
      </c>
      <c r="V3949" s="15">
        <f>ROUNDUP((T3949+U3949+2*'Read Me'!$B$13)*(1+'Read Me'!$B$12),-1)</f>
        <v/>
      </c>
      <c r="W3949" s="15">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H-I-0113</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5" t="n">
        <v>160</v>
      </c>
      <c r="U3950" s="15" t="n">
        <v>167</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H-I-0114</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5" t="n">
        <v>53</v>
      </c>
      <c r="U3951" s="15" t="n">
        <v>10</v>
      </c>
      <c r="V3951" s="15">
        <f>ROUNDUP((T3951+U3951+2*'Read Me'!$B$13)*(1+'Read Me'!$B$12),-1)</f>
        <v/>
      </c>
      <c r="W3951" s="15">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H-I-0115</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5" t="n">
        <v>30</v>
      </c>
      <c r="U3952" s="15" t="n">
        <v>211</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H-I-0116</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5" t="n">
        <v>53</v>
      </c>
      <c r="U3953" s="15" t="n">
        <v>10</v>
      </c>
      <c r="V3953" s="15">
        <f>ROUNDUP((T3953+U3953+2*'Read Me'!$B$13)*(1+'Read Me'!$B$12),-1)</f>
        <v/>
      </c>
      <c r="W3953" s="15">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H-I-0117</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5" t="n">
        <v>30</v>
      </c>
      <c r="U3954" s="15" t="n">
        <v>151</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H-I-0118</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5" t="n">
        <v>53</v>
      </c>
      <c r="U3955" s="15" t="n">
        <v>10</v>
      </c>
      <c r="V3955" s="15">
        <f>ROUNDUP((T3955+U3955+2*'Read Me'!$B$13)*(1+'Read Me'!$B$12),-1)</f>
        <v/>
      </c>
      <c r="W3955" s="15">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H-I-0119</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Tray</t>
        </is>
      </c>
      <c r="T3956" s="15" t="n">
        <v>0</v>
      </c>
      <c r="U3956" s="15" t="n">
        <v>141</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H-I-0120</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5" t="n">
        <v>53</v>
      </c>
      <c r="U3957" s="15" t="n">
        <v>10</v>
      </c>
      <c r="V3957" s="15">
        <f>ROUNDUP((T3957+U3957+2*'Read Me'!$B$13)*(1+'Read Me'!$B$12),-1)</f>
        <v/>
      </c>
      <c r="W3957" s="15">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H-I-0121</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5" t="n">
        <v>300</v>
      </c>
      <c r="U3958" s="15" t="n">
        <v>205</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H-I-0122</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5" t="n">
        <v>53</v>
      </c>
      <c r="U3959" s="15" t="n">
        <v>10</v>
      </c>
      <c r="V3959" s="15">
        <f>ROUNDUP((T3959+U3959+2*'Read Me'!$B$13)*(1+'Read Me'!$B$12),-1)</f>
        <v/>
      </c>
      <c r="W3959" s="15">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H-I-0123</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5" t="n">
        <v>300</v>
      </c>
      <c r="U3960" s="15" t="n">
        <v>205</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H-I-0124</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5" t="n">
        <v>53</v>
      </c>
      <c r="U3961" s="15" t="n">
        <v>10</v>
      </c>
      <c r="V3961" s="15">
        <f>ROUNDUP((T3961+U3961+2*'Read Me'!$B$13)*(1+'Read Me'!$B$12),-1)</f>
        <v/>
      </c>
      <c r="W3961" s="15">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H-I-0125</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5" t="n">
        <v>160</v>
      </c>
      <c r="U3962" s="15" t="n">
        <v>225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H-I-0126</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5" t="n">
        <v>53</v>
      </c>
      <c r="U3963" s="15" t="n">
        <v>10</v>
      </c>
      <c r="V3963" s="15">
        <f>ROUNDUP((T3963+U3963+2*'Read Me'!$B$13)*(1+'Read Me'!$B$12),-1)</f>
        <v/>
      </c>
      <c r="W3963" s="15">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H-I-0127</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H-I-0128</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5" t="n">
        <v>53</v>
      </c>
      <c r="U3965" s="15" t="n">
        <v>10</v>
      </c>
      <c r="V3965" s="15">
        <f>ROUNDUP((T3965+U3965+2*'Read Me'!$B$13)*(1+'Read Me'!$B$12),-1)</f>
        <v/>
      </c>
      <c r="W3965" s="15">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H-I-0129</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5" t="n">
        <v>30</v>
      </c>
      <c r="U3966" s="15" t="n">
        <v>209</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H-I-0130</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5" t="n">
        <v>53</v>
      </c>
      <c r="U3967" s="15" t="n">
        <v>10</v>
      </c>
      <c r="V3967" s="15">
        <f>ROUNDUP((T3967+U3967+2*'Read Me'!$B$13)*(1+'Read Me'!$B$12),-1)</f>
        <v/>
      </c>
      <c r="W3967" s="15">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H-I-0131</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5" t="n">
        <v>336</v>
      </c>
      <c r="U3968" s="15" t="n">
        <v>173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H-I-0132</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5" t="n">
        <v>53</v>
      </c>
      <c r="U3969" s="15" t="n">
        <v>10</v>
      </c>
      <c r="V3969" s="15">
        <f>ROUNDUP((T3969+U3969+2*'Read Me'!$B$13)*(1+'Read Me'!$B$12),-1)</f>
        <v/>
      </c>
      <c r="W3969" s="15">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H-I-0133</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5" t="n">
        <v>340</v>
      </c>
      <c r="U3970" s="15" t="n">
        <v>253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H-I-0134</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5" t="n">
        <v>53</v>
      </c>
      <c r="U3971" s="15" t="n">
        <v>10</v>
      </c>
      <c r="V3971" s="15">
        <f>ROUNDUP((T3971+U3971+2*'Read Me'!$B$13)*(1+'Read Me'!$B$12),-1)</f>
        <v/>
      </c>
      <c r="W3971" s="15">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H-I-0135</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5" t="n">
        <v>300</v>
      </c>
      <c r="U3972" s="15" t="n">
        <v>263</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H-I-0136</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5" t="n">
        <v>53</v>
      </c>
      <c r="U3973" s="15" t="n">
        <v>10</v>
      </c>
      <c r="V3973" s="15">
        <f>ROUNDUP((T3973+U3973+2*'Read Me'!$B$13)*(1+'Read Me'!$B$12),-1)</f>
        <v/>
      </c>
      <c r="W3973" s="15">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H-I-0137</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5" t="n">
        <v>160</v>
      </c>
      <c r="U3974" s="15" t="n">
        <v>283</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H-I-0138</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5" t="n">
        <v>53</v>
      </c>
      <c r="U3975" s="15" t="n">
        <v>10</v>
      </c>
      <c r="V3975" s="15">
        <f>ROUNDUP((T3975+U3975+2*'Read Me'!$B$13)*(1+'Read Me'!$B$12),-1)</f>
        <v/>
      </c>
      <c r="W3975" s="15">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H-I-0139</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5" t="n">
        <v>160</v>
      </c>
      <c r="U3976" s="15" t="n">
        <v>283</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H-I-0140</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5" t="n">
        <v>53</v>
      </c>
      <c r="U3977" s="15" t="n">
        <v>10</v>
      </c>
      <c r="V3977" s="15">
        <f>ROUNDUP((T3977+U3977+2*'Read Me'!$B$13)*(1+'Read Me'!$B$12),-1)</f>
        <v/>
      </c>
      <c r="W3977" s="15">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H-I-0141</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5" t="n">
        <v>336</v>
      </c>
      <c r="U3978" s="15" t="n">
        <v>115</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H-I-0142</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5" t="n">
        <v>53</v>
      </c>
      <c r="U3979" s="15" t="n">
        <v>10</v>
      </c>
      <c r="V3979" s="15">
        <f>ROUNDUP((T3979+U3979+2*'Read Me'!$B$13)*(1+'Read Me'!$B$12),-1)</f>
        <v/>
      </c>
      <c r="W3979" s="15">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H-I-0143</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5" t="n">
        <v>336</v>
      </c>
      <c r="U3980" s="15" t="n">
        <v>115</v>
      </c>
      <c r="V3980" s="15">
        <f>ROUNDUP((T3980+U3980+2*'Read Me'!$B$13)*(1+'Read Me'!$B$12),-1)</f>
        <v/>
      </c>
      <c r="W3980" s="15">
        <f>V3980*N3980*O3980</f>
        <v/>
      </c>
      <c r="X3980" s="12">
        <f>IF(LEFT(I3980,2)="MV",2*N3980*IF(L3980="1/C",O3980,1),0)</f>
        <v/>
      </c>
      <c r="Y3980" s="12">
        <f>IF(OR(LEFT(K3980,4)="LVAX",LEFT(K3980,6)="MV15AX",LEFT(K3980,4)="CTAX",LEFT(K3980,2)="W|"),2*N3980*O3980,0)</f>
        <v/>
      </c>
      <c r="Z3980" s="12" t="inlineStr"/>
      <c r="AA3980" s="12">
        <f>N3980*O3980</f>
        <v/>
      </c>
    </row>
    <row r="3981">
      <c r="A3981" s="12" t="inlineStr">
        <is>
          <t>H-I-0144</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5" t="n">
        <v>53</v>
      </c>
      <c r="U3981" s="15" t="n">
        <v>10</v>
      </c>
      <c r="V3981" s="15">
        <f>ROUNDUP((T3981+U3981+2*'Read Me'!$B$13)*(1+'Read Me'!$B$12),-1)</f>
        <v/>
      </c>
      <c r="W3981" s="15">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H-I-0145</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5" t="n">
        <v>602</v>
      </c>
      <c r="U3982" s="15" t="n">
        <v>57</v>
      </c>
      <c r="V3982" s="15">
        <f>ROUNDUP((T3982+U3982+2*'Read Me'!$B$13)*(1+'Read Me'!$B$12),-1)</f>
        <v/>
      </c>
      <c r="W3982" s="15">
        <f>V3982*N3982*O3982</f>
        <v/>
      </c>
      <c r="X3982" s="12">
        <f>IF(LEFT(I3982,2)="MV",2*N3982*IF(L3982="1/C",O3982,1),0)</f>
        <v/>
      </c>
      <c r="Y3982" s="12">
        <f>IF(OR(LEFT(K3982,4)="LVAX",LEFT(K3982,6)="MV15AX",LEFT(K3982,4)="CTAX",LEFT(K3982,2)="W|"),2*N3982*O3982,0)</f>
        <v/>
      </c>
      <c r="Z3982" s="12" t="inlineStr"/>
      <c r="AA3982" s="12">
        <f>N3982*O3982</f>
        <v/>
      </c>
    </row>
    <row r="3983">
      <c r="A3983" s="12" t="inlineStr">
        <is>
          <t>H-I-0146</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5" t="n">
        <v>53</v>
      </c>
      <c r="U3983" s="15" t="n">
        <v>10</v>
      </c>
      <c r="V3983" s="15">
        <f>ROUNDUP((T3983+U3983+2*'Read Me'!$B$13)*(1+'Read Me'!$B$12),-1)</f>
        <v/>
      </c>
      <c r="W3983" s="15">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H-I-0147</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5" t="n">
        <v>482</v>
      </c>
      <c r="U3984" s="15" t="n">
        <v>117</v>
      </c>
      <c r="V3984" s="15">
        <f>ROUNDUP((T3984+U3984+2*'Read Me'!$B$13)*(1+'Read Me'!$B$12),-1)</f>
        <v/>
      </c>
      <c r="W3984" s="15">
        <f>V3984*N3984*O3984</f>
        <v/>
      </c>
      <c r="X3984" s="12">
        <f>IF(LEFT(I3984,2)="MV",2*N3984*IF(L3984="1/C",O3984,1),0)</f>
        <v/>
      </c>
      <c r="Y3984" s="12">
        <f>IF(OR(LEFT(K3984,4)="LVAX",LEFT(K3984,6)="MV15AX",LEFT(K3984,4)="CTAX",LEFT(K3984,2)="W|"),2*N3984*O3984,0)</f>
        <v/>
      </c>
      <c r="Z3984" s="12" t="inlineStr"/>
      <c r="AA3984" s="12">
        <f>N3984*O3984</f>
        <v/>
      </c>
    </row>
    <row r="3985">
      <c r="A3985" s="12" t="inlineStr">
        <is>
          <t>H-I-0148</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5" t="n">
        <v>53</v>
      </c>
      <c r="U3985" s="15" t="n">
        <v>10</v>
      </c>
      <c r="V3985" s="15">
        <f>ROUNDUP((T3985+U3985+2*'Read Me'!$B$13)*(1+'Read Me'!$B$12),-1)</f>
        <v/>
      </c>
      <c r="W3985" s="15">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H-I-0149</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5" t="n">
        <v>336</v>
      </c>
      <c r="U3986" s="15" t="n">
        <v>177</v>
      </c>
      <c r="V3986" s="15">
        <f>ROUNDUP((T3986+U3986+2*'Read Me'!$B$13)*(1+'Read Me'!$B$12),-1)</f>
        <v/>
      </c>
      <c r="W3986" s="15">
        <f>V3986*N3986*O3986</f>
        <v/>
      </c>
      <c r="X3986" s="12">
        <f>IF(LEFT(I3986,2)="MV",2*N3986*IF(L3986="1/C",O3986,1),0)</f>
        <v/>
      </c>
      <c r="Y3986" s="12">
        <f>IF(OR(LEFT(K3986,4)="LVAX",LEFT(K3986,6)="MV15AX",LEFT(K3986,4)="CTAX",LEFT(K3986,2)="W|"),2*N3986*O3986,0)</f>
        <v/>
      </c>
      <c r="Z3986" s="12" t="inlineStr"/>
      <c r="AA3986" s="12">
        <f>N3986*O3986</f>
        <v/>
      </c>
    </row>
    <row r="3987">
      <c r="A3987" s="12" t="inlineStr">
        <is>
          <t>H-I-0150</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5" t="n">
        <v>53</v>
      </c>
      <c r="U3987" s="15" t="n">
        <v>10</v>
      </c>
      <c r="V3987" s="15">
        <f>ROUNDUP((T3987+U3987+2*'Read Me'!$B$13)*(1+'Read Me'!$B$12),-1)</f>
        <v/>
      </c>
      <c r="W3987" s="15">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H-I-0151</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5" t="n">
        <v>336</v>
      </c>
      <c r="U3988" s="15" t="n">
        <v>117</v>
      </c>
      <c r="V3988" s="15">
        <f>ROUNDUP((T3988+U3988+2*'Read Me'!$B$13)*(1+'Read Me'!$B$12),-1)</f>
        <v/>
      </c>
      <c r="W3988" s="15">
        <f>V3988*N3988*O3988</f>
        <v/>
      </c>
      <c r="X3988" s="12">
        <f>IF(LEFT(I3988,2)="MV",2*N3988*IF(L3988="1/C",O3988,1),0)</f>
        <v/>
      </c>
      <c r="Y3988" s="12">
        <f>IF(OR(LEFT(K3988,4)="LVAX",LEFT(K3988,6)="MV15AX",LEFT(K3988,4)="CTAX",LEFT(K3988,2)="W|"),2*N3988*O3988,0)</f>
        <v/>
      </c>
      <c r="Z3988" s="12" t="inlineStr"/>
      <c r="AA3988" s="12">
        <f>N3988*O3988</f>
        <v/>
      </c>
    </row>
    <row r="3989">
      <c r="A3989" s="12" t="inlineStr">
        <is>
          <t>H-I-0152</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5" t="n">
        <v>53</v>
      </c>
      <c r="U3989" s="15" t="n">
        <v>10</v>
      </c>
      <c r="V3989" s="15">
        <f>ROUNDUP((T3989+U3989+2*'Read Me'!$B$13)*(1+'Read Me'!$B$12),-1)</f>
        <v/>
      </c>
      <c r="W3989" s="15">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H-I-0153</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5" t="n">
        <v>336</v>
      </c>
      <c r="U3990" s="15" t="n">
        <v>57</v>
      </c>
      <c r="V3990" s="15">
        <f>ROUNDUP((T3990+U3990+2*'Read Me'!$B$13)*(1+'Read Me'!$B$12),-1)</f>
        <v/>
      </c>
      <c r="W3990" s="15">
        <f>V3990*N3990*O3990</f>
        <v/>
      </c>
      <c r="X3990" s="12">
        <f>IF(LEFT(I3990,2)="MV",2*N3990*IF(L3990="1/C",O3990,1),0)</f>
        <v/>
      </c>
      <c r="Y3990" s="12">
        <f>IF(OR(LEFT(K3990,4)="LVAX",LEFT(K3990,6)="MV15AX",LEFT(K3990,4)="CTAX",LEFT(K3990,2)="W|"),2*N3990*O3990,0)</f>
        <v/>
      </c>
      <c r="Z3990" s="12" t="inlineStr"/>
      <c r="AA3990" s="12">
        <f>N3990*O3990</f>
        <v/>
      </c>
    </row>
    <row r="3991">
      <c r="A3991" s="12" t="inlineStr">
        <is>
          <t>H-I-0154</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5" t="n">
        <v>53</v>
      </c>
      <c r="U3991" s="15" t="n">
        <v>10</v>
      </c>
      <c r="V3991" s="15">
        <f>ROUNDUP((T3991+U3991+2*'Read Me'!$B$13)*(1+'Read Me'!$B$12),-1)</f>
        <v/>
      </c>
      <c r="W3991" s="15">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H-I-0155</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5" t="n">
        <v>336</v>
      </c>
      <c r="U3992" s="15" t="n">
        <v>57</v>
      </c>
      <c r="V3992" s="15">
        <f>ROUNDUP((T3992+U3992+2*'Read Me'!$B$13)*(1+'Read Me'!$B$12),-1)</f>
        <v/>
      </c>
      <c r="W3992" s="15">
        <f>V3992*N3992*O3992</f>
        <v/>
      </c>
      <c r="X3992" s="12">
        <f>IF(LEFT(I3992,2)="MV",2*N3992*IF(L3992="1/C",O3992,1),0)</f>
        <v/>
      </c>
      <c r="Y3992" s="12">
        <f>IF(OR(LEFT(K3992,4)="LVAX",LEFT(K3992,6)="MV15AX",LEFT(K3992,4)="CTAX",LEFT(K3992,2)="W|"),2*N3992*O3992,0)</f>
        <v/>
      </c>
      <c r="Z3992" s="12" t="inlineStr"/>
      <c r="AA3992" s="12">
        <f>N3992*O3992</f>
        <v/>
      </c>
    </row>
    <row r="3993">
      <c r="A3993" s="12" t="inlineStr">
        <is>
          <t>H-I-0156</t>
        </is>
      </c>
      <c r="B3993" s="12" t="inlineStr">
        <is>
          <t>H</t>
        </is>
      </c>
      <c r="C3993" s="12" t="inlineStr">
        <is>
          <t>BESS</t>
        </is>
      </c>
      <c r="D3993" s="12" t="inlineStr">
        <is>
          <t>Analog instrument to JB JB-BESS MPT-AI01: 8 x 1 pr (field cables)</t>
        </is>
      </c>
      <c r="E3993" s="12" t="inlineStr">
        <is>
          <t>BESS MPT</t>
        </is>
      </c>
      <c r="F3993" s="12" t="inlineStr">
        <is>
          <t>BESS main power transformer 34.5/230 kV (to D4 upper)</t>
        </is>
      </c>
      <c r="G3993" s="12" t="inlineStr">
        <is>
          <t>JB-BESS MPT-AI01</t>
        </is>
      </c>
      <c r="H3993" s="12" t="inlineStr">
        <is>
          <t>BESS main power transformer 34.5/230 kV (to D4 upper)</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5" t="n">
        <v>77</v>
      </c>
      <c r="U3993" s="15" t="n">
        <v>10</v>
      </c>
      <c r="V3993" s="15">
        <f>ROUNDUP((T3993+U3993+2*'Read Me'!$B$13)*(1+'Read Me'!$B$12),-1)</f>
        <v/>
      </c>
      <c r="W3993" s="15">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H-I-0157</t>
        </is>
      </c>
      <c r="B3994" s="12" t="inlineStr">
        <is>
          <t>H</t>
        </is>
      </c>
      <c r="C3994" s="12" t="inlineStr">
        <is>
          <t>BESS</t>
        </is>
      </c>
      <c r="D3994" s="12" t="inlineStr">
        <is>
          <t>Home run JB-BESS MPT-AI01 to the control / marshalling room</t>
        </is>
      </c>
      <c r="E3994" s="12" t="inlineStr"/>
      <c r="F3994" s="12" t="inlineStr">
        <is>
          <t>BESS EMS / SCADA and revenue metering</t>
        </is>
      </c>
      <c r="G3994" s="12" t="inlineStr">
        <is>
          <t>JB-BESS MPT-AI01</t>
        </is>
      </c>
      <c r="H3994" s="12" t="inlineStr">
        <is>
          <t>BESS main power transformer 34.5/230 kV (to D4 upper)</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5" t="n">
        <v>169</v>
      </c>
      <c r="U3994" s="15" t="n">
        <v>32</v>
      </c>
      <c r="V3994" s="15">
        <f>ROUNDUP((T3994+U3994+2*'Read Me'!$B$13)*(1+'Read Me'!$B$12),-1)</f>
        <v/>
      </c>
      <c r="W3994" s="15">
        <f>V3994*N3994*O3994</f>
        <v/>
      </c>
      <c r="X3994" s="12">
        <f>IF(LEFT(I3994,2)="MV",2*N3994*IF(L3994="1/C",O3994,1),0)</f>
        <v/>
      </c>
      <c r="Y3994" s="12">
        <f>IF(OR(LEFT(K3994,4)="LVAX",LEFT(K3994,6)="MV15AX",LEFT(K3994,4)="CTAX",LEFT(K3994,2)="W|"),2*N3994*O3994,0)</f>
        <v/>
      </c>
      <c r="Z3994" s="12" t="inlineStr"/>
      <c r="AA3994" s="12">
        <f>N3994*O3994</f>
        <v/>
      </c>
    </row>
    <row r="3995">
      <c r="A3995" s="12" t="inlineStr">
        <is>
          <t>H-I-0158</t>
        </is>
      </c>
      <c r="B3995" s="12" t="inlineStr">
        <is>
          <t>H</t>
        </is>
      </c>
      <c r="C3995" s="12" t="inlineStr">
        <is>
          <t>BESS</t>
        </is>
      </c>
      <c r="D3995" s="12" t="inlineStr">
        <is>
          <t>Discrete device to JB JB-BESS MPT-DI01: 16 x 1 pr (field cables)</t>
        </is>
      </c>
      <c r="E3995" s="12" t="inlineStr">
        <is>
          <t>BESS MPT</t>
        </is>
      </c>
      <c r="F3995" s="12" t="inlineStr">
        <is>
          <t>BESS main power transformer 34.5/230 kV (to D4 upper)</t>
        </is>
      </c>
      <c r="G3995" s="12" t="inlineStr">
        <is>
          <t>JB-BESS MPT-DI01</t>
        </is>
      </c>
      <c r="H3995" s="12" t="inlineStr">
        <is>
          <t>BESS main power transformer 34.5/230 kV (to D4 upper)</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16</v>
      </c>
      <c r="O3995" s="12" t="n">
        <v>1</v>
      </c>
      <c r="P3995" s="12" t="n"/>
      <c r="Q3995" s="12" t="n"/>
      <c r="R3995" s="12" t="n"/>
      <c r="S3995" s="12" t="inlineStr">
        <is>
          <t>Tray / conduit</t>
        </is>
      </c>
      <c r="T3995" s="15" t="n">
        <v>77</v>
      </c>
      <c r="U3995" s="15" t="n">
        <v>10</v>
      </c>
      <c r="V3995" s="15">
        <f>ROUNDUP((T3995+U3995+2*'Read Me'!$B$13)*(1+'Read Me'!$B$12),-1)</f>
        <v/>
      </c>
      <c r="W3995" s="15">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H-I-0159</t>
        </is>
      </c>
      <c r="B3996" s="12" t="inlineStr">
        <is>
          <t>H</t>
        </is>
      </c>
      <c r="C3996" s="12" t="inlineStr">
        <is>
          <t>BESS</t>
        </is>
      </c>
      <c r="D3996" s="12" t="inlineStr">
        <is>
          <t>Home run JB-BESS MPT-DI01 to the control / marshalling room</t>
        </is>
      </c>
      <c r="E3996" s="12" t="inlineStr"/>
      <c r="F3996" s="12" t="inlineStr">
        <is>
          <t>BESS EMS / SCADA and revenue metering</t>
        </is>
      </c>
      <c r="G3996" s="12" t="inlineStr">
        <is>
          <t>JB-BESS MPT-DI01</t>
        </is>
      </c>
      <c r="H3996" s="12" t="inlineStr">
        <is>
          <t>BESS main power transformer 34.5/230 kV (to D4 upper)</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5" t="n">
        <v>169</v>
      </c>
      <c r="U3996" s="15" t="n">
        <v>32</v>
      </c>
      <c r="V3996" s="15">
        <f>ROUNDUP((T3996+U3996+2*'Read Me'!$B$13)*(1+'Read Me'!$B$12),-1)</f>
        <v/>
      </c>
      <c r="W3996" s="15">
        <f>V3996*N3996*O3996</f>
        <v/>
      </c>
      <c r="X3996" s="12">
        <f>IF(LEFT(I3996,2)="MV",2*N3996*IF(L3996="1/C",O3996,1),0)</f>
        <v/>
      </c>
      <c r="Y3996" s="12">
        <f>IF(OR(LEFT(K3996,4)="LVAX",LEFT(K3996,6)="MV15AX",LEFT(K3996,4)="CTAX",LEFT(K3996,2)="W|"),2*N3996*O3996,0)</f>
        <v/>
      </c>
      <c r="Z3996" s="12" t="inlineStr"/>
      <c r="AA3996" s="12">
        <f>N3996*O3996</f>
        <v/>
      </c>
    </row>
    <row r="3997">
      <c r="A3997" s="12" t="inlineStr">
        <is>
          <t>H-I-0160</t>
        </is>
      </c>
      <c r="B3997" s="12" t="inlineStr">
        <is>
          <t>H</t>
        </is>
      </c>
      <c r="C3997" s="12" t="inlineStr">
        <is>
          <t>BESS</t>
        </is>
      </c>
      <c r="D3997" s="12" t="inlineStr">
        <is>
          <t>Instrumentation</t>
        </is>
      </c>
      <c r="E3997" s="12" t="inlineStr"/>
      <c r="F3997" s="12" t="inlineStr">
        <is>
          <t>BESS EMS / SCADA and revenue metering</t>
        </is>
      </c>
      <c r="G3997" s="12" t="inlineStr"/>
      <c r="H3997" s="12" t="inlineStr">
        <is>
          <t>CONDITIONAL: grounding transformer</t>
        </is>
      </c>
      <c r="I3997" s="12" t="inlineStr">
        <is>
          <t>Instrumentation</t>
        </is>
      </c>
      <c r="J3997" s="12" t="inlineStr">
        <is>
          <t>Instrumentation PLTC / TC-ER 300 V, #18 twisted shielded pairs, overall shield</t>
        </is>
      </c>
      <c r="K3997" s="12" t="inlineStr">
        <is>
          <t>PLTC|4 pr|18</t>
        </is>
      </c>
      <c r="L3997" s="12" t="inlineStr">
        <is>
          <t>4 pr</t>
        </is>
      </c>
      <c r="M3997" s="12" t="inlineStr">
        <is>
          <t>18</t>
        </is>
      </c>
      <c r="N3997" s="12" t="n">
        <v>1</v>
      </c>
      <c r="O3997" s="12" t="n">
        <v>1</v>
      </c>
      <c r="P3997" s="12" t="n"/>
      <c r="Q3997" s="12" t="n"/>
      <c r="R3997" s="12" t="n"/>
      <c r="S3997" s="12" t="inlineStr">
        <is>
          <t>Duct bank</t>
        </is>
      </c>
      <c r="T3997" s="15" t="n">
        <v>280</v>
      </c>
      <c r="U3997" s="15" t="n">
        <v>87</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H-P-0001</t>
        </is>
      </c>
      <c r="B3998" s="12" t="inlineStr">
        <is>
          <t>H</t>
        </is>
      </c>
      <c r="C3998" s="12" t="inlineStr">
        <is>
          <t>BESS</t>
        </is>
      </c>
      <c r="D3998" s="12" t="inlineStr">
        <is>
          <t>LV panel / distribution feeder</t>
        </is>
      </c>
      <c r="E3998" s="12" t="inlineStr"/>
      <c r="F3998" s="12" t="inlineStr">
        <is>
          <t>BESS auxiliary transformer</t>
        </is>
      </c>
      <c r="G3998" s="12" t="inlineStr"/>
      <c r="H3998" s="12" t="inlineStr">
        <is>
          <t>34.5 kV collector e-house (arc-resistant)</t>
        </is>
      </c>
      <c r="I3998" s="12" t="inlineStr">
        <is>
          <t>LV 600 V</t>
        </is>
      </c>
      <c r="J3998" s="12" t="inlineStr">
        <is>
          <t>Type TC-ER 600 V 3/C Cu XHHW-2 + ground, PVC jacket</t>
        </is>
      </c>
      <c r="K3998" s="12" t="inlineStr">
        <is>
          <t>LV|3/C+G|6</t>
        </is>
      </c>
      <c r="L3998" s="12" t="inlineStr">
        <is>
          <t>3/C+G</t>
        </is>
      </c>
      <c r="M3998" s="12" t="inlineStr">
        <is>
          <t>6</t>
        </is>
      </c>
      <c r="N3998" s="12" t="n">
        <v>1</v>
      </c>
      <c r="O3998" s="12" t="n">
        <v>1</v>
      </c>
      <c r="P3998" s="12" t="n">
        <v>480</v>
      </c>
      <c r="Q3998" s="12" t="n">
        <v>30</v>
      </c>
      <c r="R3998" s="12" t="n">
        <v>42.5</v>
      </c>
      <c r="S3998" s="12" t="inlineStr">
        <is>
          <t>Duct bank</t>
        </is>
      </c>
      <c r="T3998" s="15" t="n">
        <v>30</v>
      </c>
      <c r="U3998" s="15" t="n">
        <v>37</v>
      </c>
      <c r="V3998" s="15">
        <f>ROUNDUP((T3998+U3998+2*'Read Me'!$B$13)*(1+'Read Me'!$B$12),-1)</f>
        <v/>
      </c>
      <c r="W3998" s="15">
        <f>V3998*N3998*O3998</f>
        <v/>
      </c>
      <c r="X3998" s="12">
        <f>IF(LEFT(I3998,2)="MV",2*N3998*IF(L3998="1/C",O3998,1),0)</f>
        <v/>
      </c>
      <c r="Y3998" s="12">
        <f>IF(OR(LEFT(K3998,4)="LVAX",LEFT(K3998,6)="MV15AX",LEFT(K3998,4)="CTAX",LEFT(K3998,2)="W|"),2*N3998*O3998,0)</f>
        <v/>
      </c>
      <c r="Z3998" s="12" t="inlineStr">
        <is>
          <t>VD 0.6 %</t>
        </is>
      </c>
      <c r="AA3998" s="12">
        <f>N3998*O3998</f>
        <v/>
      </c>
    </row>
    <row r="3999">
      <c r="A3999" s="12" t="inlineStr">
        <is>
          <t>H-P-0002</t>
        </is>
      </c>
      <c r="B3999" s="12" t="inlineStr">
        <is>
          <t>H</t>
        </is>
      </c>
      <c r="C3999" s="12" t="inlineStr">
        <is>
          <t>BESS</t>
        </is>
      </c>
      <c r="D3999" s="12" t="inlineStr">
        <is>
          <t>LV panel / distribution feeder</t>
        </is>
      </c>
      <c r="E3999" s="12" t="inlineStr"/>
      <c r="F3999" s="12" t="inlineStr">
        <is>
          <t>BESS auxiliary transformer</t>
        </is>
      </c>
      <c r="G3999" s="12" t="inlineStr"/>
      <c r="H3999" s="12" t="inlineStr">
        <is>
          <t>BESS EMS / SCADA and revenue metering</t>
        </is>
      </c>
      <c r="I3999" s="12" t="inlineStr">
        <is>
          <t>LV 600 V</t>
        </is>
      </c>
      <c r="J3999" s="12" t="inlineStr">
        <is>
          <t>ARMOR-X MC-HL 600 V 3/C Cu XHHW-2 + ground, CWA, black PVC (Class I Div 2)</t>
        </is>
      </c>
      <c r="K3999" s="12" t="inlineStr">
        <is>
          <t>LVAX|3/C+G|6</t>
        </is>
      </c>
      <c r="L3999" s="12" t="inlineStr">
        <is>
          <t>3/C+G</t>
        </is>
      </c>
      <c r="M3999" s="12" t="inlineStr">
        <is>
          <t>6</t>
        </is>
      </c>
      <c r="N3999" s="12" t="n">
        <v>1</v>
      </c>
      <c r="O3999" s="12" t="n">
        <v>1</v>
      </c>
      <c r="P3999" s="12" t="n">
        <v>480</v>
      </c>
      <c r="Q3999" s="12" t="n">
        <v>30</v>
      </c>
      <c r="R3999" s="12" t="n">
        <v>42.5</v>
      </c>
      <c r="S3999" s="12" t="inlineStr">
        <is>
          <t>Tray</t>
        </is>
      </c>
      <c r="T3999" s="15" t="n">
        <v>0</v>
      </c>
      <c r="U3999" s="15" t="n">
        <v>70</v>
      </c>
      <c r="V3999" s="15">
        <f>ROUNDUP((T3999+U3999+2*'Read Me'!$B$13)*(1+'Read Me'!$B$12),-1)</f>
        <v/>
      </c>
      <c r="W3999" s="15">
        <f>V3999*N3999*O3999</f>
        <v/>
      </c>
      <c r="X3999" s="12">
        <f>IF(LEFT(I3999,2)="MV",2*N3999*IF(L3999="1/C",O3999,1),0)</f>
        <v/>
      </c>
      <c r="Y3999" s="12">
        <f>IF(OR(LEFT(K3999,4)="LVAX",LEFT(K3999,6)="MV15AX",LEFT(K3999,4)="CTAX",LEFT(K3999,2)="W|"),2*N3999*O3999,0)</f>
        <v/>
      </c>
      <c r="Z3999" s="12" t="inlineStr">
        <is>
          <t>VD 0.6 %</t>
        </is>
      </c>
      <c r="AA3999" s="12">
        <f>N3999*O3999</f>
        <v/>
      </c>
    </row>
    <row r="4000">
      <c r="A4000" s="12" t="inlineStr">
        <is>
          <t>H-P-0003</t>
        </is>
      </c>
      <c r="B4000" s="12" t="inlineStr">
        <is>
          <t>H</t>
        </is>
      </c>
      <c r="C4000" s="12" t="inlineStr">
        <is>
          <t>BESS</t>
        </is>
      </c>
      <c r="D4000" s="12" t="inlineStr">
        <is>
          <t>Motor 1 of 2, 7 kW</t>
        </is>
      </c>
      <c r="E4000" s="12" t="inlineStr"/>
      <c r="F4000" s="12" t="inlineStr">
        <is>
          <t>BESS auxiliary transformer</t>
        </is>
      </c>
      <c r="G4000" s="12" t="inlineStr"/>
      <c r="H4000" s="12" t="inlineStr">
        <is>
          <t>BESS PCS / MV skid</t>
        </is>
      </c>
      <c r="I4000" s="12" t="inlineStr">
        <is>
          <t>LV 600 V</t>
        </is>
      </c>
      <c r="J4000" s="12" t="inlineStr">
        <is>
          <t>Type TC-ER 600 V 3/C Cu XHHW-2 + ground, PVC jacket</t>
        </is>
      </c>
      <c r="K4000" s="12" t="inlineStr">
        <is>
          <t>LV|3/C+G|10</t>
        </is>
      </c>
      <c r="L4000" s="12" t="inlineStr">
        <is>
          <t>3/C+G</t>
        </is>
      </c>
      <c r="M4000" s="12" t="inlineStr">
        <is>
          <t>10</t>
        </is>
      </c>
      <c r="N4000" s="12" t="n">
        <v>1</v>
      </c>
      <c r="O4000" s="12" t="n">
        <v>1</v>
      </c>
      <c r="P4000" s="12" t="n">
        <v>480</v>
      </c>
      <c r="Q4000" s="12" t="n">
        <v>7</v>
      </c>
      <c r="R4000" s="12" t="n">
        <v>9.9</v>
      </c>
      <c r="S4000" s="12" t="inlineStr">
        <is>
          <t>Duct bank</t>
        </is>
      </c>
      <c r="T4000" s="15" t="n">
        <v>318</v>
      </c>
      <c r="U4000" s="15" t="n">
        <v>103</v>
      </c>
      <c r="V4000" s="15">
        <f>ROUNDUP((T4000+U4000+2*'Read Me'!$B$13)*(1+'Read Me'!$B$12),-1)</f>
        <v/>
      </c>
      <c r="W4000" s="15">
        <f>V4000*N4000*O4000</f>
        <v/>
      </c>
      <c r="X4000" s="12">
        <f>IF(LEFT(I4000,2)="MV",2*N4000*IF(L4000="1/C",O4000,1),0)</f>
        <v/>
      </c>
      <c r="Y4000" s="12">
        <f>IF(OR(LEFT(K4000,4)="LVAX",LEFT(K4000,6)="MV15AX",LEFT(K4000,4)="CTAX",LEFT(K4000,2)="W|"),2*N4000*O4000,0)</f>
        <v/>
      </c>
      <c r="Z4000" s="12" t="inlineStr">
        <is>
          <t>VD 2.0 %</t>
        </is>
      </c>
      <c r="AA4000" s="12">
        <f>N4000*O4000</f>
        <v/>
      </c>
    </row>
    <row r="4001">
      <c r="A4001" s="12" t="inlineStr">
        <is>
          <t>H-P-0004</t>
        </is>
      </c>
      <c r="B4001" s="12" t="inlineStr">
        <is>
          <t>H</t>
        </is>
      </c>
      <c r="C4001" s="12" t="inlineStr">
        <is>
          <t>BESS</t>
        </is>
      </c>
      <c r="D4001" s="12" t="inlineStr">
        <is>
          <t>Motor 2 of 2, 7 kW</t>
        </is>
      </c>
      <c r="E4001" s="12" t="inlineStr"/>
      <c r="F4001" s="12" t="inlineStr">
        <is>
          <t>BESS auxiliary transformer</t>
        </is>
      </c>
      <c r="G4001" s="12" t="inlineStr"/>
      <c r="H4001" s="12" t="inlineStr">
        <is>
          <t>BESS PCS / MV skid</t>
        </is>
      </c>
      <c r="I4001" s="12" t="inlineStr">
        <is>
          <t>LV 600 V</t>
        </is>
      </c>
      <c r="J4001" s="12" t="inlineStr">
        <is>
          <t>Type TC-ER 600 V 3/C Cu XHHW-2 + ground, PVC jacket</t>
        </is>
      </c>
      <c r="K4001" s="12" t="inlineStr">
        <is>
          <t>LV|3/C+G|10</t>
        </is>
      </c>
      <c r="L4001" s="12" t="inlineStr">
        <is>
          <t>3/C+G</t>
        </is>
      </c>
      <c r="M4001" s="12" t="inlineStr">
        <is>
          <t>10</t>
        </is>
      </c>
      <c r="N4001" s="12" t="n">
        <v>1</v>
      </c>
      <c r="O4001" s="12" t="n">
        <v>1</v>
      </c>
      <c r="P4001" s="12" t="n">
        <v>480</v>
      </c>
      <c r="Q4001" s="12" t="n">
        <v>7</v>
      </c>
      <c r="R4001" s="12" t="n">
        <v>9.9</v>
      </c>
      <c r="S4001" s="12" t="inlineStr">
        <is>
          <t>Duct bank</t>
        </is>
      </c>
      <c r="T4001" s="15" t="n">
        <v>318</v>
      </c>
      <c r="U4001" s="15" t="n">
        <v>103</v>
      </c>
      <c r="V4001" s="15">
        <f>ROUNDUP((T4001+U4001+2*'Read Me'!$B$13)*(1+'Read Me'!$B$12),-1)</f>
        <v/>
      </c>
      <c r="W4001" s="15">
        <f>V4001*N4001*O4001</f>
        <v/>
      </c>
      <c r="X4001" s="12">
        <f>IF(LEFT(I4001,2)="MV",2*N4001*IF(L4001="1/C",O4001,1),0)</f>
        <v/>
      </c>
      <c r="Y4001" s="12">
        <f>IF(OR(LEFT(K4001,4)="LVAX",LEFT(K4001,6)="MV15AX",LEFT(K4001,4)="CTAX",LEFT(K4001,2)="W|"),2*N4001*O4001,0)</f>
        <v/>
      </c>
      <c r="Z4001" s="12" t="inlineStr">
        <is>
          <t>VD 2.0 %</t>
        </is>
      </c>
      <c r="AA4001" s="12">
        <f>N4001*O4001</f>
        <v/>
      </c>
    </row>
    <row r="4002">
      <c r="A4002" s="12" t="inlineStr">
        <is>
          <t>H-P-0005</t>
        </is>
      </c>
      <c r="B4002" s="12" t="inlineStr">
        <is>
          <t>H</t>
        </is>
      </c>
      <c r="C4002" s="12" t="inlineStr">
        <is>
          <t>BESS</t>
        </is>
      </c>
      <c r="D4002" s="12" t="inlineStr">
        <is>
          <t>Motor 1 of 2, 7 kW</t>
        </is>
      </c>
      <c r="E4002" s="12" t="inlineStr"/>
      <c r="F4002" s="12" t="inlineStr">
        <is>
          <t>BESS auxiliary transformer</t>
        </is>
      </c>
      <c r="G4002" s="12" t="inlineStr"/>
      <c r="H4002" s="12" t="inlineStr">
        <is>
          <t>BESS PCS / MV skid</t>
        </is>
      </c>
      <c r="I4002" s="12" t="inlineStr">
        <is>
          <t>LV 600 V</t>
        </is>
      </c>
      <c r="J4002" s="12" t="inlineStr">
        <is>
          <t>Type TC-ER 600 V 3/C Cu XHHW-2 + ground, PVC jacket</t>
        </is>
      </c>
      <c r="K4002" s="12" t="inlineStr">
        <is>
          <t>LV|3/C+G|10</t>
        </is>
      </c>
      <c r="L4002" s="12" t="inlineStr">
        <is>
          <t>3/C+G</t>
        </is>
      </c>
      <c r="M4002" s="12" t="inlineStr">
        <is>
          <t>10</t>
        </is>
      </c>
      <c r="N4002" s="12" t="n">
        <v>1</v>
      </c>
      <c r="O4002" s="12" t="n">
        <v>1</v>
      </c>
      <c r="P4002" s="12" t="n">
        <v>480</v>
      </c>
      <c r="Q4002" s="12" t="n">
        <v>7</v>
      </c>
      <c r="R4002" s="12" t="n">
        <v>9.9</v>
      </c>
      <c r="S4002" s="12" t="inlineStr">
        <is>
          <t>Duct bank</t>
        </is>
      </c>
      <c r="T4002" s="15" t="n">
        <v>178</v>
      </c>
      <c r="U4002" s="15" t="n">
        <v>123</v>
      </c>
      <c r="V4002" s="15">
        <f>ROUNDUP((T4002+U4002+2*'Read Me'!$B$13)*(1+'Read Me'!$B$12),-1)</f>
        <v/>
      </c>
      <c r="W4002" s="15">
        <f>V4002*N4002*O4002</f>
        <v/>
      </c>
      <c r="X4002" s="12">
        <f>IF(LEFT(I4002,2)="MV",2*N4002*IF(L4002="1/C",O4002,1),0)</f>
        <v/>
      </c>
      <c r="Y4002" s="12">
        <f>IF(OR(LEFT(K4002,4)="LVAX",LEFT(K4002,6)="MV15AX",LEFT(K4002,4)="CTAX",LEFT(K4002,2)="W|"),2*N4002*O4002,0)</f>
        <v/>
      </c>
      <c r="Z4002" s="12" t="inlineStr">
        <is>
          <t>VD 1.4 %</t>
        </is>
      </c>
      <c r="AA4002" s="12">
        <f>N4002*O4002</f>
        <v/>
      </c>
    </row>
    <row r="4003">
      <c r="A4003" s="12" t="inlineStr">
        <is>
          <t>H-P-0006</t>
        </is>
      </c>
      <c r="B4003" s="12" t="inlineStr">
        <is>
          <t>H</t>
        </is>
      </c>
      <c r="C4003" s="12" t="inlineStr">
        <is>
          <t>BESS</t>
        </is>
      </c>
      <c r="D4003" s="12" t="inlineStr">
        <is>
          <t>Motor 2 of 2, 7 kW</t>
        </is>
      </c>
      <c r="E4003" s="12" t="inlineStr"/>
      <c r="F4003" s="12" t="inlineStr">
        <is>
          <t>BESS auxiliary transformer</t>
        </is>
      </c>
      <c r="G4003" s="12" t="inlineStr"/>
      <c r="H4003" s="12" t="inlineStr">
        <is>
          <t>BESS PCS / MV skid</t>
        </is>
      </c>
      <c r="I4003" s="12" t="inlineStr">
        <is>
          <t>LV 600 V</t>
        </is>
      </c>
      <c r="J4003" s="12" t="inlineStr">
        <is>
          <t>Type TC-ER 600 V 3/C Cu XHHW-2 + ground, PVC jacket</t>
        </is>
      </c>
      <c r="K4003" s="12" t="inlineStr">
        <is>
          <t>LV|3/C+G|10</t>
        </is>
      </c>
      <c r="L4003" s="12" t="inlineStr">
        <is>
          <t>3/C+G</t>
        </is>
      </c>
      <c r="M4003" s="12" t="inlineStr">
        <is>
          <t>10</t>
        </is>
      </c>
      <c r="N4003" s="12" t="n">
        <v>1</v>
      </c>
      <c r="O4003" s="12" t="n">
        <v>1</v>
      </c>
      <c r="P4003" s="12" t="n">
        <v>480</v>
      </c>
      <c r="Q4003" s="12" t="n">
        <v>7</v>
      </c>
      <c r="R4003" s="12" t="n">
        <v>9.9</v>
      </c>
      <c r="S4003" s="12" t="inlineStr">
        <is>
          <t>Duct bank</t>
        </is>
      </c>
      <c r="T4003" s="15" t="n">
        <v>178</v>
      </c>
      <c r="U4003" s="15" t="n">
        <v>123</v>
      </c>
      <c r="V4003" s="15">
        <f>ROUNDUP((T4003+U4003+2*'Read Me'!$B$13)*(1+'Read Me'!$B$12),-1)</f>
        <v/>
      </c>
      <c r="W4003" s="15">
        <f>V4003*N4003*O4003</f>
        <v/>
      </c>
      <c r="X4003" s="12">
        <f>IF(LEFT(I4003,2)="MV",2*N4003*IF(L4003="1/C",O4003,1),0)</f>
        <v/>
      </c>
      <c r="Y4003" s="12">
        <f>IF(OR(LEFT(K4003,4)="LVAX",LEFT(K4003,6)="MV15AX",LEFT(K4003,4)="CTAX",LEFT(K4003,2)="W|"),2*N4003*O4003,0)</f>
        <v/>
      </c>
      <c r="Z4003" s="12" t="inlineStr">
        <is>
          <t>VD 1.4 %</t>
        </is>
      </c>
      <c r="AA4003" s="12">
        <f>N4003*O4003</f>
        <v/>
      </c>
    </row>
    <row r="4004">
      <c r="A4004" s="12" t="inlineStr">
        <is>
          <t>H-P-0007</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5" t="n">
        <v>74</v>
      </c>
      <c r="U4004" s="15" t="n">
        <v>107</v>
      </c>
      <c r="V4004" s="15">
        <f>ROUNDUP((T4004+U4004+2*'Read Me'!$B$13)*(1+'Read Me'!$B$12),-1)</f>
        <v/>
      </c>
      <c r="W4004" s="15">
        <f>V4004*N4004*O4004</f>
        <v/>
      </c>
      <c r="X4004" s="12">
        <f>IF(LEFT(I4004,2)="MV",2*N4004*IF(L4004="1/C",O4004,1),0)</f>
        <v/>
      </c>
      <c r="Y4004" s="12">
        <f>IF(OR(LEFT(K4004,4)="LVAX",LEFT(K4004,6)="MV15AX",LEFT(K4004,4)="CTAX",LEFT(K4004,2)="W|"),2*N4004*O4004,0)</f>
        <v/>
      </c>
      <c r="Z4004" s="12" t="inlineStr">
        <is>
          <t>VD 0.9 %</t>
        </is>
      </c>
      <c r="AA4004" s="12">
        <f>N4004*O4004</f>
        <v/>
      </c>
    </row>
    <row r="4005">
      <c r="A4005" s="12" t="inlineStr">
        <is>
          <t>H-P-0008</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5" t="n">
        <v>74</v>
      </c>
      <c r="U4005" s="15" t="n">
        <v>107</v>
      </c>
      <c r="V4005" s="15">
        <f>ROUNDUP((T4005+U4005+2*'Read Me'!$B$13)*(1+'Read Me'!$B$12),-1)</f>
        <v/>
      </c>
      <c r="W4005" s="15">
        <f>V4005*N4005*O4005</f>
        <v/>
      </c>
      <c r="X4005" s="12">
        <f>IF(LEFT(I4005,2)="MV",2*N4005*IF(L4005="1/C",O4005,1),0)</f>
        <v/>
      </c>
      <c r="Y4005" s="12">
        <f>IF(OR(LEFT(K4005,4)="LVAX",LEFT(K4005,6)="MV15AX",LEFT(K4005,4)="CTAX",LEFT(K4005,2)="W|"),2*N4005*O4005,0)</f>
        <v/>
      </c>
      <c r="Z4005" s="12" t="inlineStr">
        <is>
          <t>VD 0.9 %</t>
        </is>
      </c>
      <c r="AA4005" s="12">
        <f>N4005*O4005</f>
        <v/>
      </c>
    </row>
    <row r="4006">
      <c r="A4006" s="12" t="inlineStr">
        <is>
          <t>H-P-0009</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5" t="n">
        <v>318</v>
      </c>
      <c r="U4006" s="15" t="n">
        <v>161</v>
      </c>
      <c r="V4006" s="15">
        <f>ROUNDUP((T4006+U4006+2*'Read Me'!$B$13)*(1+'Read Me'!$B$12),-1)</f>
        <v/>
      </c>
      <c r="W4006" s="15">
        <f>V4006*N4006*O4006</f>
        <v/>
      </c>
      <c r="X4006" s="12">
        <f>IF(LEFT(I4006,2)="MV",2*N4006*IF(L4006="1/C",O4006,1),0)</f>
        <v/>
      </c>
      <c r="Y4006" s="12">
        <f>IF(OR(LEFT(K4006,4)="LVAX",LEFT(K4006,6)="MV15AX",LEFT(K4006,4)="CTAX",LEFT(K4006,2)="W|"),2*N4006*O4006,0)</f>
        <v/>
      </c>
      <c r="Z4006" s="12" t="inlineStr">
        <is>
          <t>VD 2.3 %</t>
        </is>
      </c>
      <c r="AA4006" s="12">
        <f>N4006*O4006</f>
        <v/>
      </c>
    </row>
    <row r="4007">
      <c r="A4007" s="12" t="inlineStr">
        <is>
          <t>H-P-0010</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5" t="n">
        <v>318</v>
      </c>
      <c r="U4007" s="15" t="n">
        <v>161</v>
      </c>
      <c r="V4007" s="15">
        <f>ROUNDUP((T4007+U4007+2*'Read Me'!$B$13)*(1+'Read Me'!$B$12),-1)</f>
        <v/>
      </c>
      <c r="W4007" s="15">
        <f>V4007*N4007*O4007</f>
        <v/>
      </c>
      <c r="X4007" s="12">
        <f>IF(LEFT(I4007,2)="MV",2*N4007*IF(L4007="1/C",O4007,1),0)</f>
        <v/>
      </c>
      <c r="Y4007" s="12">
        <f>IF(OR(LEFT(K4007,4)="LVAX",LEFT(K4007,6)="MV15AX",LEFT(K4007,4)="CTAX",LEFT(K4007,2)="W|"),2*N4007*O4007,0)</f>
        <v/>
      </c>
      <c r="Z4007" s="12" t="inlineStr">
        <is>
          <t>VD 2.3 %</t>
        </is>
      </c>
      <c r="AA4007" s="12">
        <f>N4007*O4007</f>
        <v/>
      </c>
    </row>
    <row r="4008">
      <c r="A4008" s="12" t="inlineStr">
        <is>
          <t>H-P-0011</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5" t="n">
        <v>178</v>
      </c>
      <c r="U4008" s="15" t="n">
        <v>181</v>
      </c>
      <c r="V4008" s="15">
        <f>ROUNDUP((T4008+U4008+2*'Read Me'!$B$13)*(1+'Read Me'!$B$12),-1)</f>
        <v/>
      </c>
      <c r="W4008" s="15">
        <f>V4008*N4008*O4008</f>
        <v/>
      </c>
      <c r="X4008" s="12">
        <f>IF(LEFT(I4008,2)="MV",2*N4008*IF(L4008="1/C",O4008,1),0)</f>
        <v/>
      </c>
      <c r="Y4008" s="12">
        <f>IF(OR(LEFT(K4008,4)="LVAX",LEFT(K4008,6)="MV15AX",LEFT(K4008,4)="CTAX",LEFT(K4008,2)="W|"),2*N4008*O4008,0)</f>
        <v/>
      </c>
      <c r="Z4008" s="12" t="inlineStr">
        <is>
          <t>VD 1.7 %</t>
        </is>
      </c>
      <c r="AA4008" s="12">
        <f>N4008*O4008</f>
        <v/>
      </c>
    </row>
    <row r="4009">
      <c r="A4009" s="12" t="inlineStr">
        <is>
          <t>H-P-0012</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5" t="n">
        <v>178</v>
      </c>
      <c r="U4009" s="15" t="n">
        <v>181</v>
      </c>
      <c r="V4009" s="15">
        <f>ROUNDUP((T4009+U4009+2*'Read Me'!$B$13)*(1+'Read Me'!$B$12),-1)</f>
        <v/>
      </c>
      <c r="W4009" s="15">
        <f>V4009*N4009*O4009</f>
        <v/>
      </c>
      <c r="X4009" s="12">
        <f>IF(LEFT(I4009,2)="MV",2*N4009*IF(L4009="1/C",O4009,1),0)</f>
        <v/>
      </c>
      <c r="Y4009" s="12">
        <f>IF(OR(LEFT(K4009,4)="LVAX",LEFT(K4009,6)="MV15AX",LEFT(K4009,4)="CTAX",LEFT(K4009,2)="W|"),2*N4009*O4009,0)</f>
        <v/>
      </c>
      <c r="Z4009" s="12" t="inlineStr">
        <is>
          <t>VD 1.7 %</t>
        </is>
      </c>
      <c r="AA4009" s="12">
        <f>N4009*O4009</f>
        <v/>
      </c>
    </row>
    <row r="4010">
      <c r="A4010" s="12" t="inlineStr">
        <is>
          <t>H-P-0013</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5" t="n">
        <v>74</v>
      </c>
      <c r="U4010" s="15" t="n">
        <v>165</v>
      </c>
      <c r="V4010" s="15">
        <f>ROUNDUP((T4010+U4010+2*'Read Me'!$B$13)*(1+'Read Me'!$B$12),-1)</f>
        <v/>
      </c>
      <c r="W4010" s="15">
        <f>V4010*N4010*O4010</f>
        <v/>
      </c>
      <c r="X4010" s="12">
        <f>IF(LEFT(I4010,2)="MV",2*N4010*IF(L4010="1/C",O4010,1),0)</f>
        <v/>
      </c>
      <c r="Y4010" s="12">
        <f>IF(OR(LEFT(K4010,4)="LVAX",LEFT(K4010,6)="MV15AX",LEFT(K4010,4)="CTAX",LEFT(K4010,2)="W|"),2*N4010*O4010,0)</f>
        <v/>
      </c>
      <c r="Z4010" s="12" t="inlineStr">
        <is>
          <t>VD 1.1 %</t>
        </is>
      </c>
      <c r="AA4010" s="12">
        <f>N4010*O4010</f>
        <v/>
      </c>
    </row>
    <row r="4011">
      <c r="A4011" s="12" t="inlineStr">
        <is>
          <t>H-P-0014</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5" t="n">
        <v>74</v>
      </c>
      <c r="U4011" s="15" t="n">
        <v>165</v>
      </c>
      <c r="V4011" s="15">
        <f>ROUNDUP((T4011+U4011+2*'Read Me'!$B$13)*(1+'Read Me'!$B$12),-1)</f>
        <v/>
      </c>
      <c r="W4011" s="15">
        <f>V4011*N4011*O4011</f>
        <v/>
      </c>
      <c r="X4011" s="12">
        <f>IF(LEFT(I4011,2)="MV",2*N4011*IF(L4011="1/C",O4011,1),0)</f>
        <v/>
      </c>
      <c r="Y4011" s="12">
        <f>IF(OR(LEFT(K4011,4)="LVAX",LEFT(K4011,6)="MV15AX",LEFT(K4011,4)="CTAX",LEFT(K4011,2)="W|"),2*N4011*O4011,0)</f>
        <v/>
      </c>
      <c r="Z4011" s="12" t="inlineStr">
        <is>
          <t>VD 1.1 %</t>
        </is>
      </c>
      <c r="AA4011" s="12">
        <f>N4011*O4011</f>
        <v/>
      </c>
    </row>
    <row r="4012">
      <c r="A4012" s="12" t="inlineStr">
        <is>
          <t>H-P-0015</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5" t="n">
        <v>318</v>
      </c>
      <c r="U4012" s="15" t="n">
        <v>219</v>
      </c>
      <c r="V4012" s="15">
        <f>ROUNDUP((T4012+U4012+2*'Read Me'!$B$13)*(1+'Read Me'!$B$12),-1)</f>
        <v/>
      </c>
      <c r="W4012" s="15">
        <f>V4012*N4012*O4012</f>
        <v/>
      </c>
      <c r="X4012" s="12">
        <f>IF(LEFT(I4012,2)="MV",2*N4012*IF(L4012="1/C",O4012,1),0)</f>
        <v/>
      </c>
      <c r="Y4012" s="12">
        <f>IF(OR(LEFT(K4012,4)="LVAX",LEFT(K4012,6)="MV15AX",LEFT(K4012,4)="CTAX",LEFT(K4012,2)="W|"),2*N4012*O4012,0)</f>
        <v/>
      </c>
      <c r="Z4012" s="12" t="inlineStr">
        <is>
          <t>VD 2.6 %</t>
        </is>
      </c>
      <c r="AA4012" s="12">
        <f>N4012*O4012</f>
        <v/>
      </c>
    </row>
    <row r="4013">
      <c r="A4013" s="12" t="inlineStr">
        <is>
          <t>H-P-0016</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5" t="n">
        <v>318</v>
      </c>
      <c r="U4013" s="15" t="n">
        <v>219</v>
      </c>
      <c r="V4013" s="15">
        <f>ROUNDUP((T4013+U4013+2*'Read Me'!$B$13)*(1+'Read Me'!$B$12),-1)</f>
        <v/>
      </c>
      <c r="W4013" s="15">
        <f>V4013*N4013*O4013</f>
        <v/>
      </c>
      <c r="X4013" s="12">
        <f>IF(LEFT(I4013,2)="MV",2*N4013*IF(L4013="1/C",O4013,1),0)</f>
        <v/>
      </c>
      <c r="Y4013" s="12">
        <f>IF(OR(LEFT(K4013,4)="LVAX",LEFT(K4013,6)="MV15AX",LEFT(K4013,4)="CTAX",LEFT(K4013,2)="W|"),2*N4013*O4013,0)</f>
        <v/>
      </c>
      <c r="Z4013" s="12" t="inlineStr">
        <is>
          <t>VD 2.6 %</t>
        </is>
      </c>
      <c r="AA4013" s="12">
        <f>N4013*O4013</f>
        <v/>
      </c>
    </row>
    <row r="4014">
      <c r="A4014" s="12" t="inlineStr">
        <is>
          <t>H-P-0017</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5" t="n">
        <v>178</v>
      </c>
      <c r="U4014" s="15" t="n">
        <v>239</v>
      </c>
      <c r="V4014" s="15">
        <f>ROUNDUP((T4014+U4014+2*'Read Me'!$B$13)*(1+'Read Me'!$B$12),-1)</f>
        <v/>
      </c>
      <c r="W4014" s="15">
        <f>V4014*N4014*O4014</f>
        <v/>
      </c>
      <c r="X4014" s="12">
        <f>IF(LEFT(I4014,2)="MV",2*N4014*IF(L4014="1/C",O4014,1),0)</f>
        <v/>
      </c>
      <c r="Y4014" s="12">
        <f>IF(OR(LEFT(K4014,4)="LVAX",LEFT(K4014,6)="MV15AX",LEFT(K4014,4)="CTAX",LEFT(K4014,2)="W|"),2*N4014*O4014,0)</f>
        <v/>
      </c>
      <c r="Z4014" s="12" t="inlineStr">
        <is>
          <t>VD 2.0 %</t>
        </is>
      </c>
      <c r="AA4014" s="12">
        <f>N4014*O4014</f>
        <v/>
      </c>
    </row>
    <row r="4015">
      <c r="A4015" s="12" t="inlineStr">
        <is>
          <t>H-P-0018</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5" t="n">
        <v>178</v>
      </c>
      <c r="U4015" s="15" t="n">
        <v>239</v>
      </c>
      <c r="V4015" s="15">
        <f>ROUNDUP((T4015+U4015+2*'Read Me'!$B$13)*(1+'Read Me'!$B$12),-1)</f>
        <v/>
      </c>
      <c r="W4015" s="15">
        <f>V4015*N4015*O4015</f>
        <v/>
      </c>
      <c r="X4015" s="12">
        <f>IF(LEFT(I4015,2)="MV",2*N4015*IF(L4015="1/C",O4015,1),0)</f>
        <v/>
      </c>
      <c r="Y4015" s="12">
        <f>IF(OR(LEFT(K4015,4)="LVAX",LEFT(K4015,6)="MV15AX",LEFT(K4015,4)="CTAX",LEFT(K4015,2)="W|"),2*N4015*O4015,0)</f>
        <v/>
      </c>
      <c r="Z4015" s="12" t="inlineStr">
        <is>
          <t>VD 2.0 %</t>
        </is>
      </c>
      <c r="AA4015" s="12">
        <f>N4015*O4015</f>
        <v/>
      </c>
    </row>
    <row r="4016">
      <c r="A4016" s="12" t="inlineStr">
        <is>
          <t>H-P-0019</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5" t="n">
        <v>380</v>
      </c>
      <c r="U4016" s="15" t="n">
        <v>149</v>
      </c>
      <c r="V4016" s="15">
        <f>ROUNDUP((T4016+U4016+2*'Read Me'!$B$13)*(1+'Read Me'!$B$12),-1)</f>
        <v/>
      </c>
      <c r="W4016" s="15">
        <f>V4016*N4016*O4016</f>
        <v/>
      </c>
      <c r="X4016" s="12">
        <f>IF(LEFT(I4016,2)="MV",2*N4016*IF(L4016="1/C",O4016,1),0)</f>
        <v/>
      </c>
      <c r="Y4016" s="12">
        <f>IF(OR(LEFT(K4016,4)="LVAX",LEFT(K4016,6)="MV15AX",LEFT(K4016,4)="CTAX",LEFT(K4016,2)="W|"),2*N4016*O4016,0)</f>
        <v/>
      </c>
      <c r="Z4016" s="12" t="inlineStr">
        <is>
          <t>VD 2.5 %</t>
        </is>
      </c>
      <c r="AA4016" s="12">
        <f>N4016*O4016</f>
        <v/>
      </c>
    </row>
    <row r="4017">
      <c r="A4017" s="12" t="inlineStr">
        <is>
          <t>H-P-0020</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5" t="n">
        <v>380</v>
      </c>
      <c r="U4017" s="15" t="n">
        <v>149</v>
      </c>
      <c r="V4017" s="15">
        <f>ROUNDUP((T4017+U4017+2*'Read Me'!$B$13)*(1+'Read Me'!$B$12),-1)</f>
        <v/>
      </c>
      <c r="W4017" s="15">
        <f>V4017*N4017*O4017</f>
        <v/>
      </c>
      <c r="X4017" s="12">
        <f>IF(LEFT(I4017,2)="MV",2*N4017*IF(L4017="1/C",O4017,1),0)</f>
        <v/>
      </c>
      <c r="Y4017" s="12">
        <f>IF(OR(LEFT(K4017,4)="LVAX",LEFT(K4017,6)="MV15AX",LEFT(K4017,4)="CTAX",LEFT(K4017,2)="W|"),2*N4017*O4017,0)</f>
        <v/>
      </c>
      <c r="Z4017" s="12" t="inlineStr">
        <is>
          <t>VD 2.5 %</t>
        </is>
      </c>
      <c r="AA4017" s="12">
        <f>N4017*O4017</f>
        <v/>
      </c>
    </row>
    <row r="4018">
      <c r="A4018" s="12" t="inlineStr">
        <is>
          <t>H-P-0021</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LV|3/C+G|8</t>
        </is>
      </c>
      <c r="L4018" s="12" t="inlineStr">
        <is>
          <t>3/C+G</t>
        </is>
      </c>
      <c r="M4018" s="12" t="inlineStr">
        <is>
          <t>8</t>
        </is>
      </c>
      <c r="N4018" s="12" t="n">
        <v>1</v>
      </c>
      <c r="O4018" s="12" t="n">
        <v>1</v>
      </c>
      <c r="P4018" s="12" t="n">
        <v>480</v>
      </c>
      <c r="Q4018" s="12" t="n">
        <v>7</v>
      </c>
      <c r="R4018" s="12" t="n">
        <v>9.9</v>
      </c>
      <c r="S4018" s="12" t="inlineStr">
        <is>
          <t>Duct bank</t>
        </is>
      </c>
      <c r="T4018" s="15" t="n">
        <v>620</v>
      </c>
      <c r="U4018" s="15" t="n">
        <v>91</v>
      </c>
      <c r="V4018" s="15">
        <f>ROUNDUP((T4018+U4018+2*'Read Me'!$B$13)*(1+'Read Me'!$B$12),-1)</f>
        <v/>
      </c>
      <c r="W4018" s="15">
        <f>V4018*N4018*O4018</f>
        <v/>
      </c>
      <c r="X4018" s="12">
        <f>IF(LEFT(I4018,2)="MV",2*N4018*IF(L4018="1/C",O4018,1),0)</f>
        <v/>
      </c>
      <c r="Y4018" s="12">
        <f>IF(OR(LEFT(K4018,4)="LVAX",LEFT(K4018,6)="MV15AX",LEFT(K4018,4)="CTAX",LEFT(K4018,2)="W|"),2*N4018*O4018,0)</f>
        <v/>
      </c>
      <c r="Z4018" s="12" t="inlineStr">
        <is>
          <t>VD 2.1 %</t>
        </is>
      </c>
      <c r="AA4018" s="12">
        <f>N4018*O4018</f>
        <v/>
      </c>
    </row>
    <row r="4019">
      <c r="A4019" s="12" t="inlineStr">
        <is>
          <t>H-P-0022</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LV|3/C+G|8</t>
        </is>
      </c>
      <c r="L4019" s="12" t="inlineStr">
        <is>
          <t>3/C+G</t>
        </is>
      </c>
      <c r="M4019" s="12" t="inlineStr">
        <is>
          <t>8</t>
        </is>
      </c>
      <c r="N4019" s="12" t="n">
        <v>1</v>
      </c>
      <c r="O4019" s="12" t="n">
        <v>1</v>
      </c>
      <c r="P4019" s="12" t="n">
        <v>480</v>
      </c>
      <c r="Q4019" s="12" t="n">
        <v>7</v>
      </c>
      <c r="R4019" s="12" t="n">
        <v>9.9</v>
      </c>
      <c r="S4019" s="12" t="inlineStr">
        <is>
          <t>Duct bank</t>
        </is>
      </c>
      <c r="T4019" s="15" t="n">
        <v>620</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is>
          <t>VD 2.1 %</t>
        </is>
      </c>
      <c r="AA4019" s="12">
        <f>N4019*O4019</f>
        <v/>
      </c>
    </row>
    <row r="4020">
      <c r="A4020" s="12" t="inlineStr">
        <is>
          <t>H-P-0023</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5" t="n">
        <v>500</v>
      </c>
      <c r="U4020" s="15" t="n">
        <v>91</v>
      </c>
      <c r="V4020" s="15">
        <f>ROUNDUP((T4020+U4020+2*'Read Me'!$B$13)*(1+'Read Me'!$B$12),-1)</f>
        <v/>
      </c>
      <c r="W4020" s="15">
        <f>V4020*N4020*O4020</f>
        <v/>
      </c>
      <c r="X4020" s="12">
        <f>IF(LEFT(I4020,2)="MV",2*N4020*IF(L4020="1/C",O4020,1),0)</f>
        <v/>
      </c>
      <c r="Y4020" s="12">
        <f>IF(OR(LEFT(K4020,4)="LVAX",LEFT(K4020,6)="MV15AX",LEFT(K4020,4)="CTAX",LEFT(K4020,2)="W|"),2*N4020*O4020,0)</f>
        <v/>
      </c>
      <c r="Z4020" s="12" t="inlineStr">
        <is>
          <t>VD 2.8 %</t>
        </is>
      </c>
      <c r="AA4020" s="12">
        <f>N4020*O4020</f>
        <v/>
      </c>
    </row>
    <row r="4021">
      <c r="A4021" s="12" t="inlineStr">
        <is>
          <t>H-P-0024</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5" t="n">
        <v>500</v>
      </c>
      <c r="U4021" s="15" t="n">
        <v>91</v>
      </c>
      <c r="V4021" s="15">
        <f>ROUNDUP((T4021+U4021+2*'Read Me'!$B$13)*(1+'Read Me'!$B$12),-1)</f>
        <v/>
      </c>
      <c r="W4021" s="15">
        <f>V4021*N4021*O4021</f>
        <v/>
      </c>
      <c r="X4021" s="12">
        <f>IF(LEFT(I4021,2)="MV",2*N4021*IF(L4021="1/C",O4021,1),0)</f>
        <v/>
      </c>
      <c r="Y4021" s="12">
        <f>IF(OR(LEFT(K4021,4)="LVAX",LEFT(K4021,6)="MV15AX",LEFT(K4021,4)="CTAX",LEFT(K4021,2)="W|"),2*N4021*O4021,0)</f>
        <v/>
      </c>
      <c r="Z4021" s="12" t="inlineStr">
        <is>
          <t>VD 2.8 %</t>
        </is>
      </c>
      <c r="AA4021" s="12">
        <f>N4021*O4021</f>
        <v/>
      </c>
    </row>
    <row r="4022">
      <c r="A4022" s="12" t="inlineStr">
        <is>
          <t>H-P-0025</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5" t="n">
        <v>380</v>
      </c>
      <c r="U4022" s="15" t="n">
        <v>91</v>
      </c>
      <c r="V4022" s="15">
        <f>ROUNDUP((T4022+U4022+2*'Read Me'!$B$13)*(1+'Read Me'!$B$12),-1)</f>
        <v/>
      </c>
      <c r="W4022" s="15">
        <f>V4022*N4022*O4022</f>
        <v/>
      </c>
      <c r="X4022" s="12">
        <f>IF(LEFT(I4022,2)="MV",2*N4022*IF(L4022="1/C",O4022,1),0)</f>
        <v/>
      </c>
      <c r="Y4022" s="12">
        <f>IF(OR(LEFT(K4022,4)="LVAX",LEFT(K4022,6)="MV15AX",LEFT(K4022,4)="CTAX",LEFT(K4022,2)="W|"),2*N4022*O4022,0)</f>
        <v/>
      </c>
      <c r="Z4022" s="12" t="inlineStr">
        <is>
          <t>VD 2.2 %</t>
        </is>
      </c>
      <c r="AA4022" s="12">
        <f>N4022*O4022</f>
        <v/>
      </c>
    </row>
    <row r="4023">
      <c r="A4023" s="12" t="inlineStr">
        <is>
          <t>H-P-0026</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5" t="n">
        <v>380</v>
      </c>
      <c r="U4023" s="15" t="n">
        <v>91</v>
      </c>
      <c r="V4023" s="15">
        <f>ROUNDUP((T4023+U4023+2*'Read Me'!$B$13)*(1+'Read Me'!$B$12),-1)</f>
        <v/>
      </c>
      <c r="W4023" s="15">
        <f>V4023*N4023*O4023</f>
        <v/>
      </c>
      <c r="X4023" s="12">
        <f>IF(LEFT(I4023,2)="MV",2*N4023*IF(L4023="1/C",O4023,1),0)</f>
        <v/>
      </c>
      <c r="Y4023" s="12">
        <f>IF(OR(LEFT(K4023,4)="LVAX",LEFT(K4023,6)="MV15AX",LEFT(K4023,4)="CTAX",LEFT(K4023,2)="W|"),2*N4023*O4023,0)</f>
        <v/>
      </c>
      <c r="Z4023" s="12" t="inlineStr">
        <is>
          <t>VD 2.2 %</t>
        </is>
      </c>
      <c r="AA4023" s="12">
        <f>N4023*O4023</f>
        <v/>
      </c>
    </row>
    <row r="4024">
      <c r="A4024" s="12" t="inlineStr">
        <is>
          <t>H-P-0027</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5" t="n">
        <v>620</v>
      </c>
      <c r="U4024" s="15" t="n">
        <v>37</v>
      </c>
      <c r="V4024" s="15">
        <f>ROUNDUP((T4024+U4024+2*'Read Me'!$B$13)*(1+'Read Me'!$B$12),-1)</f>
        <v/>
      </c>
      <c r="W4024" s="15">
        <f>V4024*N4024*O4024</f>
        <v/>
      </c>
      <c r="X4024" s="12">
        <f>IF(LEFT(I4024,2)="MV",2*N4024*IF(L4024="1/C",O4024,1),0)</f>
        <v/>
      </c>
      <c r="Y4024" s="12">
        <f>IF(OR(LEFT(K4024,4)="LVAX",LEFT(K4024,6)="MV15AX",LEFT(K4024,4)="CTAX",LEFT(K4024,2)="W|"),2*N4024*O4024,0)</f>
        <v/>
      </c>
      <c r="Z4024" s="12" t="inlineStr">
        <is>
          <t>VD 2.0 %</t>
        </is>
      </c>
      <c r="AA4024" s="12">
        <f>N4024*O4024</f>
        <v/>
      </c>
    </row>
    <row r="4025">
      <c r="A4025" s="12" t="inlineStr">
        <is>
          <t>H-P-0028</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5" t="n">
        <v>620</v>
      </c>
      <c r="U4025" s="15" t="n">
        <v>37</v>
      </c>
      <c r="V4025" s="15">
        <f>ROUNDUP((T4025+U4025+2*'Read Me'!$B$13)*(1+'Read Me'!$B$12),-1)</f>
        <v/>
      </c>
      <c r="W4025" s="15">
        <f>V4025*N4025*O4025</f>
        <v/>
      </c>
      <c r="X4025" s="12">
        <f>IF(LEFT(I4025,2)="MV",2*N4025*IF(L4025="1/C",O4025,1),0)</f>
        <v/>
      </c>
      <c r="Y4025" s="12">
        <f>IF(OR(LEFT(K4025,4)="LVAX",LEFT(K4025,6)="MV15AX",LEFT(K4025,4)="CTAX",LEFT(K4025,2)="W|"),2*N4025*O4025,0)</f>
        <v/>
      </c>
      <c r="Z4025" s="12" t="inlineStr">
        <is>
          <t>VD 2.0 %</t>
        </is>
      </c>
      <c r="AA4025" s="12">
        <f>N4025*O4025</f>
        <v/>
      </c>
    </row>
    <row r="4026">
      <c r="A4026" s="12" t="inlineStr">
        <is>
          <t>H-P-0029</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5" t="n">
        <v>500</v>
      </c>
      <c r="U4026" s="15" t="n">
        <v>37</v>
      </c>
      <c r="V4026" s="15">
        <f>ROUNDUP((T4026+U4026+2*'Read Me'!$B$13)*(1+'Read Me'!$B$12),-1)</f>
        <v/>
      </c>
      <c r="W4026" s="15">
        <f>V4026*N4026*O4026</f>
        <v/>
      </c>
      <c r="X4026" s="12">
        <f>IF(LEFT(I4026,2)="MV",2*N4026*IF(L4026="1/C",O4026,1),0)</f>
        <v/>
      </c>
      <c r="Y4026" s="12">
        <f>IF(OR(LEFT(K4026,4)="LVAX",LEFT(K4026,6)="MV15AX",LEFT(K4026,4)="CTAX",LEFT(K4026,2)="W|"),2*N4026*O4026,0)</f>
        <v/>
      </c>
      <c r="Z4026" s="12" t="inlineStr">
        <is>
          <t>VD 2.6 %</t>
        </is>
      </c>
      <c r="AA4026" s="12">
        <f>N4026*O4026</f>
        <v/>
      </c>
    </row>
    <row r="4027">
      <c r="A4027" s="12" t="inlineStr">
        <is>
          <t>H-P-0030</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5" t="n">
        <v>500</v>
      </c>
      <c r="U4027" s="15" t="n">
        <v>37</v>
      </c>
      <c r="V4027" s="15">
        <f>ROUNDUP((T4027+U4027+2*'Read Me'!$B$13)*(1+'Read Me'!$B$12),-1)</f>
        <v/>
      </c>
      <c r="W4027" s="15">
        <f>V4027*N4027*O4027</f>
        <v/>
      </c>
      <c r="X4027" s="12">
        <f>IF(LEFT(I4027,2)="MV",2*N4027*IF(L4027="1/C",O4027,1),0)</f>
        <v/>
      </c>
      <c r="Y4027" s="12">
        <f>IF(OR(LEFT(K4027,4)="LVAX",LEFT(K4027,6)="MV15AX",LEFT(K4027,4)="CTAX",LEFT(K4027,2)="W|"),2*N4027*O4027,0)</f>
        <v/>
      </c>
      <c r="Z4027" s="12" t="inlineStr">
        <is>
          <t>VD 2.6 %</t>
        </is>
      </c>
      <c r="AA4027" s="12">
        <f>N4027*O4027</f>
        <v/>
      </c>
    </row>
    <row r="4028">
      <c r="A4028" s="12" t="inlineStr">
        <is>
          <t>H-P-0031</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5" t="n">
        <v>380</v>
      </c>
      <c r="U4028" s="15" t="n">
        <v>37</v>
      </c>
      <c r="V4028" s="15">
        <f>ROUNDUP((T4028+U4028+2*'Read Me'!$B$13)*(1+'Read Me'!$B$12),-1)</f>
        <v/>
      </c>
      <c r="W4028" s="15">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H-P-0032</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5" t="n">
        <v>380</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H-P-0033</t>
        </is>
      </c>
      <c r="B4030" s="12" t="inlineStr">
        <is>
          <t>H</t>
        </is>
      </c>
      <c r="C4030" s="12" t="inlineStr">
        <is>
          <t>BESS</t>
        </is>
      </c>
      <c r="D4030" s="12" t="inlineStr">
        <is>
          <t>Container auxiliary 480 V</t>
        </is>
      </c>
      <c r="E4030" s="12" t="inlineStr"/>
      <c r="F4030" s="12" t="inlineStr">
        <is>
          <t>BESS PCS / MV skid</t>
        </is>
      </c>
      <c r="G4030" s="12" t="inlineStr"/>
      <c r="H4030" s="12" t="inlineStr">
        <is>
          <t>BESS container (ISO 40 ft high cube)</t>
        </is>
      </c>
      <c r="I4030" s="12" t="inlineStr">
        <is>
          <t>LV 600 V</t>
        </is>
      </c>
      <c r="J4030" s="12" t="inlineStr">
        <is>
          <t>Type TC-ER 600 V 3/C Cu XHHW-2 + ground, PVC jacket</t>
        </is>
      </c>
      <c r="K4030" s="12" t="inlineStr">
        <is>
          <t>LV|3/C+G|2</t>
        </is>
      </c>
      <c r="L4030" s="12" t="inlineStr">
        <is>
          <t>3/C+G</t>
        </is>
      </c>
      <c r="M4030" s="12" t="inlineStr">
        <is>
          <t>2</t>
        </is>
      </c>
      <c r="N4030" s="12" t="n">
        <v>1</v>
      </c>
      <c r="O4030" s="12" t="n">
        <v>1</v>
      </c>
      <c r="P4030" s="12" t="n">
        <v>480</v>
      </c>
      <c r="Q4030" s="12" t="n">
        <v>60</v>
      </c>
      <c r="R4030" s="12" t="n">
        <v>85</v>
      </c>
      <c r="S4030" s="12" t="inlineStr">
        <is>
          <t>Duct bank</t>
        </is>
      </c>
      <c r="T4030" s="15" t="n">
        <v>10</v>
      </c>
      <c r="U4030" s="15" t="n">
        <v>150</v>
      </c>
      <c r="V4030" s="15">
        <f>ROUNDUP((T4030+U4030+2*'Read Me'!$B$13)*(1+'Read Me'!$B$12),-1)</f>
        <v/>
      </c>
      <c r="W4030" s="15">
        <f>V4030*N4030*O4030</f>
        <v/>
      </c>
      <c r="X4030" s="12">
        <f>IF(LEFT(I4030,2)="MV",2*N4030*IF(L4030="1/C",O4030,1),0)</f>
        <v/>
      </c>
      <c r="Y4030" s="12">
        <f>IF(OR(LEFT(K4030,4)="LVAX",LEFT(K4030,6)="MV15AX",LEFT(K4030,4)="CTAX",LEFT(K4030,2)="W|"),2*N4030*O4030,0)</f>
        <v/>
      </c>
      <c r="Z4030" s="12" t="inlineStr"/>
      <c r="AA4030" s="12">
        <f>N4030*O4030</f>
        <v/>
      </c>
    </row>
    <row r="4031">
      <c r="A4031" s="12" t="inlineStr">
        <is>
          <t>H-P-0034</t>
        </is>
      </c>
      <c r="B4031" s="12" t="inlineStr">
        <is>
          <t>H</t>
        </is>
      </c>
      <c r="C4031" s="12" t="inlineStr">
        <is>
          <t>BESS</t>
        </is>
      </c>
      <c r="D4031" s="12" t="inlineStr">
        <is>
          <t>Container auxiliary 480 V</t>
        </is>
      </c>
      <c r="E4031" s="12" t="inlineStr"/>
      <c r="F4031" s="12" t="inlineStr">
        <is>
          <t>BESS PCS / MV skid</t>
        </is>
      </c>
      <c r="G4031" s="12" t="inlineStr"/>
      <c r="H4031" s="12" t="inlineStr">
        <is>
          <t>BESS container (ISO 40 ft high cube)</t>
        </is>
      </c>
      <c r="I4031" s="12" t="inlineStr">
        <is>
          <t>LV 600 V</t>
        </is>
      </c>
      <c r="J4031" s="12" t="inlineStr">
        <is>
          <t>Type TC-ER 600 V 3/C Cu XHHW-2 + ground, PVC jacket</t>
        </is>
      </c>
      <c r="K4031" s="12" t="inlineStr">
        <is>
          <t>LV|3/C+G|2</t>
        </is>
      </c>
      <c r="L4031" s="12" t="inlineStr">
        <is>
          <t>3/C+G</t>
        </is>
      </c>
      <c r="M4031" s="12" t="inlineStr">
        <is>
          <t>2</t>
        </is>
      </c>
      <c r="N4031" s="12" t="n">
        <v>1</v>
      </c>
      <c r="O4031" s="12" t="n">
        <v>1</v>
      </c>
      <c r="P4031" s="12" t="n">
        <v>480</v>
      </c>
      <c r="Q4031" s="12" t="n">
        <v>60</v>
      </c>
      <c r="R4031" s="12" t="n">
        <v>85</v>
      </c>
      <c r="S4031" s="12" t="inlineStr">
        <is>
          <t>Tray</t>
        </is>
      </c>
      <c r="T4031" s="15" t="n">
        <v>0</v>
      </c>
      <c r="U4031" s="15" t="n">
        <v>160</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H-P-0035</t>
        </is>
      </c>
      <c r="B4032" s="12" t="inlineStr">
        <is>
          <t>H</t>
        </is>
      </c>
      <c r="C4032" s="12" t="inlineStr">
        <is>
          <t>BESS</t>
        </is>
      </c>
      <c r="D4032" s="12" t="inlineStr">
        <is>
          <t>Container auxiliary 480 V</t>
        </is>
      </c>
      <c r="E4032" s="12" t="inlineStr"/>
      <c r="F4032" s="12" t="inlineStr">
        <is>
          <t>BESS PCS / MV skid</t>
        </is>
      </c>
      <c r="G4032" s="12" t="inlineStr"/>
      <c r="H4032" s="12" t="inlineStr">
        <is>
          <t>BESS container (ISO 40 ft high cube)</t>
        </is>
      </c>
      <c r="I4032" s="12" t="inlineStr">
        <is>
          <t>LV 600 V</t>
        </is>
      </c>
      <c r="J4032" s="12" t="inlineStr">
        <is>
          <t>Type TC-ER 600 V 3/C Cu XHHW-2 + ground, PVC jacket</t>
        </is>
      </c>
      <c r="K4032" s="12" t="inlineStr">
        <is>
          <t>LV|3/C+G|2</t>
        </is>
      </c>
      <c r="L4032" s="12" t="inlineStr">
        <is>
          <t>3/C+G</t>
        </is>
      </c>
      <c r="M4032" s="12" t="inlineStr">
        <is>
          <t>2</t>
        </is>
      </c>
      <c r="N4032" s="12" t="n">
        <v>1</v>
      </c>
      <c r="O4032" s="12" t="n">
        <v>1</v>
      </c>
      <c r="P4032" s="12" t="n">
        <v>480</v>
      </c>
      <c r="Q4032" s="12" t="n">
        <v>60</v>
      </c>
      <c r="R4032" s="12" t="n">
        <v>85</v>
      </c>
      <c r="S4032" s="12" t="inlineStr">
        <is>
          <t>Tray</t>
        </is>
      </c>
      <c r="T4032" s="15" t="n">
        <v>0</v>
      </c>
      <c r="U4032" s="15" t="n">
        <v>200</v>
      </c>
      <c r="V4032" s="15">
        <f>ROUNDUP((T4032+U4032+2*'Read Me'!$B$13)*(1+'Read Me'!$B$12),-1)</f>
        <v/>
      </c>
      <c r="W4032" s="15">
        <f>V4032*N4032*O4032</f>
        <v/>
      </c>
      <c r="X4032" s="12">
        <f>IF(LEFT(I4032,2)="MV",2*N4032*IF(L4032="1/C",O4032,1),0)</f>
        <v/>
      </c>
      <c r="Y4032" s="12">
        <f>IF(OR(LEFT(K4032,4)="LVAX",LEFT(K4032,6)="MV15AX",LEFT(K4032,4)="CTAX",LEFT(K4032,2)="W|"),2*N4032*O4032,0)</f>
        <v/>
      </c>
      <c r="Z4032" s="12" t="inlineStr"/>
      <c r="AA4032" s="12">
        <f>N4032*O4032</f>
        <v/>
      </c>
    </row>
    <row r="4033">
      <c r="A4033" s="12" t="inlineStr">
        <is>
          <t>H-P-0036</t>
        </is>
      </c>
      <c r="B4033" s="12" t="inlineStr">
        <is>
          <t>H</t>
        </is>
      </c>
      <c r="C4033" s="12" t="inlineStr">
        <is>
          <t>BESS</t>
        </is>
      </c>
      <c r="D4033" s="12" t="inlineStr">
        <is>
          <t>Container auxiliary 480 V</t>
        </is>
      </c>
      <c r="E4033" s="12" t="inlineStr"/>
      <c r="F4033" s="12" t="inlineStr">
        <is>
          <t>BESS PCS / MV skid</t>
        </is>
      </c>
      <c r="G4033" s="12" t="inlineStr"/>
      <c r="H4033" s="12" t="inlineStr">
        <is>
          <t>BESS container (ISO 40 ft high cube)</t>
        </is>
      </c>
      <c r="I4033" s="12" t="inlineStr">
        <is>
          <t>LV 600 V</t>
        </is>
      </c>
      <c r="J4033" s="12" t="inlineStr">
        <is>
          <t>Type TC-ER 600 V 3/C Cu XHHW-2 + ground, PVC jacket</t>
        </is>
      </c>
      <c r="K4033" s="12" t="inlineStr">
        <is>
          <t>LV|3/C+G|2</t>
        </is>
      </c>
      <c r="L4033" s="12" t="inlineStr">
        <is>
          <t>3/C+G</t>
        </is>
      </c>
      <c r="M4033" s="12" t="inlineStr">
        <is>
          <t>2</t>
        </is>
      </c>
      <c r="N4033" s="12" t="n">
        <v>1</v>
      </c>
      <c r="O4033" s="12" t="n">
        <v>1</v>
      </c>
      <c r="P4033" s="12" t="n">
        <v>480</v>
      </c>
      <c r="Q4033" s="12" t="n">
        <v>60</v>
      </c>
      <c r="R4033" s="12" t="n">
        <v>85</v>
      </c>
      <c r="S4033" s="12" t="inlineStr">
        <is>
          <t>Tray</t>
        </is>
      </c>
      <c r="T4033" s="15" t="n">
        <v>0</v>
      </c>
      <c r="U4033" s="15" t="n">
        <v>200</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H-P-0037</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Tray</t>
        </is>
      </c>
      <c r="T4034" s="15" t="n">
        <v>0</v>
      </c>
      <c r="U4034" s="15" t="n">
        <v>168</v>
      </c>
      <c r="V4034" s="15">
        <f>ROUNDUP((T4034+U4034+2*'Read Me'!$B$13)*(1+'Read Me'!$B$12),-1)</f>
        <v/>
      </c>
      <c r="W4034" s="15">
        <f>V4034*N4034*O4034</f>
        <v/>
      </c>
      <c r="X4034" s="12">
        <f>IF(LEFT(I4034,2)="MV",2*N4034*IF(L4034="1/C",O4034,1),0)</f>
        <v/>
      </c>
      <c r="Y4034" s="12">
        <f>IF(OR(LEFT(K4034,4)="LVAX",LEFT(K4034,6)="MV15AX",LEFT(K4034,4)="CTAX",LEFT(K4034,2)="W|"),2*N4034*O4034,0)</f>
        <v/>
      </c>
      <c r="Z4034" s="12" t="inlineStr"/>
      <c r="AA4034" s="12">
        <f>N4034*O4034</f>
        <v/>
      </c>
    </row>
    <row r="4035">
      <c r="A4035" s="12" t="inlineStr">
        <is>
          <t>H-P-0038</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5" t="n">
        <v>0</v>
      </c>
      <c r="U4035" s="15" t="n">
        <v>168</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H-P-0039</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5" t="n">
        <v>10</v>
      </c>
      <c r="U4036" s="15" t="n">
        <v>266</v>
      </c>
      <c r="V4036" s="15">
        <f>ROUNDUP((T4036+U4036+2*'Read Me'!$B$13)*(1+'Read Me'!$B$12),-1)</f>
        <v/>
      </c>
      <c r="W4036" s="15">
        <f>V4036*N4036*O4036</f>
        <v/>
      </c>
      <c r="X4036" s="12">
        <f>IF(LEFT(I4036,2)="MV",2*N4036*IF(L4036="1/C",O4036,1),0)</f>
        <v/>
      </c>
      <c r="Y4036" s="12">
        <f>IF(OR(LEFT(K4036,4)="LVAX",LEFT(K4036,6)="MV15AX",LEFT(K4036,4)="CTAX",LEFT(K4036,2)="W|"),2*N4036*O4036,0)</f>
        <v/>
      </c>
      <c r="Z4036" s="12" t="inlineStr"/>
      <c r="AA4036" s="12">
        <f>N4036*O4036</f>
        <v/>
      </c>
    </row>
    <row r="4037">
      <c r="A4037" s="12" t="inlineStr">
        <is>
          <t>H-P-0040</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5" t="n">
        <v>0</v>
      </c>
      <c r="U4037" s="15" t="n">
        <v>276</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H-P-0041</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5" t="n">
        <v>0</v>
      </c>
      <c r="U4038" s="15" t="n">
        <v>316</v>
      </c>
      <c r="V4038" s="15">
        <f>ROUNDUP((T4038+U4038+2*'Read Me'!$B$13)*(1+'Read Me'!$B$12),-1)</f>
        <v/>
      </c>
      <c r="W4038" s="15">
        <f>V4038*N4038*O4038</f>
        <v/>
      </c>
      <c r="X4038" s="12">
        <f>IF(LEFT(I4038,2)="MV",2*N4038*IF(L4038="1/C",O4038,1),0)</f>
        <v/>
      </c>
      <c r="Y4038" s="12">
        <f>IF(OR(LEFT(K4038,4)="LVAX",LEFT(K4038,6)="MV15AX",LEFT(K4038,4)="CTAX",LEFT(K4038,2)="W|"),2*N4038*O4038,0)</f>
        <v/>
      </c>
      <c r="Z4038" s="12" t="inlineStr"/>
      <c r="AA4038" s="12">
        <f>N4038*O4038</f>
        <v/>
      </c>
    </row>
    <row r="4039">
      <c r="A4039" s="12" t="inlineStr">
        <is>
          <t>H-P-0042</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5" t="n">
        <v>0</v>
      </c>
      <c r="U4039" s="15" t="n">
        <v>316</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H-P-0043</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5" t="n">
        <v>0</v>
      </c>
      <c r="U4040" s="15" t="n">
        <v>284</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H-P-0044</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5" t="n">
        <v>0</v>
      </c>
      <c r="U4041" s="15" t="n">
        <v>284</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H-P-0045</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5" t="n">
        <v>0</v>
      </c>
      <c r="U4042" s="15" t="n">
        <v>290</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H-P-0046</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5" t="n">
        <v>0</v>
      </c>
      <c r="U4043" s="15" t="n">
        <v>290</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H-P-0047</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5" t="n">
        <v>0</v>
      </c>
      <c r="U4044" s="15" t="n">
        <v>290</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H-P-0048</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5" t="n">
        <v>0</v>
      </c>
      <c r="U4045" s="15" t="n">
        <v>290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H-P-0049</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5" t="n">
        <v>0</v>
      </c>
      <c r="U4046" s="15" t="n">
        <v>290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H-P-0050</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5" t="n">
        <v>0</v>
      </c>
      <c r="U4047" s="15" t="n">
        <v>290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H-P-0051</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5" t="n">
        <v>0</v>
      </c>
      <c r="U4048" s="15" t="n">
        <v>174</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H-P-0052</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5" t="n">
        <v>0</v>
      </c>
      <c r="U4049" s="15" t="n">
        <v>174</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H-P-0053</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5" t="n">
        <v>0</v>
      </c>
      <c r="U4050" s="15" t="n">
        <v>174</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H-P-0054</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5" t="n">
        <v>0</v>
      </c>
      <c r="U4051" s="15" t="n">
        <v>174</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H-P-0055</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5" t="n">
        <v>0</v>
      </c>
      <c r="U4052" s="15" t="n">
        <v>174</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H-P-0056</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5" t="n">
        <v>0</v>
      </c>
      <c r="U4053" s="15" t="n">
        <v>174</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H-P-0057</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5" t="n">
        <v>0</v>
      </c>
      <c r="U4054" s="15" t="n">
        <v>62</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H-P-0058</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5" t="n">
        <v>0</v>
      </c>
      <c r="U4055" s="15" t="n">
        <v>62</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H-P-0059</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5" t="n">
        <v>0</v>
      </c>
      <c r="U4056" s="15" t="n">
        <v>62</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H-P-0060</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5" t="n">
        <v>0</v>
      </c>
      <c r="U4057" s="15" t="n">
        <v>62</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H-P-0061</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5" t="n">
        <v>0</v>
      </c>
      <c r="U4058" s="15" t="n">
        <v>62</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H-P-0062</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5" t="n">
        <v>0</v>
      </c>
      <c r="U4059" s="15" t="n">
        <v>62</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H-P-0063</t>
        </is>
      </c>
      <c r="B4060" s="12" t="inlineStr">
        <is>
          <t>H</t>
        </is>
      </c>
      <c r="C4060" s="12" t="inlineStr">
        <is>
          <t>BESS</t>
        </is>
      </c>
      <c r="D4060" s="12" t="inlineStr">
        <is>
          <t>Motor 1 of 6, 2 kW</t>
        </is>
      </c>
      <c r="E4060" s="12" t="inlineStr"/>
      <c r="F4060" s="12" t="inlineStr">
        <is>
          <t>BESS auxiliary transformer</t>
        </is>
      </c>
      <c r="G4060" s="12" t="inlineStr">
        <is>
          <t>BESS MPT</t>
        </is>
      </c>
      <c r="H4060" s="12" t="inlineStr">
        <is>
          <t>BESS main power transformer 34.5/230 kV (to D4 upper)</t>
        </is>
      </c>
      <c r="I4060" s="12" t="inlineStr">
        <is>
          <t>LV 600 V</t>
        </is>
      </c>
      <c r="J4060" s="12" t="inlineStr">
        <is>
          <t>Type TC-ER 600 V 3/C Cu XHHW-2 + ground, PVC jacket</t>
        </is>
      </c>
      <c r="K4060" s="12" t="inlineStr">
        <is>
          <t>LV|3/C+G|10</t>
        </is>
      </c>
      <c r="L4060" s="12" t="inlineStr">
        <is>
          <t>3/C+G</t>
        </is>
      </c>
      <c r="M4060" s="12" t="inlineStr">
        <is>
          <t>10</t>
        </is>
      </c>
      <c r="N4060" s="12" t="n">
        <v>1</v>
      </c>
      <c r="O4060" s="12" t="n">
        <v>1</v>
      </c>
      <c r="P4060" s="12" t="n">
        <v>480</v>
      </c>
      <c r="Q4060" s="12" t="n">
        <v>2</v>
      </c>
      <c r="R4060" s="12" t="n">
        <v>2.8</v>
      </c>
      <c r="S4060" s="12" t="inlineStr">
        <is>
          <t>Duct bank</t>
        </is>
      </c>
      <c r="T4060" s="15" t="n">
        <v>187</v>
      </c>
      <c r="U4060" s="15" t="n">
        <v>32</v>
      </c>
      <c r="V4060" s="15">
        <f>ROUNDUP((T4060+U4060+2*'Read Me'!$B$13)*(1+'Read Me'!$B$12),-1)</f>
        <v/>
      </c>
      <c r="W4060" s="15">
        <f>V4060*N4060*O4060</f>
        <v/>
      </c>
      <c r="X4060" s="12">
        <f>IF(LEFT(I4060,2)="MV",2*N4060*IF(L4060="1/C",O4060,1),0)</f>
        <v/>
      </c>
      <c r="Y4060" s="12">
        <f>IF(OR(LEFT(K4060,4)="LVAX",LEFT(K4060,6)="MV15AX",LEFT(K4060,4)="CTAX",LEFT(K4060,2)="W|"),2*N4060*O4060,0)</f>
        <v/>
      </c>
      <c r="Z4060" s="12" t="inlineStr">
        <is>
          <t>VD 0.3 %</t>
        </is>
      </c>
      <c r="AA4060" s="12">
        <f>N4060*O4060</f>
        <v/>
      </c>
    </row>
    <row r="4061">
      <c r="A4061" s="12" t="inlineStr">
        <is>
          <t>H-P-0064</t>
        </is>
      </c>
      <c r="B4061" s="12" t="inlineStr">
        <is>
          <t>H</t>
        </is>
      </c>
      <c r="C4061" s="12" t="inlineStr">
        <is>
          <t>BESS</t>
        </is>
      </c>
      <c r="D4061" s="12" t="inlineStr">
        <is>
          <t>Motor 2 of 6, 2 kW</t>
        </is>
      </c>
      <c r="E4061" s="12" t="inlineStr"/>
      <c r="F4061" s="12" t="inlineStr">
        <is>
          <t>BESS auxiliary transformer</t>
        </is>
      </c>
      <c r="G4061" s="12" t="inlineStr">
        <is>
          <t>BESS MPT</t>
        </is>
      </c>
      <c r="H4061" s="12" t="inlineStr">
        <is>
          <t>BESS main power transformer 34.5/230 kV (to D4 upper)</t>
        </is>
      </c>
      <c r="I4061" s="12" t="inlineStr">
        <is>
          <t>LV 600 V</t>
        </is>
      </c>
      <c r="J4061" s="12" t="inlineStr">
        <is>
          <t>Type TC-ER 600 V 3/C Cu XHHW-2 + ground, PVC jacket</t>
        </is>
      </c>
      <c r="K4061" s="12" t="inlineStr">
        <is>
          <t>LV|3/C+G|10</t>
        </is>
      </c>
      <c r="L4061" s="12" t="inlineStr">
        <is>
          <t>3/C+G</t>
        </is>
      </c>
      <c r="M4061" s="12" t="inlineStr">
        <is>
          <t>10</t>
        </is>
      </c>
      <c r="N4061" s="12" t="n">
        <v>1</v>
      </c>
      <c r="O4061" s="12" t="n">
        <v>1</v>
      </c>
      <c r="P4061" s="12" t="n">
        <v>480</v>
      </c>
      <c r="Q4061" s="12" t="n">
        <v>2</v>
      </c>
      <c r="R4061" s="12" t="n">
        <v>2.8</v>
      </c>
      <c r="S4061" s="12" t="inlineStr">
        <is>
          <t>Duct bank</t>
        </is>
      </c>
      <c r="T4061" s="15" t="n">
        <v>187</v>
      </c>
      <c r="U4061" s="15" t="n">
        <v>32</v>
      </c>
      <c r="V4061" s="15">
        <f>ROUNDUP((T4061+U4061+2*'Read Me'!$B$13)*(1+'Read Me'!$B$12),-1)</f>
        <v/>
      </c>
      <c r="W4061" s="15">
        <f>V4061*N4061*O4061</f>
        <v/>
      </c>
      <c r="X4061" s="12">
        <f>IF(LEFT(I4061,2)="MV",2*N4061*IF(L4061="1/C",O4061,1),0)</f>
        <v/>
      </c>
      <c r="Y4061" s="12">
        <f>IF(OR(LEFT(K4061,4)="LVAX",LEFT(K4061,6)="MV15AX",LEFT(K4061,4)="CTAX",LEFT(K4061,2)="W|"),2*N4061*O4061,0)</f>
        <v/>
      </c>
      <c r="Z4061" s="12" t="inlineStr">
        <is>
          <t>VD 0.3 %</t>
        </is>
      </c>
      <c r="AA4061" s="12">
        <f>N4061*O4061</f>
        <v/>
      </c>
    </row>
    <row r="4062">
      <c r="A4062" s="12" t="inlineStr">
        <is>
          <t>H-P-0065</t>
        </is>
      </c>
      <c r="B4062" s="12" t="inlineStr">
        <is>
          <t>H</t>
        </is>
      </c>
      <c r="C4062" s="12" t="inlineStr">
        <is>
          <t>BESS</t>
        </is>
      </c>
      <c r="D4062" s="12" t="inlineStr">
        <is>
          <t>Motor 3 of 6, 2 kW</t>
        </is>
      </c>
      <c r="E4062" s="12" t="inlineStr"/>
      <c r="F4062" s="12" t="inlineStr">
        <is>
          <t>BESS auxiliary transformer</t>
        </is>
      </c>
      <c r="G4062" s="12" t="inlineStr">
        <is>
          <t>BESS MPT</t>
        </is>
      </c>
      <c r="H4062" s="12" t="inlineStr">
        <is>
          <t>BESS main power transformer 34.5/230 kV (to D4 upper)</t>
        </is>
      </c>
      <c r="I4062" s="12" t="inlineStr">
        <is>
          <t>LV 600 V</t>
        </is>
      </c>
      <c r="J4062" s="12" t="inlineStr">
        <is>
          <t>Type TC-ER 600 V 3/C Cu XHHW-2 + ground, PVC jacket</t>
        </is>
      </c>
      <c r="K4062" s="12" t="inlineStr">
        <is>
          <t>LV|3/C+G|10</t>
        </is>
      </c>
      <c r="L4062" s="12" t="inlineStr">
        <is>
          <t>3/C+G</t>
        </is>
      </c>
      <c r="M4062" s="12" t="inlineStr">
        <is>
          <t>10</t>
        </is>
      </c>
      <c r="N4062" s="12" t="n">
        <v>1</v>
      </c>
      <c r="O4062" s="12" t="n">
        <v>1</v>
      </c>
      <c r="P4062" s="12" t="n">
        <v>480</v>
      </c>
      <c r="Q4062" s="12" t="n">
        <v>2</v>
      </c>
      <c r="R4062" s="12" t="n">
        <v>2.8</v>
      </c>
      <c r="S4062" s="12" t="inlineStr">
        <is>
          <t>Duct bank</t>
        </is>
      </c>
      <c r="T4062" s="15" t="n">
        <v>187</v>
      </c>
      <c r="U4062" s="15" t="n">
        <v>32</v>
      </c>
      <c r="V4062" s="15">
        <f>ROUNDUP((T4062+U4062+2*'Read Me'!$B$13)*(1+'Read Me'!$B$12),-1)</f>
        <v/>
      </c>
      <c r="W4062" s="15">
        <f>V4062*N4062*O4062</f>
        <v/>
      </c>
      <c r="X4062" s="12">
        <f>IF(LEFT(I4062,2)="MV",2*N4062*IF(L4062="1/C",O4062,1),0)</f>
        <v/>
      </c>
      <c r="Y4062" s="12">
        <f>IF(OR(LEFT(K4062,4)="LVAX",LEFT(K4062,6)="MV15AX",LEFT(K4062,4)="CTAX",LEFT(K4062,2)="W|"),2*N4062*O4062,0)</f>
        <v/>
      </c>
      <c r="Z4062" s="12" t="inlineStr">
        <is>
          <t>VD 0.3 %</t>
        </is>
      </c>
      <c r="AA4062" s="12">
        <f>N4062*O4062</f>
        <v/>
      </c>
    </row>
    <row r="4063">
      <c r="A4063" s="12" t="inlineStr">
        <is>
          <t>H-P-0066</t>
        </is>
      </c>
      <c r="B4063" s="12" t="inlineStr">
        <is>
          <t>H</t>
        </is>
      </c>
      <c r="C4063" s="12" t="inlineStr">
        <is>
          <t>BESS</t>
        </is>
      </c>
      <c r="D4063" s="12" t="inlineStr">
        <is>
          <t>Motor 4 of 6, 2 kW</t>
        </is>
      </c>
      <c r="E4063" s="12" t="inlineStr"/>
      <c r="F4063" s="12" t="inlineStr">
        <is>
          <t>BESS auxiliary transformer</t>
        </is>
      </c>
      <c r="G4063" s="12" t="inlineStr">
        <is>
          <t>BESS MPT</t>
        </is>
      </c>
      <c r="H4063" s="12" t="inlineStr">
        <is>
          <t>BESS main power transformer 34.5/230 kV (to D4 upper)</t>
        </is>
      </c>
      <c r="I4063" s="12" t="inlineStr">
        <is>
          <t>LV 600 V</t>
        </is>
      </c>
      <c r="J4063" s="12" t="inlineStr">
        <is>
          <t>Type TC-ER 600 V 3/C Cu XHHW-2 + ground, PVC jacket</t>
        </is>
      </c>
      <c r="K4063" s="12" t="inlineStr">
        <is>
          <t>LV|3/C+G|10</t>
        </is>
      </c>
      <c r="L4063" s="12" t="inlineStr">
        <is>
          <t>3/C+G</t>
        </is>
      </c>
      <c r="M4063" s="12" t="inlineStr">
        <is>
          <t>10</t>
        </is>
      </c>
      <c r="N4063" s="12" t="n">
        <v>1</v>
      </c>
      <c r="O4063" s="12" t="n">
        <v>1</v>
      </c>
      <c r="P4063" s="12" t="n">
        <v>480</v>
      </c>
      <c r="Q4063" s="12" t="n">
        <v>2</v>
      </c>
      <c r="R4063" s="12" t="n">
        <v>2.8</v>
      </c>
      <c r="S4063" s="12" t="inlineStr">
        <is>
          <t>Duct bank</t>
        </is>
      </c>
      <c r="T4063" s="15" t="n">
        <v>187</v>
      </c>
      <c r="U4063" s="15" t="n">
        <v>32</v>
      </c>
      <c r="V4063" s="15">
        <f>ROUNDUP((T4063+U4063+2*'Read Me'!$B$13)*(1+'Read Me'!$B$12),-1)</f>
        <v/>
      </c>
      <c r="W4063" s="15">
        <f>V4063*N4063*O4063</f>
        <v/>
      </c>
      <c r="X4063" s="12">
        <f>IF(LEFT(I4063,2)="MV",2*N4063*IF(L4063="1/C",O4063,1),0)</f>
        <v/>
      </c>
      <c r="Y4063" s="12">
        <f>IF(OR(LEFT(K4063,4)="LVAX",LEFT(K4063,6)="MV15AX",LEFT(K4063,4)="CTAX",LEFT(K4063,2)="W|"),2*N4063*O4063,0)</f>
        <v/>
      </c>
      <c r="Z4063" s="12" t="inlineStr">
        <is>
          <t>VD 0.3 %</t>
        </is>
      </c>
      <c r="AA4063" s="12">
        <f>N4063*O4063</f>
        <v/>
      </c>
    </row>
    <row r="4064">
      <c r="A4064" s="12" t="inlineStr">
        <is>
          <t>H-P-0067</t>
        </is>
      </c>
      <c r="B4064" s="12" t="inlineStr">
        <is>
          <t>H</t>
        </is>
      </c>
      <c r="C4064" s="12" t="inlineStr">
        <is>
          <t>BESS</t>
        </is>
      </c>
      <c r="D4064" s="12" t="inlineStr">
        <is>
          <t>Motor 5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5" t="n">
        <v>187</v>
      </c>
      <c r="U4064" s="15" t="n">
        <v>32</v>
      </c>
      <c r="V4064" s="15">
        <f>ROUNDUP((T4064+U4064+2*'Read Me'!$B$13)*(1+'Read Me'!$B$12),-1)</f>
        <v/>
      </c>
      <c r="W4064" s="15">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H-P-0068</t>
        </is>
      </c>
      <c r="B4065" s="12" t="inlineStr">
        <is>
          <t>H</t>
        </is>
      </c>
      <c r="C4065" s="12" t="inlineStr">
        <is>
          <t>BESS</t>
        </is>
      </c>
      <c r="D4065" s="12" t="inlineStr">
        <is>
          <t>Motor 6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5" t="n">
        <v>187</v>
      </c>
      <c r="U4065" s="15" t="n">
        <v>32</v>
      </c>
      <c r="V4065" s="15">
        <f>ROUNDUP((T4065+U4065+2*'Read Me'!$B$13)*(1+'Read Me'!$B$12),-1)</f>
        <v/>
      </c>
      <c r="W4065" s="15">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H-P-0069</t>
        </is>
      </c>
      <c r="B4066" s="12" t="inlineStr">
        <is>
          <t>H</t>
        </is>
      </c>
      <c r="C4066" s="12" t="inlineStr">
        <is>
          <t>BESS</t>
        </is>
      </c>
      <c r="D4066" s="12" t="inlineStr">
        <is>
          <t>Yard lighting circuit 1 (10 floodlights)</t>
        </is>
      </c>
      <c r="E4066" s="12" t="inlineStr"/>
      <c r="F4066" s="12" t="inlineStr">
        <is>
          <t>BESS auxiliary transformer</t>
        </is>
      </c>
      <c r="G4066" s="12" t="inlineStr"/>
      <c r="H4066" s="12" t="inlineStr">
        <is>
          <t>BESS yard: surfacing, fence, gate, signage, lighting</t>
        </is>
      </c>
      <c r="I4066" s="12" t="inlineStr">
        <is>
          <t>LV 600 V</t>
        </is>
      </c>
      <c r="J4066" s="12" t="inlineStr">
        <is>
          <t>Type TC-ER 600 V 3/C Cu XHHW-2 + ground, PVC jacket</t>
        </is>
      </c>
      <c r="K4066" s="12" t="inlineStr">
        <is>
          <t>LV|3/C+G|8</t>
        </is>
      </c>
      <c r="L4066" s="12" t="inlineStr">
        <is>
          <t>3/C+G</t>
        </is>
      </c>
      <c r="M4066" s="12" t="inlineStr">
        <is>
          <t>8</t>
        </is>
      </c>
      <c r="N4066" s="12" t="n">
        <v>1</v>
      </c>
      <c r="O4066" s="12" t="n">
        <v>1</v>
      </c>
      <c r="P4066" s="12" t="n">
        <v>480</v>
      </c>
      <c r="Q4066" s="12" t="n">
        <v>4</v>
      </c>
      <c r="R4066" s="12" t="n">
        <v>6</v>
      </c>
      <c r="S4066" s="12" t="inlineStr">
        <is>
          <t>Buried</t>
        </is>
      </c>
      <c r="T4066" s="15" t="n">
        <v>900</v>
      </c>
      <c r="U4066" s="15" t="n">
        <v>30</v>
      </c>
      <c r="V4066" s="15">
        <f>ROUNDUP((T4066+U4066+2*'Read Me'!$B$13)*(1+'Read Me'!$B$12),-1)</f>
        <v/>
      </c>
      <c r="W4066" s="15">
        <f>V4066*N4066*O4066</f>
        <v/>
      </c>
      <c r="X4066" s="12">
        <f>IF(LEFT(I4066,2)="MV",2*N4066*IF(L4066="1/C",O4066,1),0)</f>
        <v/>
      </c>
      <c r="Y4066" s="12">
        <f>IF(OR(LEFT(K4066,4)="LVAX",LEFT(K4066,6)="MV15AX",LEFT(K4066,4)="CTAX",LEFT(K4066,2)="W|"),2*N4066*O4066,0)</f>
        <v/>
      </c>
      <c r="Z4066" s="12" t="inlineStr">
        <is>
          <t>pole to pole, buried</t>
        </is>
      </c>
      <c r="AA4066" s="12">
        <f>N4066*O4066</f>
        <v/>
      </c>
    </row>
    <row r="4067">
      <c r="A4067" s="12" t="inlineStr">
        <is>
          <t>H-P-0070</t>
        </is>
      </c>
      <c r="B4067" s="12" t="inlineStr">
        <is>
          <t>H</t>
        </is>
      </c>
      <c r="C4067" s="12" t="inlineStr">
        <is>
          <t>BESS</t>
        </is>
      </c>
      <c r="D4067" s="12" t="inlineStr">
        <is>
          <t>Yard lighting circuit 2 (10 floodlights)</t>
        </is>
      </c>
      <c r="E4067" s="12" t="inlineStr"/>
      <c r="F4067" s="12" t="inlineStr">
        <is>
          <t>BESS auxiliary transformer</t>
        </is>
      </c>
      <c r="G4067" s="12" t="inlineStr"/>
      <c r="H4067" s="12" t="inlineStr">
        <is>
          <t>BESS yard: surfacing, fence, gate, signage, lighting</t>
        </is>
      </c>
      <c r="I4067" s="12" t="inlineStr">
        <is>
          <t>LV 600 V</t>
        </is>
      </c>
      <c r="J4067" s="12" t="inlineStr">
        <is>
          <t>Type TC-ER 600 V 3/C Cu XHHW-2 + ground, PVC jacket</t>
        </is>
      </c>
      <c r="K4067" s="12" t="inlineStr">
        <is>
          <t>LV|3/C+G|8</t>
        </is>
      </c>
      <c r="L4067" s="12" t="inlineStr">
        <is>
          <t>3/C+G</t>
        </is>
      </c>
      <c r="M4067" s="12" t="inlineStr">
        <is>
          <t>8</t>
        </is>
      </c>
      <c r="N4067" s="12" t="n">
        <v>1</v>
      </c>
      <c r="O4067" s="12" t="n">
        <v>1</v>
      </c>
      <c r="P4067" s="12" t="n">
        <v>480</v>
      </c>
      <c r="Q4067" s="12" t="n">
        <v>4</v>
      </c>
      <c r="R4067" s="12" t="n">
        <v>6</v>
      </c>
      <c r="S4067" s="12" t="inlineStr">
        <is>
          <t>Buried</t>
        </is>
      </c>
      <c r="T4067" s="15" t="n">
        <v>900</v>
      </c>
      <c r="U4067" s="15" t="n">
        <v>30</v>
      </c>
      <c r="V4067" s="15">
        <f>ROUNDUP((T4067+U4067+2*'Read Me'!$B$13)*(1+'Read Me'!$B$12),-1)</f>
        <v/>
      </c>
      <c r="W4067" s="15">
        <f>V4067*N4067*O4067</f>
        <v/>
      </c>
      <c r="X4067" s="12">
        <f>IF(LEFT(I4067,2)="MV",2*N4067*IF(L4067="1/C",O4067,1),0)</f>
        <v/>
      </c>
      <c r="Y4067" s="12">
        <f>IF(OR(LEFT(K4067,4)="LVAX",LEFT(K4067,6)="MV15AX",LEFT(K4067,4)="CTAX",LEFT(K4067,2)="W|"),2*N4067*O4067,0)</f>
        <v/>
      </c>
      <c r="Z4067" s="12" t="inlineStr">
        <is>
          <t>pole to pole, buried</t>
        </is>
      </c>
      <c r="AA4067" s="12">
        <f>N4067*O4067</f>
        <v/>
      </c>
    </row>
    <row r="4068">
      <c r="A4068" s="12" t="inlineStr">
        <is>
          <t>H-P-0071</t>
        </is>
      </c>
      <c r="B4068" s="12" t="inlineStr">
        <is>
          <t>H</t>
        </is>
      </c>
      <c r="C4068" s="12" t="inlineStr">
        <is>
          <t>BESS</t>
        </is>
      </c>
      <c r="D4068" s="12" t="inlineStr">
        <is>
          <t>Yard lighting circuit 3 (4 floodlights)</t>
        </is>
      </c>
      <c r="E4068" s="12" t="inlineStr"/>
      <c r="F4068" s="12" t="inlineStr">
        <is>
          <t>BESS auxiliary transformer</t>
        </is>
      </c>
      <c r="G4068" s="12" t="inlineStr"/>
      <c r="H4068" s="12" t="inlineStr">
        <is>
          <t>BESS yard: surfacing, fence, gate, signage, lighting</t>
        </is>
      </c>
      <c r="I4068" s="12" t="inlineStr">
        <is>
          <t>LV 600 V</t>
        </is>
      </c>
      <c r="J4068" s="12" t="inlineStr">
        <is>
          <t>Type TC-ER 600 V 3/C Cu XHHW-2 + ground, PVC jacket</t>
        </is>
      </c>
      <c r="K4068" s="12" t="inlineStr">
        <is>
          <t>LV|3/C+G|8</t>
        </is>
      </c>
      <c r="L4068" s="12" t="inlineStr">
        <is>
          <t>3/C+G</t>
        </is>
      </c>
      <c r="M4068" s="12" t="inlineStr">
        <is>
          <t>8</t>
        </is>
      </c>
      <c r="N4068" s="12" t="n">
        <v>1</v>
      </c>
      <c r="O4068" s="12" t="n">
        <v>1</v>
      </c>
      <c r="P4068" s="12" t="n">
        <v>480</v>
      </c>
      <c r="Q4068" s="12" t="n">
        <v>4</v>
      </c>
      <c r="R4068" s="12" t="n">
        <v>6</v>
      </c>
      <c r="S4068" s="12" t="inlineStr">
        <is>
          <t>Buried</t>
        </is>
      </c>
      <c r="T4068" s="15" t="n">
        <v>900</v>
      </c>
      <c r="U4068" s="15" t="n">
        <v>30</v>
      </c>
      <c r="V4068" s="15">
        <f>ROUNDUP((T4068+U4068+2*'Read Me'!$B$13)*(1+'Read Me'!$B$12),-1)</f>
        <v/>
      </c>
      <c r="W4068" s="15">
        <f>V4068*N4068*O4068</f>
        <v/>
      </c>
      <c r="X4068" s="12">
        <f>IF(LEFT(I4068,2)="MV",2*N4068*IF(L4068="1/C",O4068,1),0)</f>
        <v/>
      </c>
      <c r="Y4068" s="12">
        <f>IF(OR(LEFT(K4068,4)="LVAX",LEFT(K4068,6)="MV15AX",LEFT(K4068,4)="CTAX",LEFT(K4068,2)="W|"),2*N4068*O4068,0)</f>
        <v/>
      </c>
      <c r="Z4068" s="12" t="inlineStr">
        <is>
          <t>pole to pole, buried</t>
        </is>
      </c>
      <c r="AA4068" s="12">
        <f>N4068*O4068</f>
        <v/>
      </c>
    </row>
    <row r="4069">
      <c r="A4069" s="12" t="inlineStr">
        <is>
          <t>H-MV-0001</t>
        </is>
      </c>
      <c r="B4069" s="12" t="inlineStr">
        <is>
          <t>H</t>
        </is>
      </c>
      <c r="C4069" s="12" t="inlineStr">
        <is>
          <t>BESS</t>
        </is>
      </c>
      <c r="D4069" s="12" t="inlineStr">
        <is>
          <t>34.5 kV collection loop 1</t>
        </is>
      </c>
      <c r="E4069" s="12" t="inlineStr"/>
      <c r="F4069" s="12" t="inlineStr">
        <is>
          <t>BESS PCS / MV skid</t>
        </is>
      </c>
      <c r="G4069" s="12" t="inlineStr"/>
      <c r="H4069" s="12" t="inlineStr">
        <is>
          <t>34.5 kV collector e-house (arc-resistant)</t>
        </is>
      </c>
      <c r="I4069" s="12" t="inlineStr">
        <is>
          <t>MV 35 kV</t>
        </is>
      </c>
      <c r="J4069" s="12" t="inlineStr">
        <is>
          <t>MV-105 35 kV 1/C Al, EPR 133%, 1/3 concentric neutral, LLDPE jacket</t>
        </is>
      </c>
      <c r="K4069" s="12" t="inlineStr">
        <is>
          <t>MV35|1/C|350</t>
        </is>
      </c>
      <c r="L4069" s="12" t="inlineStr">
        <is>
          <t>1/C</t>
        </is>
      </c>
      <c r="M4069" s="12" t="inlineStr">
        <is>
          <t>350 kcmil</t>
        </is>
      </c>
      <c r="N4069" s="12" t="n">
        <v>2</v>
      </c>
      <c r="O4069" s="12" t="n">
        <v>3</v>
      </c>
      <c r="P4069" s="12" t="n">
        <v>34500</v>
      </c>
      <c r="Q4069" s="12" t="n">
        <v>25000</v>
      </c>
      <c r="R4069" s="12" t="n">
        <v>418</v>
      </c>
      <c r="S4069" s="12" t="inlineStr">
        <is>
          <t>Duct bank</t>
        </is>
      </c>
      <c r="T4069" s="15" t="n">
        <v>556</v>
      </c>
      <c r="U4069" s="15" t="n">
        <v>37</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H-MV-0002</t>
        </is>
      </c>
      <c r="B4070" s="12" t="inlineStr">
        <is>
          <t>H</t>
        </is>
      </c>
      <c r="C4070" s="12" t="inlineStr">
        <is>
          <t>BESS</t>
        </is>
      </c>
      <c r="D4070" s="12" t="inlineStr">
        <is>
          <t>34.5 kV collection loop 2</t>
        </is>
      </c>
      <c r="E4070" s="12" t="inlineStr"/>
      <c r="F4070" s="12" t="inlineStr">
        <is>
          <t>BESS PCS / MV skid</t>
        </is>
      </c>
      <c r="G4070" s="12" t="inlineStr"/>
      <c r="H4070" s="12" t="inlineStr">
        <is>
          <t>34.5 kV collector e-house (arc-resistant)</t>
        </is>
      </c>
      <c r="I4070" s="12" t="inlineStr">
        <is>
          <t>MV 35 kV</t>
        </is>
      </c>
      <c r="J4070" s="12" t="inlineStr">
        <is>
          <t>MV-105 35 kV 1/C Al, EPR 133%, 1/3 concentric neutral, LLDPE jacket</t>
        </is>
      </c>
      <c r="K4070" s="12" t="inlineStr">
        <is>
          <t>MV35|1/C|350</t>
        </is>
      </c>
      <c r="L4070" s="12" t="inlineStr">
        <is>
          <t>1/C</t>
        </is>
      </c>
      <c r="M4070" s="12" t="inlineStr">
        <is>
          <t>350 kcmil</t>
        </is>
      </c>
      <c r="N4070" s="12" t="n">
        <v>2</v>
      </c>
      <c r="O4070" s="12" t="n">
        <v>3</v>
      </c>
      <c r="P4070" s="12" t="n">
        <v>34500</v>
      </c>
      <c r="Q4070" s="12" t="n">
        <v>25000</v>
      </c>
      <c r="R4070" s="12" t="n">
        <v>418</v>
      </c>
      <c r="S4070" s="12" t="inlineStr">
        <is>
          <t>Duct bank</t>
        </is>
      </c>
      <c r="T4070" s="15" t="n">
        <v>436</v>
      </c>
      <c r="U4070" s="15" t="n">
        <v>37</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H-MV-0003</t>
        </is>
      </c>
      <c r="B4071" s="12" t="inlineStr">
        <is>
          <t>H</t>
        </is>
      </c>
      <c r="C4071" s="12" t="inlineStr">
        <is>
          <t>BESS</t>
        </is>
      </c>
      <c r="D4071" s="12" t="inlineStr">
        <is>
          <t>34.5 kV collection loop 3</t>
        </is>
      </c>
      <c r="E4071" s="12" t="inlineStr"/>
      <c r="F4071" s="12" t="inlineStr">
        <is>
          <t>BESS PCS / MV skid</t>
        </is>
      </c>
      <c r="G4071" s="12" t="inlineStr"/>
      <c r="H4071" s="12" t="inlineStr">
        <is>
          <t>34.5 kV collector e-house (arc-resistant)</t>
        </is>
      </c>
      <c r="I4071" s="12" t="inlineStr">
        <is>
          <t>MV 35 kV</t>
        </is>
      </c>
      <c r="J4071" s="12" t="inlineStr">
        <is>
          <t>MV-105 35 kV 1/C Al, EPR 133%, 1/3 concentric neutral, LLDPE jacket</t>
        </is>
      </c>
      <c r="K4071" s="12" t="inlineStr">
        <is>
          <t>MV35|1/C|350</t>
        </is>
      </c>
      <c r="L4071" s="12" t="inlineStr">
        <is>
          <t>1/C</t>
        </is>
      </c>
      <c r="M4071" s="12" t="inlineStr">
        <is>
          <t>350 kcmil</t>
        </is>
      </c>
      <c r="N4071" s="12" t="n">
        <v>2</v>
      </c>
      <c r="O4071" s="12" t="n">
        <v>3</v>
      </c>
      <c r="P4071" s="12" t="n">
        <v>34500</v>
      </c>
      <c r="Q4071" s="12" t="n">
        <v>25000</v>
      </c>
      <c r="R4071" s="12" t="n">
        <v>418</v>
      </c>
      <c r="S4071" s="12" t="inlineStr">
        <is>
          <t>Duct bank</t>
        </is>
      </c>
      <c r="T4071" s="15" t="n">
        <v>350</v>
      </c>
      <c r="U4071" s="15" t="n">
        <v>42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H-MV-0004</t>
        </is>
      </c>
      <c r="B4072" s="12" t="inlineStr">
        <is>
          <t>H</t>
        </is>
      </c>
      <c r="C4072" s="12" t="inlineStr">
        <is>
          <t>BESS</t>
        </is>
      </c>
      <c r="D4072" s="12" t="inlineStr">
        <is>
          <t>34.5 kV collection loop 1</t>
        </is>
      </c>
      <c r="E4072" s="12" t="inlineStr"/>
      <c r="F4072" s="12" t="inlineStr">
        <is>
          <t>34.5 kV collector e-house (arc-resistant)</t>
        </is>
      </c>
      <c r="G4072" s="12" t="inlineStr"/>
      <c r="H4072" s="12" t="inlineStr">
        <is>
          <t>BESS PCS / MV skid</t>
        </is>
      </c>
      <c r="I4072" s="12" t="inlineStr">
        <is>
          <t>MV 35 kV</t>
        </is>
      </c>
      <c r="J4072" s="12" t="inlineStr">
        <is>
          <t>MV-105 35 kV 1/C Al, EPR 133%, 1/3 concentric neutral, LLDPE jacket</t>
        </is>
      </c>
      <c r="K4072" s="12" t="inlineStr">
        <is>
          <t>MV35|1/C|350</t>
        </is>
      </c>
      <c r="L4072" s="12" t="inlineStr">
        <is>
          <t>1/C</t>
        </is>
      </c>
      <c r="M4072" s="12" t="inlineStr">
        <is>
          <t>350 kcmil</t>
        </is>
      </c>
      <c r="N4072" s="12" t="n">
        <v>2</v>
      </c>
      <c r="O4072" s="12" t="n">
        <v>3</v>
      </c>
      <c r="P4072" s="12" t="n">
        <v>34500</v>
      </c>
      <c r="Q4072" s="12" t="n">
        <v>25000</v>
      </c>
      <c r="R4072" s="12" t="n">
        <v>418</v>
      </c>
      <c r="S4072" s="12" t="inlineStr">
        <is>
          <t>Duct bank</t>
        </is>
      </c>
      <c r="T4072" s="15" t="n">
        <v>254</v>
      </c>
      <c r="U4072" s="15" t="n">
        <v>103</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H-MV-0005</t>
        </is>
      </c>
      <c r="B4073" s="12" t="inlineStr">
        <is>
          <t>H</t>
        </is>
      </c>
      <c r="C4073" s="12" t="inlineStr">
        <is>
          <t>BESS</t>
        </is>
      </c>
      <c r="D4073" s="12" t="inlineStr">
        <is>
          <t>34.5 kV collection loop 1</t>
        </is>
      </c>
      <c r="E4073" s="12" t="inlineStr"/>
      <c r="F4073" s="12" t="inlineStr">
        <is>
          <t>BESS PCS / MV skid</t>
        </is>
      </c>
      <c r="G4073" s="12" t="inlineStr"/>
      <c r="H4073" s="12" t="inlineStr">
        <is>
          <t>BESS PCS / MV skid</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Tray</t>
        </is>
      </c>
      <c r="T4073" s="15" t="n">
        <v>0</v>
      </c>
      <c r="U4073" s="15" t="n">
        <v>232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H-MV-0006</t>
        </is>
      </c>
      <c r="B4074" s="12" t="inlineStr">
        <is>
          <t>H</t>
        </is>
      </c>
      <c r="C4074" s="12" t="inlineStr">
        <is>
          <t>BESS</t>
        </is>
      </c>
      <c r="D4074" s="12" t="inlineStr">
        <is>
          <t>34.5 kV collection loop 1</t>
        </is>
      </c>
      <c r="E4074" s="12" t="inlineStr"/>
      <c r="F4074" s="12" t="inlineStr">
        <is>
          <t>BESS PCS / MV skid</t>
        </is>
      </c>
      <c r="G4074" s="12" t="inlineStr"/>
      <c r="H4074" s="12" t="inlineStr">
        <is>
          <t>BESS PCS / MV skid</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Tray</t>
        </is>
      </c>
      <c r="T4074" s="15" t="n">
        <v>0</v>
      </c>
      <c r="U4074" s="15" t="n">
        <v>348</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H-MV-0007</t>
        </is>
      </c>
      <c r="B4075" s="12" t="inlineStr">
        <is>
          <t>H</t>
        </is>
      </c>
      <c r="C4075" s="12" t="inlineStr">
        <is>
          <t>BESS</t>
        </is>
      </c>
      <c r="D4075" s="12" t="inlineStr">
        <is>
          <t>34.5 kV collection loop 1</t>
        </is>
      </c>
      <c r="E4075" s="12" t="inlineStr"/>
      <c r="F4075" s="12" t="inlineStr">
        <is>
          <t>BESS PCS / MV skid</t>
        </is>
      </c>
      <c r="G4075" s="12" t="inlineStr"/>
      <c r="H4075" s="12" t="inlineStr">
        <is>
          <t>BESS PCS / MV skid</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Tray</t>
        </is>
      </c>
      <c r="T4075" s="15" t="n">
        <v>0</v>
      </c>
      <c r="U4075" s="15" t="n">
        <v>208</v>
      </c>
      <c r="V4075" s="15">
        <f>ROUNDUP((T4075+U4075+2*'Read Me'!$B$13)*(1+'Read Me'!$B$12),-1)</f>
        <v/>
      </c>
      <c r="W4075" s="15">
        <f>V4075*N4075*O4075</f>
        <v/>
      </c>
      <c r="X4075" s="12">
        <f>IF(LEFT(I4075,2)="MV",2*N4075*IF(L4075="1/C",O4075,1),0)</f>
        <v/>
      </c>
      <c r="Y4075" s="12">
        <f>IF(OR(LEFT(K4075,4)="LVAX",LEFT(K4075,6)="MV15AX",LEFT(K4075,4)="CTAX",LEFT(K4075,2)="W|"),2*N4075*O4075,0)</f>
        <v/>
      </c>
      <c r="Z4075" s="12" t="inlineStr"/>
      <c r="AA4075" s="12">
        <f>N4075*O4075</f>
        <v/>
      </c>
    </row>
    <row r="4076">
      <c r="A4076" s="12" t="inlineStr">
        <is>
          <t>H-MV-0008</t>
        </is>
      </c>
      <c r="B4076" s="12" t="inlineStr">
        <is>
          <t>H</t>
        </is>
      </c>
      <c r="C4076" s="12" t="inlineStr">
        <is>
          <t>BESS</t>
        </is>
      </c>
      <c r="D4076" s="12" t="inlineStr">
        <is>
          <t>34.5 kV collection loop 1</t>
        </is>
      </c>
      <c r="E4076" s="12" t="inlineStr"/>
      <c r="F4076" s="12" t="inlineStr">
        <is>
          <t>BESS PCS / MV skid</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Tray</t>
        </is>
      </c>
      <c r="T4076" s="15" t="n">
        <v>0</v>
      </c>
      <c r="U4076" s="15" t="n">
        <v>96</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H-MV-0009</t>
        </is>
      </c>
      <c r="B4077" s="12" t="inlineStr">
        <is>
          <t>H</t>
        </is>
      </c>
      <c r="C4077" s="12" t="inlineStr">
        <is>
          <t>BESS</t>
        </is>
      </c>
      <c r="D4077" s="12" t="inlineStr">
        <is>
          <t>34.5 kV collection loop 2</t>
        </is>
      </c>
      <c r="E4077" s="12" t="inlineStr"/>
      <c r="F4077" s="12" t="inlineStr">
        <is>
          <t>34.5 kV collector e-house (arc-resistant)</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5" t="n">
        <v>35</v>
      </c>
      <c r="U4077" s="15" t="n">
        <v>185</v>
      </c>
      <c r="V4077" s="15">
        <f>ROUNDUP((T4077+U4077+2*'Read Me'!$B$13)*(1+'Read Me'!$B$12),-1)</f>
        <v/>
      </c>
      <c r="W4077" s="15">
        <f>V4077*N4077*O4077</f>
        <v/>
      </c>
      <c r="X4077" s="12">
        <f>IF(LEFT(I4077,2)="MV",2*N4077*IF(L4077="1/C",O4077,1),0)</f>
        <v/>
      </c>
      <c r="Y4077" s="12">
        <f>IF(OR(LEFT(K4077,4)="LVAX",LEFT(K4077,6)="MV15AX",LEFT(K4077,4)="CTAX",LEFT(K4077,2)="W|"),2*N4077*O4077,0)</f>
        <v/>
      </c>
      <c r="Z4077" s="12" t="inlineStr"/>
      <c r="AA4077" s="12">
        <f>N4077*O4077</f>
        <v/>
      </c>
    </row>
    <row r="4078">
      <c r="A4078" s="12" t="inlineStr">
        <is>
          <t>H-MV-0010</t>
        </is>
      </c>
      <c r="B4078" s="12" t="inlineStr">
        <is>
          <t>H</t>
        </is>
      </c>
      <c r="C4078" s="12" t="inlineStr">
        <is>
          <t>BESS</t>
        </is>
      </c>
      <c r="D4078" s="12" t="inlineStr">
        <is>
          <t>34.5 kV collection loop 2</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5" t="n">
        <v>0</v>
      </c>
      <c r="U4078" s="15" t="n">
        <v>272</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H-MV-0011</t>
        </is>
      </c>
      <c r="B4079" s="12" t="inlineStr">
        <is>
          <t>H</t>
        </is>
      </c>
      <c r="C4079" s="12" t="inlineStr">
        <is>
          <t>BESS</t>
        </is>
      </c>
      <c r="D4079" s="12" t="inlineStr">
        <is>
          <t>34.5 kV collection loop 2</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5" t="n">
        <v>0</v>
      </c>
      <c r="U4079" s="15" t="n">
        <v>388</v>
      </c>
      <c r="V4079" s="15">
        <f>ROUNDUP((T4079+U4079+2*'Read Me'!$B$13)*(1+'Read Me'!$B$12),-1)</f>
        <v/>
      </c>
      <c r="W4079" s="15">
        <f>V4079*N4079*O4079</f>
        <v/>
      </c>
      <c r="X4079" s="12">
        <f>IF(LEFT(I4079,2)="MV",2*N4079*IF(L4079="1/C",O4079,1),0)</f>
        <v/>
      </c>
      <c r="Y4079" s="12">
        <f>IF(OR(LEFT(K4079,4)="LVAX",LEFT(K4079,6)="MV15AX",LEFT(K4079,4)="CTAX",LEFT(K4079,2)="W|"),2*N4079*O4079,0)</f>
        <v/>
      </c>
      <c r="Z4079" s="12" t="inlineStr"/>
      <c r="AA4079" s="12">
        <f>N4079*O4079</f>
        <v/>
      </c>
    </row>
    <row r="4080">
      <c r="A4080" s="12" t="inlineStr">
        <is>
          <t>H-MV-0012</t>
        </is>
      </c>
      <c r="B4080" s="12" t="inlineStr">
        <is>
          <t>H</t>
        </is>
      </c>
      <c r="C4080" s="12" t="inlineStr">
        <is>
          <t>BESS</t>
        </is>
      </c>
      <c r="D4080" s="12" t="inlineStr">
        <is>
          <t>34.5 kV collection loop 2</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5" t="n">
        <v>0</v>
      </c>
      <c r="U4080" s="15" t="n">
        <v>208</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H-MV-0013</t>
        </is>
      </c>
      <c r="B4081" s="12" t="inlineStr">
        <is>
          <t>H</t>
        </is>
      </c>
      <c r="C4081" s="12" t="inlineStr">
        <is>
          <t>BESS</t>
        </is>
      </c>
      <c r="D4081" s="12" t="inlineStr">
        <is>
          <t>34.5 kV collection loop 2</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5" t="n">
        <v>0</v>
      </c>
      <c r="U4081" s="15" t="n">
        <v>96</v>
      </c>
      <c r="V4081" s="15">
        <f>ROUNDUP((T4081+U4081+2*'Read Me'!$B$13)*(1+'Read Me'!$B$12),-1)</f>
        <v/>
      </c>
      <c r="W4081" s="15">
        <f>V4081*N4081*O4081</f>
        <v/>
      </c>
      <c r="X4081" s="12">
        <f>IF(LEFT(I4081,2)="MV",2*N4081*IF(L4081="1/C",O4081,1),0)</f>
        <v/>
      </c>
      <c r="Y4081" s="12">
        <f>IF(OR(LEFT(K4081,4)="LVAX",LEFT(K4081,6)="MV15AX",LEFT(K4081,4)="CTAX",LEFT(K4081,2)="W|"),2*N4081*O4081,0)</f>
        <v/>
      </c>
      <c r="Z4081" s="12" t="inlineStr"/>
      <c r="AA4081" s="12">
        <f>N4081*O4081</f>
        <v/>
      </c>
    </row>
    <row r="4082">
      <c r="A4082" s="12" t="inlineStr">
        <is>
          <t>H-MV-0014</t>
        </is>
      </c>
      <c r="B4082" s="12" t="inlineStr">
        <is>
          <t>H</t>
        </is>
      </c>
      <c r="C4082" s="12" t="inlineStr">
        <is>
          <t>BESS</t>
        </is>
      </c>
      <c r="D4082" s="12" t="inlineStr">
        <is>
          <t>34.5 kV collection loop 3</t>
        </is>
      </c>
      <c r="E4082" s="12" t="inlineStr"/>
      <c r="F4082" s="12" t="inlineStr">
        <is>
          <t>34.5 kV collector e-house (arc-resistant)</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Conduit link</t>
        </is>
      </c>
      <c r="T4082" s="15" t="n">
        <v>24</v>
      </c>
      <c r="U4082" s="15" t="n">
        <v>123</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H-MV-0015</t>
        </is>
      </c>
      <c r="B4083" s="12" t="inlineStr">
        <is>
          <t>H</t>
        </is>
      </c>
      <c r="C4083" s="12" t="inlineStr">
        <is>
          <t>BESS</t>
        </is>
      </c>
      <c r="D4083" s="12" t="inlineStr">
        <is>
          <t>34.5 kV collection loop 3</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5" t="n">
        <v>0</v>
      </c>
      <c r="U4083" s="15" t="n">
        <v>240</v>
      </c>
      <c r="V4083" s="15">
        <f>ROUNDUP((T4083+U4083+2*'Read Me'!$B$13)*(1+'Read Me'!$B$12),-1)</f>
        <v/>
      </c>
      <c r="W4083" s="15">
        <f>V4083*N4083*O4083</f>
        <v/>
      </c>
      <c r="X4083" s="12">
        <f>IF(LEFT(I4083,2)="MV",2*N4083*IF(L4083="1/C",O4083,1),0)</f>
        <v/>
      </c>
      <c r="Y4083" s="12">
        <f>IF(OR(LEFT(K4083,4)="LVAX",LEFT(K4083,6)="MV15AX",LEFT(K4083,4)="CTAX",LEFT(K4083,2)="W|"),2*N4083*O4083,0)</f>
        <v/>
      </c>
      <c r="Z4083" s="12" t="inlineStr"/>
      <c r="AA4083" s="12">
        <f>N4083*O4083</f>
        <v/>
      </c>
    </row>
    <row r="4084">
      <c r="A4084" s="12" t="inlineStr">
        <is>
          <t>H-MV-0016</t>
        </is>
      </c>
      <c r="B4084" s="12" t="inlineStr">
        <is>
          <t>H</t>
        </is>
      </c>
      <c r="C4084" s="12" t="inlineStr">
        <is>
          <t>BESS</t>
        </is>
      </c>
      <c r="D4084" s="12" t="inlineStr">
        <is>
          <t>34.5 kV collection loop 3</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Duct bank</t>
        </is>
      </c>
      <c r="T4084" s="15" t="n">
        <v>306</v>
      </c>
      <c r="U4084" s="15" t="n">
        <v>282</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H-MV-0017</t>
        </is>
      </c>
      <c r="B4085" s="12" t="inlineStr">
        <is>
          <t>H</t>
        </is>
      </c>
      <c r="C4085" s="12" t="inlineStr">
        <is>
          <t>BESS</t>
        </is>
      </c>
      <c r="D4085" s="12" t="inlineStr">
        <is>
          <t>34.5 kV collection loop 3</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5" t="n">
        <v>0</v>
      </c>
      <c r="U4085" s="15" t="n">
        <v>208</v>
      </c>
      <c r="V4085" s="15">
        <f>ROUNDUP((T4085+U4085+2*'Read Me'!$B$13)*(1+'Read Me'!$B$12),-1)</f>
        <v/>
      </c>
      <c r="W4085" s="15">
        <f>V4085*N4085*O4085</f>
        <v/>
      </c>
      <c r="X4085" s="12">
        <f>IF(LEFT(I4085,2)="MV",2*N4085*IF(L4085="1/C",O4085,1),0)</f>
        <v/>
      </c>
      <c r="Y4085" s="12">
        <f>IF(OR(LEFT(K4085,4)="LVAX",LEFT(K4085,6)="MV15AX",LEFT(K4085,4)="CTAX",LEFT(K4085,2)="W|"),2*N4085*O4085,0)</f>
        <v/>
      </c>
      <c r="Z4085" s="12" t="inlineStr"/>
      <c r="AA4085" s="12">
        <f>N4085*O4085</f>
        <v/>
      </c>
    </row>
    <row r="4086">
      <c r="A4086" s="12" t="inlineStr">
        <is>
          <t>H-MV-0018</t>
        </is>
      </c>
      <c r="B4086" s="12" t="inlineStr">
        <is>
          <t>H</t>
        </is>
      </c>
      <c r="C4086" s="12" t="inlineStr">
        <is>
          <t>BESS</t>
        </is>
      </c>
      <c r="D4086" s="12" t="inlineStr">
        <is>
          <t>34.5 kV collection loop 3</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5" t="n">
        <v>0</v>
      </c>
      <c r="U4086" s="15" t="n">
        <v>96</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H-MV-0019</t>
        </is>
      </c>
      <c r="B4087" s="12" t="inlineStr">
        <is>
          <t>H</t>
        </is>
      </c>
      <c r="C4087" s="12" t="inlineStr">
        <is>
          <t>BESS</t>
        </is>
      </c>
      <c r="D4087" s="12" t="inlineStr">
        <is>
          <t>BESS MPT 34.5 kV side</t>
        </is>
      </c>
      <c r="E4087" s="12" t="inlineStr"/>
      <c r="F4087" s="12" t="inlineStr">
        <is>
          <t>34.5 kV collector e-house (arc-resistant)</t>
        </is>
      </c>
      <c r="G4087" s="12" t="inlineStr">
        <is>
          <t>BESS MPT</t>
        </is>
      </c>
      <c r="H4087" s="12" t="inlineStr">
        <is>
          <t>BESS main power transformer 34.5/230 kV (to D4 upper)</t>
        </is>
      </c>
      <c r="I4087" s="12" t="inlineStr">
        <is>
          <t>MV 35 kV</t>
        </is>
      </c>
      <c r="J4087" s="12" t="inlineStr">
        <is>
          <t>MV-105 35 kV 1/C Al, EPR 133%, 1/3 concentric neutral, LLDPE jacket</t>
        </is>
      </c>
      <c r="K4087" s="12" t="inlineStr">
        <is>
          <t>MV35|1/C|750</t>
        </is>
      </c>
      <c r="L4087" s="12" t="inlineStr">
        <is>
          <t>1/C</t>
        </is>
      </c>
      <c r="M4087" s="12" t="inlineStr">
        <is>
          <t>750 kcmil</t>
        </is>
      </c>
      <c r="N4087" s="12" t="n">
        <v>5</v>
      </c>
      <c r="O4087" s="12" t="n">
        <v>3</v>
      </c>
      <c r="P4087" s="12" t="n">
        <v>34500</v>
      </c>
      <c r="Q4087" s="12" t="n">
        <v>100000</v>
      </c>
      <c r="R4087" s="12" t="n">
        <v>1674</v>
      </c>
      <c r="S4087" s="12" t="inlineStr">
        <is>
          <t>Duct bank</t>
        </is>
      </c>
      <c r="T4087" s="15" t="n">
        <v>35</v>
      </c>
      <c r="U4087" s="15" t="n">
        <v>32</v>
      </c>
      <c r="V4087" s="15">
        <f>ROUNDUP((T4087+U4087+2*'Read Me'!$B$13)*(1+'Read Me'!$B$12),-1)</f>
        <v/>
      </c>
      <c r="W4087" s="15">
        <f>V4087*N4087*O4087</f>
        <v/>
      </c>
      <c r="X4087" s="12">
        <f>IF(LEFT(I4087,2)="MV",2*N4087*IF(L4087="1/C",O4087,1),0)</f>
        <v/>
      </c>
      <c r="Y4087" s="12">
        <f>IF(OR(LEFT(K4087,4)="LVAX",LEFT(K4087,6)="MV15AX",LEFT(K4087,4)="CTAX",LEFT(K4087,2)="W|"),2*N4087*O4087,0)</f>
        <v/>
      </c>
      <c r="Z4087" s="12" t="inlineStr">
        <is>
          <t>100 MVA (typ.)</t>
        </is>
      </c>
      <c r="AA4087" s="12">
        <f>N4087*O4087</f>
        <v/>
      </c>
    </row>
    <row r="4088">
      <c r="A4088" s="12" t="inlineStr">
        <is>
          <t>H-MV-0020</t>
        </is>
      </c>
      <c r="B4088" s="12" t="inlineStr">
        <is>
          <t>H</t>
        </is>
      </c>
      <c r="C4088" s="12" t="inlineStr">
        <is>
          <t>BESS</t>
        </is>
      </c>
      <c r="D4088" s="12" t="inlineStr">
        <is>
          <t>Grounding transformer connection (34.5 kV)</t>
        </is>
      </c>
      <c r="E4088" s="12" t="inlineStr"/>
      <c r="F4088" s="12" t="inlineStr">
        <is>
          <t>34.5 kV collector e-house (arc-resistant)</t>
        </is>
      </c>
      <c r="G4088" s="12" t="inlineStr"/>
      <c r="H4088" s="12" t="inlineStr">
        <is>
          <t>CONDITIONAL: grounding transformer</t>
        </is>
      </c>
      <c r="I4088" s="12" t="inlineStr">
        <is>
          <t>MV 35 kV</t>
        </is>
      </c>
      <c r="J4088" s="12" t="inlineStr">
        <is>
          <t>MV-105 35 kV 1/C Al, EPR 133%, 1/3 concentric neutral, LLDPE jacket</t>
        </is>
      </c>
      <c r="K4088" s="12" t="inlineStr">
        <is>
          <t>MV35|1/C|2</t>
        </is>
      </c>
      <c r="L4088" s="12" t="inlineStr">
        <is>
          <t>1/C</t>
        </is>
      </c>
      <c r="M4088" s="12" t="inlineStr">
        <is>
          <t>2</t>
        </is>
      </c>
      <c r="N4088" s="12" t="n">
        <v>1</v>
      </c>
      <c r="O4088" s="12" t="n">
        <v>3</v>
      </c>
      <c r="P4088" s="12" t="n">
        <v>34500</v>
      </c>
      <c r="Q4088" s="12" t="n">
        <v>2000</v>
      </c>
      <c r="R4088" s="12" t="n">
        <v>33</v>
      </c>
      <c r="S4088" s="12" t="inlineStr">
        <is>
          <t>Duct bank</t>
        </is>
      </c>
      <c r="T4088" s="15" t="n">
        <v>234</v>
      </c>
      <c r="U4088" s="15" t="n">
        <v>87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I-L-0001</t>
        </is>
      </c>
      <c r="B4089" s="12" t="inlineStr">
        <is>
          <t>I</t>
        </is>
      </c>
      <c r="C4089" s="12" t="inlineStr">
        <is>
          <t>Modular / portable power</t>
        </is>
      </c>
      <c r="D4089" s="12" t="inlineStr">
        <is>
          <t>Lighting, receptacles and small power branch circuits (allowance)</t>
        </is>
      </c>
      <c r="E4089" s="12" t="inlineStr">
        <is>
          <t>CONT-EH</t>
        </is>
      </c>
      <c r="F4089" s="12" t="inlineStr">
        <is>
          <t>CONT paralleling switchgear e-house</t>
        </is>
      </c>
      <c r="G4089" s="12" t="inlineStr">
        <is>
          <t>CONT-EH</t>
        </is>
      </c>
      <c r="H4089" s="12" t="inlineStr">
        <is>
          <t>CONT paralleling switchgear e-house</t>
        </is>
      </c>
      <c r="I4089" s="12" t="inlineStr">
        <is>
          <t>Building wire</t>
        </is>
      </c>
      <c r="J4089" s="12" t="inlineStr">
        <is>
          <t>SIMpull THHN/THWN-2 600 V 1/C Cu (lighting, receptacles, small power)</t>
        </is>
      </c>
      <c r="K4089" s="12" t="inlineStr">
        <is>
          <t>THHN|1/C|12</t>
        </is>
      </c>
      <c r="L4089" s="12" t="inlineStr">
        <is>
          <t>1/C</t>
        </is>
      </c>
      <c r="M4089" s="12" t="inlineStr">
        <is>
          <t>12</t>
        </is>
      </c>
      <c r="N4089" s="12" t="n">
        <v>1</v>
      </c>
      <c r="O4089" s="12" t="n">
        <v>1</v>
      </c>
      <c r="P4089" s="12" t="n">
        <v>277</v>
      </c>
      <c r="Q4089" s="12" t="n"/>
      <c r="R4089" s="12" t="n"/>
      <c r="S4089" s="12" t="inlineStr">
        <is>
          <t>Conduit</t>
        </is>
      </c>
      <c r="T4089" s="15" t="n">
        <v>1296</v>
      </c>
      <c r="U4089" s="15" t="n">
        <v>0</v>
      </c>
      <c r="V4089" s="15">
        <f>ROUNDUP((T4089+U4089+2*'Read Me'!$B$13)*(1+'Read Me'!$B$12),-1)</f>
        <v/>
      </c>
      <c r="W4089" s="15">
        <f>V4089*N4089*O4089</f>
        <v/>
      </c>
      <c r="X4089" s="12">
        <f>IF(LEFT(I4089,2)="MV",2*N4089*IF(L4089="1/C",O4089,1),0)</f>
        <v/>
      </c>
      <c r="Y4089" s="12">
        <f>IF(OR(LEFT(K4089,4)="LVAX",LEFT(K4089,6)="MV15AX",LEFT(K4089,4)="CTAX",LEFT(K4089,2)="W|"),2*N4089*O4089,0)</f>
        <v/>
      </c>
      <c r="Z4089" s="12" t="inlineStr">
        <is>
          <t>allowance: 1.6 ft of conductor per ft2 of floor</t>
        </is>
      </c>
      <c r="AA4089" s="12">
        <f>N4089*O4089</f>
        <v/>
      </c>
    </row>
    <row r="4090">
      <c r="A4090" s="12" t="inlineStr">
        <is>
          <t>I-L-0002</t>
        </is>
      </c>
      <c r="B4090" s="12" t="inlineStr">
        <is>
          <t>I</t>
        </is>
      </c>
      <c r="C4090" s="12" t="inlineStr">
        <is>
          <t>Modular / portable power</t>
        </is>
      </c>
      <c r="D4090" s="12" t="inlineStr">
        <is>
          <t>Lighting, receptacles and small power branch circuits (allowance)</t>
        </is>
      </c>
      <c r="E4090" s="12" t="inlineStr"/>
      <c r="F4090" s="12" t="inlineStr">
        <is>
          <t>Lube oil / starting air / oily water building</t>
        </is>
      </c>
      <c r="G4090" s="12" t="inlineStr"/>
      <c r="H4090" s="12" t="inlineStr">
        <is>
          <t>Lube oil / starting air / oily water building</t>
        </is>
      </c>
      <c r="I4090" s="12" t="inlineStr">
        <is>
          <t>Building wire</t>
        </is>
      </c>
      <c r="J4090" s="12" t="inlineStr">
        <is>
          <t>SIMpull THHN/THWN-2 600 V 1/C Cu (lighting, receptacles, small power)</t>
        </is>
      </c>
      <c r="K4090" s="12" t="inlineStr">
        <is>
          <t>THHN|1/C|12</t>
        </is>
      </c>
      <c r="L4090" s="12" t="inlineStr">
        <is>
          <t>1/C</t>
        </is>
      </c>
      <c r="M4090" s="12" t="inlineStr">
        <is>
          <t>12</t>
        </is>
      </c>
      <c r="N4090" s="12" t="n">
        <v>1</v>
      </c>
      <c r="O4090" s="12" t="n">
        <v>1</v>
      </c>
      <c r="P4090" s="12" t="n">
        <v>277</v>
      </c>
      <c r="Q4090" s="12" t="n"/>
      <c r="R4090" s="12" t="n"/>
      <c r="S4090" s="12" t="inlineStr">
        <is>
          <t>Conduit</t>
        </is>
      </c>
      <c r="T4090" s="15" t="n">
        <v>10560</v>
      </c>
      <c r="U4090" s="15" t="n">
        <v>0</v>
      </c>
      <c r="V4090" s="15">
        <f>ROUNDUP((T4090+U4090+2*'Read Me'!$B$13)*(1+'Read Me'!$B$12),-1)</f>
        <v/>
      </c>
      <c r="W4090" s="15">
        <f>V4090*N4090*O4090</f>
        <v/>
      </c>
      <c r="X4090" s="12">
        <f>IF(LEFT(I4090,2)="MV",2*N4090*IF(L4090="1/C",O4090,1),0)</f>
        <v/>
      </c>
      <c r="Y4090" s="12">
        <f>IF(OR(LEFT(K4090,4)="LVAX",LEFT(K4090,6)="MV15AX",LEFT(K4090,4)="CTAX",LEFT(K4090,2)="W|"),2*N4090*O4090,0)</f>
        <v/>
      </c>
      <c r="Z4090" s="12" t="inlineStr">
        <is>
          <t>allowance: 1.6 ft of conductor per ft2 of floor</t>
        </is>
      </c>
      <c r="AA4090" s="12">
        <f>N4090*O4090</f>
        <v/>
      </c>
    </row>
    <row r="4091">
      <c r="A4091" s="12" t="inlineStr">
        <is>
          <t>I-L-0003</t>
        </is>
      </c>
      <c r="B4091" s="12" t="inlineStr">
        <is>
          <t>I</t>
        </is>
      </c>
      <c r="C4091" s="12" t="inlineStr">
        <is>
          <t>Modular / portable power</t>
        </is>
      </c>
      <c r="D4091" s="12" t="inlineStr">
        <is>
          <t>Lighting, receptacles and small power branch circuits (allowance)</t>
        </is>
      </c>
      <c r="E4091" s="12" t="inlineStr">
        <is>
          <t>MOD-EH</t>
        </is>
      </c>
      <c r="F4091" s="12" t="inlineStr">
        <is>
          <t>MOD-EH: 13.8 kV modular collector e-house</t>
        </is>
      </c>
      <c r="G4091" s="12" t="inlineStr">
        <is>
          <t>MOD-EH</t>
        </is>
      </c>
      <c r="H4091" s="12" t="inlineStr">
        <is>
          <t>MOD-EH: 13.8 kV modular collector e-house</t>
        </is>
      </c>
      <c r="I4091" s="12" t="inlineStr">
        <is>
          <t>Building wire</t>
        </is>
      </c>
      <c r="J4091" s="12" t="inlineStr">
        <is>
          <t>SIMpull THHN/THWN-2 600 V 1/C Cu (lighting, receptacles, small power)</t>
        </is>
      </c>
      <c r="K4091" s="12" t="inlineStr">
        <is>
          <t>THHN|1/C|12</t>
        </is>
      </c>
      <c r="L4091" s="12" t="inlineStr">
        <is>
          <t>1/C</t>
        </is>
      </c>
      <c r="M4091" s="12" t="inlineStr">
        <is>
          <t>12</t>
        </is>
      </c>
      <c r="N4091" s="12" t="n">
        <v>1</v>
      </c>
      <c r="O4091" s="12" t="n">
        <v>1</v>
      </c>
      <c r="P4091" s="12" t="n">
        <v>277</v>
      </c>
      <c r="Q4091" s="12" t="n"/>
      <c r="R4091" s="12" t="n"/>
      <c r="S4091" s="12" t="inlineStr">
        <is>
          <t>Conduit</t>
        </is>
      </c>
      <c r="T4091" s="15" t="n">
        <v>2560</v>
      </c>
      <c r="U4091" s="15" t="n">
        <v>0</v>
      </c>
      <c r="V4091" s="15">
        <f>ROUNDUP((T4091+U4091+2*'Read Me'!$B$13)*(1+'Read Me'!$B$12),-1)</f>
        <v/>
      </c>
      <c r="W4091" s="15">
        <f>V4091*N4091*O4091</f>
        <v/>
      </c>
      <c r="X4091" s="12">
        <f>IF(LEFT(I4091,2)="MV",2*N4091*IF(L4091="1/C",O4091,1),0)</f>
        <v/>
      </c>
      <c r="Y4091" s="12">
        <f>IF(OR(LEFT(K4091,4)="LVAX",LEFT(K4091,6)="MV15AX",LEFT(K4091,4)="CTAX",LEFT(K4091,2)="W|"),2*N4091*O4091,0)</f>
        <v/>
      </c>
      <c r="Z4091" s="12" t="inlineStr">
        <is>
          <t>allowance: 1.6 ft of conductor per ft2 of floor</t>
        </is>
      </c>
      <c r="AA4091" s="12">
        <f>N4091*O4091</f>
        <v/>
      </c>
    </row>
    <row r="4092">
      <c r="A4092" s="12" t="inlineStr">
        <is>
          <t>I-L-0004</t>
        </is>
      </c>
      <c r="B4092" s="12" t="inlineStr">
        <is>
          <t>I</t>
        </is>
      </c>
      <c r="C4092" s="12" t="inlineStr">
        <is>
          <t>Modular / portable power</t>
        </is>
      </c>
      <c r="D4092" s="12" t="inlineStr">
        <is>
          <t>Lighting, receptacles and small power branch circuits (allowance)</t>
        </is>
      </c>
      <c r="E4092" s="12" t="inlineStr"/>
      <c r="F4092" s="12" t="inlineStr">
        <is>
          <t>PCM: power control module</t>
        </is>
      </c>
      <c r="G4092" s="12" t="inlineStr"/>
      <c r="H4092" s="12" t="inlineStr">
        <is>
          <t>PCM: power control module</t>
        </is>
      </c>
      <c r="I4092" s="12" t="inlineStr">
        <is>
          <t>Building wire</t>
        </is>
      </c>
      <c r="J4092" s="12" t="inlineStr">
        <is>
          <t>SIMpull THHN/THWN-2 600 V 1/C Cu (lighting, receptacles, small power)</t>
        </is>
      </c>
      <c r="K4092" s="12" t="inlineStr">
        <is>
          <t>THHN|1/C|12</t>
        </is>
      </c>
      <c r="L4092" s="12" t="inlineStr">
        <is>
          <t>1/C</t>
        </is>
      </c>
      <c r="M4092" s="12" t="inlineStr">
        <is>
          <t>12</t>
        </is>
      </c>
      <c r="N4092" s="12" t="n">
        <v>1</v>
      </c>
      <c r="O4092" s="12" t="n">
        <v>1</v>
      </c>
      <c r="P4092" s="12" t="n">
        <v>277</v>
      </c>
      <c r="Q4092" s="12" t="n"/>
      <c r="R4092" s="12" t="n"/>
      <c r="S4092" s="12" t="inlineStr">
        <is>
          <t>Conduit</t>
        </is>
      </c>
      <c r="T4092" s="15" t="n">
        <v>5120</v>
      </c>
      <c r="U4092" s="15" t="n">
        <v>0</v>
      </c>
      <c r="V4092" s="15">
        <f>ROUNDUP((T4092+U4092+2*'Read Me'!$B$13)*(1+'Read Me'!$B$12),-1)</f>
        <v/>
      </c>
      <c r="W4092" s="15">
        <f>V4092*N4092*O4092</f>
        <v/>
      </c>
      <c r="X4092" s="12">
        <f>IF(LEFT(I4092,2)="MV",2*N4092*IF(L4092="1/C",O4092,1),0)</f>
        <v/>
      </c>
      <c r="Y4092" s="12">
        <f>IF(OR(LEFT(K4092,4)="LVAX",LEFT(K4092,6)="MV15AX",LEFT(K4092,4)="CTAX",LEFT(K4092,2)="W|"),2*N4092*O4092,0)</f>
        <v/>
      </c>
      <c r="Z4092" s="12" t="inlineStr">
        <is>
          <t>allowance: 1.6 ft of conductor per ft2 of floor</t>
        </is>
      </c>
      <c r="AA4092" s="12">
        <f>N4092*O4092</f>
        <v/>
      </c>
    </row>
    <row r="4093">
      <c r="A4093" s="12" t="inlineStr">
        <is>
          <t>I-L-0005</t>
        </is>
      </c>
      <c r="B4093" s="12" t="inlineStr">
        <is>
          <t>I</t>
        </is>
      </c>
      <c r="C4093" s="12" t="inlineStr">
        <is>
          <t>Modular / portable power</t>
        </is>
      </c>
      <c r="D4093" s="12" t="inlineStr">
        <is>
          <t>Lighting, receptacles and small power branch circuits (allowance)</t>
        </is>
      </c>
      <c r="E4093" s="12" t="inlineStr"/>
      <c r="F4093" s="12" t="inlineStr">
        <is>
          <t>RICE CEMS</t>
        </is>
      </c>
      <c r="G4093" s="12" t="inlineStr"/>
      <c r="H4093" s="12" t="inlineStr">
        <is>
          <t>RICE CEMS</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5" t="n">
        <v>256</v>
      </c>
      <c r="U4093" s="15" t="n">
        <v>0</v>
      </c>
      <c r="V4093" s="15">
        <f>ROUNDUP((T4093+U4093+2*'Read Me'!$B$13)*(1+'Read Me'!$B$12),-1)</f>
        <v/>
      </c>
      <c r="W4093" s="15">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I-C-0001</t>
        </is>
      </c>
      <c r="B4094" s="12" t="inlineStr">
        <is>
          <t>I</t>
        </is>
      </c>
      <c r="C4094" s="12" t="inlineStr">
        <is>
          <t>Modular / portable power</t>
        </is>
      </c>
      <c r="D4094" s="12" t="inlineStr">
        <is>
          <t>Control</t>
        </is>
      </c>
      <c r="E4094" s="12" t="inlineStr"/>
      <c r="F4094" s="12" t="inlineStr">
        <is>
          <t>PCM: power control module</t>
        </is>
      </c>
      <c r="G4094" s="12" t="inlineStr"/>
      <c r="H4094" s="12" t="inlineStr">
        <is>
          <t>BS black-start switchgear</t>
        </is>
      </c>
      <c r="I4094" s="12" t="inlineStr">
        <is>
          <t>Control</t>
        </is>
      </c>
      <c r="J4094" s="12" t="inlineStr">
        <is>
          <t>Control cable 600 V Type TC-ER, Cu #14 AWG, PVC jacket</t>
        </is>
      </c>
      <c r="K4094" s="12" t="inlineStr">
        <is>
          <t>CT|7/C|14</t>
        </is>
      </c>
      <c r="L4094" s="12" t="inlineStr">
        <is>
          <t>7/C</t>
        </is>
      </c>
      <c r="M4094" s="12" t="inlineStr">
        <is>
          <t>14</t>
        </is>
      </c>
      <c r="N4094" s="12" t="n">
        <v>1</v>
      </c>
      <c r="O4094" s="12" t="n">
        <v>1</v>
      </c>
      <c r="P4094" s="12" t="n"/>
      <c r="Q4094" s="12" t="n"/>
      <c r="R4094" s="12" t="n"/>
      <c r="S4094" s="12" t="inlineStr">
        <is>
          <t>Duct bank</t>
        </is>
      </c>
      <c r="T4094" s="15" t="n">
        <v>550</v>
      </c>
      <c r="U4094" s="15" t="n">
        <v>77</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I-C-0002</t>
        </is>
      </c>
      <c r="B4095" s="12" t="inlineStr">
        <is>
          <t>I</t>
        </is>
      </c>
      <c r="C4095" s="12" t="inlineStr">
        <is>
          <t>Modular / portable power</t>
        </is>
      </c>
      <c r="D4095" s="12" t="inlineStr">
        <is>
          <t>Control</t>
        </is>
      </c>
      <c r="E4095" s="12" t="inlineStr"/>
      <c r="F4095" s="12" t="inlineStr">
        <is>
          <t>PCM: power control module</t>
        </is>
      </c>
      <c r="G4095" s="12" t="inlineStr"/>
      <c r="H4095" s="12" t="inlineStr">
        <is>
          <t>CONDITIONAL: BESS black-start alternative</t>
        </is>
      </c>
      <c r="I4095" s="12" t="inlineStr">
        <is>
          <t>Control</t>
        </is>
      </c>
      <c r="J4095" s="12" t="inlineStr">
        <is>
          <t>Control cable 600 V Type TC-ER, Cu #14 AWG, PVC jacket</t>
        </is>
      </c>
      <c r="K4095" s="12" t="inlineStr">
        <is>
          <t>CT|7/C|14</t>
        </is>
      </c>
      <c r="L4095" s="12" t="inlineStr">
        <is>
          <t>7/C</t>
        </is>
      </c>
      <c r="M4095" s="12" t="inlineStr">
        <is>
          <t>14</t>
        </is>
      </c>
      <c r="N4095" s="12" t="n">
        <v>1</v>
      </c>
      <c r="O4095" s="12" t="n">
        <v>1</v>
      </c>
      <c r="P4095" s="12" t="n"/>
      <c r="Q4095" s="12" t="n"/>
      <c r="R4095" s="12" t="n"/>
      <c r="S4095" s="12" t="inlineStr">
        <is>
          <t>Duct bank</t>
        </is>
      </c>
      <c r="T4095" s="15" t="n">
        <v>550</v>
      </c>
      <c r="U4095" s="15" t="n">
        <v>32</v>
      </c>
      <c r="V4095" s="15">
        <f>ROUNDUP((T4095+U4095+2*'Read Me'!$B$13)*(1+'Read Me'!$B$12),-1)</f>
        <v/>
      </c>
      <c r="W4095" s="15">
        <f>V4095*N4095*O4095</f>
        <v/>
      </c>
      <c r="X4095" s="12">
        <f>IF(LEFT(I4095,2)="MV",2*N4095*IF(L4095="1/C",O4095,1),0)</f>
        <v/>
      </c>
      <c r="Y4095" s="12">
        <f>IF(OR(LEFT(K4095,4)="LVAX",LEFT(K4095,6)="MV15AX",LEFT(K4095,4)="CTAX",LEFT(K4095,2)="W|"),2*N4095*O4095,0)</f>
        <v/>
      </c>
      <c r="Z4095" s="12" t="inlineStr"/>
      <c r="AA4095" s="12">
        <f>N4095*O4095</f>
        <v/>
      </c>
    </row>
    <row r="4096">
      <c r="A4096" s="12" t="inlineStr">
        <is>
          <t>I-C-0003</t>
        </is>
      </c>
      <c r="B4096" s="12" t="inlineStr">
        <is>
          <t>I</t>
        </is>
      </c>
      <c r="C4096" s="12" t="inlineStr">
        <is>
          <t>Modular / portable power</t>
        </is>
      </c>
      <c r="D4096" s="12" t="inlineStr">
        <is>
          <t>Control</t>
        </is>
      </c>
      <c r="E4096" s="12" t="inlineStr"/>
      <c r="F4096" s="12" t="inlineStr">
        <is>
          <t>PCM: power control module</t>
        </is>
      </c>
      <c r="G4096" s="12" t="inlineStr"/>
      <c r="H4096" s="12" t="inlineStr">
        <is>
          <t>CONDITIONAL: SC-1 inlet chiller / evaporative cooler</t>
        </is>
      </c>
      <c r="I4096" s="12" t="inlineStr">
        <is>
          <t>Control</t>
        </is>
      </c>
      <c r="J4096" s="12" t="inlineStr">
        <is>
          <t>Control cable 600 V Type TC-ER, Cu #14 AWG, PVC jacket</t>
        </is>
      </c>
      <c r="K4096" s="12" t="inlineStr">
        <is>
          <t>CT|7/C|14</t>
        </is>
      </c>
      <c r="L4096" s="12" t="inlineStr">
        <is>
          <t>7/C</t>
        </is>
      </c>
      <c r="M4096" s="12" t="inlineStr">
        <is>
          <t>14</t>
        </is>
      </c>
      <c r="N4096" s="12" t="n">
        <v>1</v>
      </c>
      <c r="O4096" s="12" t="n">
        <v>1</v>
      </c>
      <c r="P4096" s="12" t="n"/>
      <c r="Q4096" s="12" t="n"/>
      <c r="R4096" s="12" t="n"/>
      <c r="S4096" s="12" t="inlineStr">
        <is>
          <t>Duct bank</t>
        </is>
      </c>
      <c r="T4096" s="15" t="n">
        <v>40</v>
      </c>
      <c r="U4096" s="15" t="n">
        <v>52</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I-C-0004</t>
        </is>
      </c>
      <c r="B4097" s="12" t="inlineStr">
        <is>
          <t>I</t>
        </is>
      </c>
      <c r="C4097" s="12" t="inlineStr">
        <is>
          <t>Modular / portable power</t>
        </is>
      </c>
      <c r="D4097" s="12" t="inlineStr">
        <is>
          <t>Control</t>
        </is>
      </c>
      <c r="E4097" s="12" t="inlineStr"/>
      <c r="F4097" s="12" t="inlineStr">
        <is>
          <t>PCM: power control module</t>
        </is>
      </c>
      <c r="G4097" s="12" t="inlineStr"/>
      <c r="H4097" s="12" t="inlineStr">
        <is>
          <t>CONDITIONAL: SC-2 inlet chiller / evaporative cooler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5" t="n">
        <v>1050</v>
      </c>
      <c r="U4097" s="15" t="n">
        <v>119</v>
      </c>
      <c r="V4097" s="15">
        <f>ROUNDUP((T4097+U4097+2*'Read Me'!$B$13)*(1+'Read Me'!$B$12),-1)</f>
        <v/>
      </c>
      <c r="W4097" s="15">
        <f>V4097*N4097*O4097</f>
        <v/>
      </c>
      <c r="X4097" s="12">
        <f>IF(LEFT(I4097,2)="MV",2*N4097*IF(L4097="1/C",O4097,1),0)</f>
        <v/>
      </c>
      <c r="Y4097" s="12">
        <f>IF(OR(LEFT(K4097,4)="LVAX",LEFT(K4097,6)="MV15AX",LEFT(K4097,4)="CTAX",LEFT(K4097,2)="W|"),2*N4097*O4097,0)</f>
        <v/>
      </c>
      <c r="Z4097" s="12" t="inlineStr"/>
      <c r="AA4097" s="12">
        <f>N4097*O4097</f>
        <v/>
      </c>
    </row>
    <row r="4098">
      <c r="A4098" s="12" t="inlineStr">
        <is>
          <t>I-C-0005</t>
        </is>
      </c>
      <c r="B4098" s="12" t="inlineStr">
        <is>
          <t>I</t>
        </is>
      </c>
      <c r="C4098" s="12" t="inlineStr">
        <is>
          <t>Modular / portable power</t>
        </is>
      </c>
      <c r="D4098" s="12" t="inlineStr">
        <is>
          <t>Control</t>
        </is>
      </c>
      <c r="E4098" s="12" t="inlineStr">
        <is>
          <t>PAD-EH</t>
        </is>
      </c>
      <c r="F4098" s="12" t="inlineStr">
        <is>
          <t>PAD-EH 13.8 kV switchgear e-house</t>
        </is>
      </c>
      <c r="G4098" s="12" t="inlineStr">
        <is>
          <t>CONT-EH</t>
        </is>
      </c>
      <c r="H4098" s="12" t="inlineStr">
        <is>
          <t>CONT paralleling switchgear e-house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Conduit link</t>
        </is>
      </c>
      <c r="T4098" s="15" t="n">
        <v>25</v>
      </c>
      <c r="U4098" s="15" t="n">
        <v>58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I-C-0006</t>
        </is>
      </c>
      <c r="B4099" s="12" t="inlineStr">
        <is>
          <t>I</t>
        </is>
      </c>
      <c r="C4099" s="12" t="inlineStr">
        <is>
          <t>Modular / portable power</t>
        </is>
      </c>
      <c r="D4099" s="12" t="inlineStr">
        <is>
          <t>Control</t>
        </is>
      </c>
      <c r="E4099" s="12" t="inlineStr"/>
      <c r="F4099" s="12" t="inlineStr">
        <is>
          <t>PCM: power control module</t>
        </is>
      </c>
      <c r="G4099" s="12" t="inlineStr"/>
      <c r="H4099" s="12" t="inlineStr">
        <is>
          <t>FC-5..12 inverter / AC cabinet / desulfurizer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5" t="n">
        <v>249</v>
      </c>
      <c r="U4099" s="15" t="n">
        <v>32</v>
      </c>
      <c r="V4099" s="15">
        <f>ROUNDUP((T4099+U4099+2*'Read Me'!$B$13)*(1+'Read Me'!$B$12),-1)</f>
        <v/>
      </c>
      <c r="W4099" s="15">
        <f>V4099*N4099*O4099</f>
        <v/>
      </c>
      <c r="X4099" s="12">
        <f>IF(LEFT(I4099,2)="MV",2*N4099*IF(L4099="1/C",O4099,1),0)</f>
        <v/>
      </c>
      <c r="Y4099" s="12">
        <f>IF(OR(LEFT(K4099,4)="LVAX",LEFT(K4099,6)="MV15AX",LEFT(K4099,4)="CTAX",LEFT(K4099,2)="W|"),2*N4099*O4099,0)</f>
        <v/>
      </c>
      <c r="Z4099" s="12" t="inlineStr"/>
      <c r="AA4099" s="12">
        <f>N4099*O4099</f>
        <v/>
      </c>
    </row>
    <row r="4100">
      <c r="A4100" s="12" t="inlineStr">
        <is>
          <t>I-C-0007</t>
        </is>
      </c>
      <c r="B4100" s="12" t="inlineStr">
        <is>
          <t>I</t>
        </is>
      </c>
      <c r="C4100" s="12" t="inlineStr">
        <is>
          <t>Modular / portable power</t>
        </is>
      </c>
      <c r="D4100" s="12" t="inlineStr">
        <is>
          <t>Control</t>
        </is>
      </c>
      <c r="E4100" s="12" t="inlineStr"/>
      <c r="F4100" s="12" t="inlineStr">
        <is>
          <t>PCM: power control module</t>
        </is>
      </c>
      <c r="G4100" s="12" t="inlineStr"/>
      <c r="H4100" s="12" t="inlineStr">
        <is>
          <t>Fuel-cell inverter / AC cabinet / desulfurizer</t>
        </is>
      </c>
      <c r="I4100" s="12" t="inlineStr">
        <is>
          <t>Control</t>
        </is>
      </c>
      <c r="J4100" s="12" t="inlineStr">
        <is>
          <t>ARMOR-X MC-HL 600 V control, Cu #14 AWG (Class I Div 2)</t>
        </is>
      </c>
      <c r="K4100" s="12" t="inlineStr">
        <is>
          <t>CTAX|7/C|14</t>
        </is>
      </c>
      <c r="L4100" s="12" t="inlineStr">
        <is>
          <t>7/C</t>
        </is>
      </c>
      <c r="M4100" s="12" t="inlineStr">
        <is>
          <t>14</t>
        </is>
      </c>
      <c r="N4100" s="12" t="n">
        <v>1</v>
      </c>
      <c r="O4100" s="12" t="n">
        <v>1</v>
      </c>
      <c r="P4100" s="12" t="n"/>
      <c r="Q4100" s="12" t="n"/>
      <c r="R4100" s="12" t="n"/>
      <c r="S4100" s="12" t="inlineStr">
        <is>
          <t>Duct bank</t>
        </is>
      </c>
      <c r="T4100" s="15" t="n">
        <v>1050</v>
      </c>
      <c r="U4100" s="15" t="n">
        <v>32</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I-C-0008</t>
        </is>
      </c>
      <c r="B4101" s="12" t="inlineStr">
        <is>
          <t>I</t>
        </is>
      </c>
      <c r="C4101" s="12" t="inlineStr">
        <is>
          <t>Modular / portable power</t>
        </is>
      </c>
      <c r="D4101" s="12" t="inlineStr">
        <is>
          <t>Motor 1 of 6: control / local station</t>
        </is>
      </c>
      <c r="E4101" s="12" t="inlineStr"/>
      <c r="F4101" s="12" t="inlineStr">
        <is>
          <t>MOD-LV 480 V board + 480 V : 13.8 kV step-up</t>
        </is>
      </c>
      <c r="G4101" s="12" t="inlineStr"/>
      <c r="H4101" s="12" t="inlineStr">
        <is>
          <t>Fuel-gas compressors 3 x 100% electric</t>
        </is>
      </c>
      <c r="I4101" s="12" t="inlineStr">
        <is>
          <t>Control</t>
        </is>
      </c>
      <c r="J4101" s="12" t="inlineStr">
        <is>
          <t>ARMOR-X MC-HL 600 V control, Cu #14 AWG (Class I Div 2)</t>
        </is>
      </c>
      <c r="K4101" s="12" t="inlineStr">
        <is>
          <t>CTAX|7/C|14</t>
        </is>
      </c>
      <c r="L4101" s="12" t="inlineStr">
        <is>
          <t>7/C</t>
        </is>
      </c>
      <c r="M4101" s="12" t="inlineStr">
        <is>
          <t>14</t>
        </is>
      </c>
      <c r="N4101" s="12" t="n">
        <v>1</v>
      </c>
      <c r="O4101" s="12" t="n">
        <v>1</v>
      </c>
      <c r="P4101" s="12" t="n"/>
      <c r="Q4101" s="12" t="n"/>
      <c r="R4101" s="12" t="n"/>
      <c r="S4101" s="12" t="inlineStr">
        <is>
          <t>Duct bank</t>
        </is>
      </c>
      <c r="T4101" s="15" t="n">
        <v>153</v>
      </c>
      <c r="U4101" s="15" t="n">
        <v>136</v>
      </c>
      <c r="V4101" s="15">
        <f>ROUNDUP((T4101+U4101+2*'Read Me'!$B$13)*(1+'Read Me'!$B$12),-1)</f>
        <v/>
      </c>
      <c r="W4101" s="15">
        <f>V4101*N4101*O4101</f>
        <v/>
      </c>
      <c r="X4101" s="12">
        <f>IF(LEFT(I4101,2)="MV",2*N4101*IF(L4101="1/C",O4101,1),0)</f>
        <v/>
      </c>
      <c r="Y4101" s="12">
        <f>IF(OR(LEFT(K4101,4)="LVAX",LEFT(K4101,6)="MV15AX",LEFT(K4101,4)="CTAX",LEFT(K4101,2)="W|"),2*N4101*O4101,0)</f>
        <v/>
      </c>
      <c r="Z4101" s="12" t="inlineStr"/>
      <c r="AA4101" s="12">
        <f>N4101*O4101</f>
        <v/>
      </c>
    </row>
    <row r="4102">
      <c r="A4102" s="12" t="inlineStr">
        <is>
          <t>I-C-0009</t>
        </is>
      </c>
      <c r="B4102" s="12" t="inlineStr">
        <is>
          <t>I</t>
        </is>
      </c>
      <c r="C4102" s="12" t="inlineStr">
        <is>
          <t>Modular / portable power</t>
        </is>
      </c>
      <c r="D4102" s="12" t="inlineStr">
        <is>
          <t>Motor 2 of 6: control / local station</t>
        </is>
      </c>
      <c r="E4102" s="12" t="inlineStr"/>
      <c r="F4102" s="12" t="inlineStr">
        <is>
          <t>MOD-LV 480 V board + 480 V : 13.8 kV step-up</t>
        </is>
      </c>
      <c r="G4102" s="12" t="inlineStr"/>
      <c r="H4102" s="12" t="inlineStr">
        <is>
          <t>Fuel-gas compressors 3 x 100% electric</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5" t="n">
        <v>153</v>
      </c>
      <c r="U4102" s="15" t="n">
        <v>136</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I-C-0010</t>
        </is>
      </c>
      <c r="B4103" s="12" t="inlineStr">
        <is>
          <t>I</t>
        </is>
      </c>
      <c r="C4103" s="12" t="inlineStr">
        <is>
          <t>Modular / portable power</t>
        </is>
      </c>
      <c r="D4103" s="12" t="inlineStr">
        <is>
          <t>Motor 3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Duct bank</t>
        </is>
      </c>
      <c r="T4103" s="15" t="n">
        <v>153</v>
      </c>
      <c r="U4103" s="15" t="n">
        <v>136</v>
      </c>
      <c r="V4103" s="15">
        <f>ROUNDUP((T4103+U4103+2*'Read Me'!$B$13)*(1+'Read Me'!$B$12),-1)</f>
        <v/>
      </c>
      <c r="W4103" s="15">
        <f>V4103*N4103*O4103</f>
        <v/>
      </c>
      <c r="X4103" s="12">
        <f>IF(LEFT(I4103,2)="MV",2*N4103*IF(L4103="1/C",O4103,1),0)</f>
        <v/>
      </c>
      <c r="Y4103" s="12">
        <f>IF(OR(LEFT(K4103,4)="LVAX",LEFT(K4103,6)="MV15AX",LEFT(K4103,4)="CTAX",LEFT(K4103,2)="W|"),2*N4103*O4103,0)</f>
        <v/>
      </c>
      <c r="Z4103" s="12" t="inlineStr"/>
      <c r="AA4103" s="12">
        <f>N4103*O4103</f>
        <v/>
      </c>
    </row>
    <row r="4104">
      <c r="A4104" s="12" t="inlineStr">
        <is>
          <t>I-C-0011</t>
        </is>
      </c>
      <c r="B4104" s="12" t="inlineStr">
        <is>
          <t>I</t>
        </is>
      </c>
      <c r="C4104" s="12" t="inlineStr">
        <is>
          <t>Modular / portable power</t>
        </is>
      </c>
      <c r="D4104" s="12" t="inlineStr">
        <is>
          <t>Motor 4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Duct bank</t>
        </is>
      </c>
      <c r="T4104" s="15" t="n">
        <v>153</v>
      </c>
      <c r="U4104" s="15" t="n">
        <v>136</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I-C-0012</t>
        </is>
      </c>
      <c r="B4105" s="12" t="inlineStr">
        <is>
          <t>I</t>
        </is>
      </c>
      <c r="C4105" s="12" t="inlineStr">
        <is>
          <t>Modular / portable power</t>
        </is>
      </c>
      <c r="D4105" s="12" t="inlineStr">
        <is>
          <t>Motor 5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Duct bank</t>
        </is>
      </c>
      <c r="T4105" s="15" t="n">
        <v>153</v>
      </c>
      <c r="U4105" s="15" t="n">
        <v>136</v>
      </c>
      <c r="V4105" s="15">
        <f>ROUNDUP((T4105+U4105+2*'Read Me'!$B$13)*(1+'Read Me'!$B$12),-1)</f>
        <v/>
      </c>
      <c r="W4105" s="15">
        <f>V4105*N4105*O4105</f>
        <v/>
      </c>
      <c r="X4105" s="12">
        <f>IF(LEFT(I4105,2)="MV",2*N4105*IF(L4105="1/C",O4105,1),0)</f>
        <v/>
      </c>
      <c r="Y4105" s="12">
        <f>IF(OR(LEFT(K4105,4)="LVAX",LEFT(K4105,6)="MV15AX",LEFT(K4105,4)="CTAX",LEFT(K4105,2)="W|"),2*N4105*O4105,0)</f>
        <v/>
      </c>
      <c r="Z4105" s="12" t="inlineStr"/>
      <c r="AA4105" s="12">
        <f>N4105*O4105</f>
        <v/>
      </c>
    </row>
    <row r="4106">
      <c r="A4106" s="12" t="inlineStr">
        <is>
          <t>I-C-0013</t>
        </is>
      </c>
      <c r="B4106" s="12" t="inlineStr">
        <is>
          <t>I</t>
        </is>
      </c>
      <c r="C4106" s="12" t="inlineStr">
        <is>
          <t>Modular / portable power</t>
        </is>
      </c>
      <c r="D4106" s="12" t="inlineStr">
        <is>
          <t>Motor 6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Duct bank</t>
        </is>
      </c>
      <c r="T4106" s="15" t="n">
        <v>153</v>
      </c>
      <c r="U4106" s="15" t="n">
        <v>136</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I-C-0014</t>
        </is>
      </c>
      <c r="B4107" s="12" t="inlineStr">
        <is>
          <t>I</t>
        </is>
      </c>
      <c r="C4107" s="12" t="inlineStr">
        <is>
          <t>Modular / portable power</t>
        </is>
      </c>
      <c r="D4107" s="12" t="inlineStr">
        <is>
          <t>Control</t>
        </is>
      </c>
      <c r="E4107" s="12" t="inlineStr">
        <is>
          <t>PAD-EH</t>
        </is>
      </c>
      <c r="F4107" s="12" t="inlineStr">
        <is>
          <t>PAD-EH 13.8 kV switchgear e-house</t>
        </is>
      </c>
      <c r="G4107" s="12" t="inlineStr">
        <is>
          <t>GSP-1</t>
        </is>
      </c>
      <c r="H4107" s="12" t="inlineStr">
        <is>
          <t>GSP-1: generator breaker / protection</t>
        </is>
      </c>
      <c r="I4107" s="12" t="inlineStr">
        <is>
          <t>Control</t>
        </is>
      </c>
      <c r="J4107" s="12" t="inlineStr">
        <is>
          <t>Control cable 600 V Type TC-ER, Cu #14 AWG, PVC jacket</t>
        </is>
      </c>
      <c r="K4107" s="12" t="inlineStr">
        <is>
          <t>CT|12/C|14</t>
        </is>
      </c>
      <c r="L4107" s="12" t="inlineStr">
        <is>
          <t>12/C</t>
        </is>
      </c>
      <c r="M4107" s="12" t="inlineStr">
        <is>
          <t>14</t>
        </is>
      </c>
      <c r="N4107" s="12" t="n">
        <v>1</v>
      </c>
      <c r="O4107" s="12" t="n">
        <v>1</v>
      </c>
      <c r="P4107" s="12" t="n"/>
      <c r="Q4107" s="12" t="n"/>
      <c r="R4107" s="12" t="n"/>
      <c r="S4107" s="12" t="inlineStr">
        <is>
          <t>Surface</t>
        </is>
      </c>
      <c r="T4107" s="15" t="n">
        <v>348</v>
      </c>
      <c r="U4107" s="15" t="n">
        <v>27</v>
      </c>
      <c r="V4107" s="15">
        <f>ROUNDUP((T4107+U4107+2*'Read Me'!$B$13)*(1+'Read Me'!$B$12),-1)</f>
        <v/>
      </c>
      <c r="W4107" s="15">
        <f>V4107*N4107*O4107</f>
        <v/>
      </c>
      <c r="X4107" s="12">
        <f>IF(LEFT(I4107,2)="MV",2*N4107*IF(L4107="1/C",O4107,1),0)</f>
        <v/>
      </c>
      <c r="Y4107" s="12">
        <f>IF(OR(LEFT(K4107,4)="LVAX",LEFT(K4107,6)="MV15AX",LEFT(K4107,4)="CTAX",LEFT(K4107,2)="W|"),2*N4107*O4107,0)</f>
        <v/>
      </c>
      <c r="Z4107" s="12" t="inlineStr"/>
      <c r="AA4107" s="12">
        <f>N4107*O4107</f>
        <v/>
      </c>
    </row>
    <row r="4108">
      <c r="A4108" s="12" t="inlineStr">
        <is>
          <t>I-C-0015</t>
        </is>
      </c>
      <c r="B4108" s="12" t="inlineStr">
        <is>
          <t>I</t>
        </is>
      </c>
      <c r="C4108" s="12" t="inlineStr">
        <is>
          <t>Modular / portable power</t>
        </is>
      </c>
      <c r="D4108" s="12" t="inlineStr">
        <is>
          <t>Control</t>
        </is>
      </c>
      <c r="E4108" s="12" t="inlineStr">
        <is>
          <t>PAD-EH</t>
        </is>
      </c>
      <c r="F4108" s="12" t="inlineStr">
        <is>
          <t>PAD-EH 13.8 kV switchgear e-house</t>
        </is>
      </c>
      <c r="G4108" s="12" t="inlineStr">
        <is>
          <t>GSP-1</t>
        </is>
      </c>
      <c r="H4108" s="12" t="inlineStr">
        <is>
          <t>GSP-1: generator breaker / protection</t>
        </is>
      </c>
      <c r="I4108" s="12" t="inlineStr">
        <is>
          <t>Control</t>
        </is>
      </c>
      <c r="J4108" s="12" t="inlineStr">
        <is>
          <t>Control cable 600 V Type TC-ER, Cu #14 AWG, PVC jacket</t>
        </is>
      </c>
      <c r="K4108" s="12" t="inlineStr">
        <is>
          <t>CT|12/C|14</t>
        </is>
      </c>
      <c r="L4108" s="12" t="inlineStr">
        <is>
          <t>12/C</t>
        </is>
      </c>
      <c r="M4108" s="12" t="inlineStr">
        <is>
          <t>14</t>
        </is>
      </c>
      <c r="N4108" s="12" t="n">
        <v>1</v>
      </c>
      <c r="O4108" s="12" t="n">
        <v>1</v>
      </c>
      <c r="P4108" s="12" t="n"/>
      <c r="Q4108" s="12" t="n"/>
      <c r="R4108" s="12" t="n"/>
      <c r="S4108" s="12" t="inlineStr">
        <is>
          <t>Surface</t>
        </is>
      </c>
      <c r="T4108" s="15" t="n">
        <v>348</v>
      </c>
      <c r="U4108" s="15" t="n">
        <v>27</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I-C-0016</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5" t="n">
        <v>348</v>
      </c>
      <c r="U4109" s="15" t="n">
        <v>27</v>
      </c>
      <c r="V4109" s="15">
        <f>ROUNDUP((T4109+U4109+2*'Read Me'!$B$13)*(1+'Read Me'!$B$12),-1)</f>
        <v/>
      </c>
      <c r="W4109" s="15">
        <f>V4109*N4109*O4109</f>
        <v/>
      </c>
      <c r="X4109" s="12">
        <f>IF(LEFT(I4109,2)="MV",2*N4109*IF(L4109="1/C",O4109,1),0)</f>
        <v/>
      </c>
      <c r="Y4109" s="12">
        <f>IF(OR(LEFT(K4109,4)="LVAX",LEFT(K4109,6)="MV15AX",LEFT(K4109,4)="CTAX",LEFT(K4109,2)="W|"),2*N4109*O4109,0)</f>
        <v/>
      </c>
      <c r="Z4109" s="12" t="inlineStr"/>
      <c r="AA4109" s="12">
        <f>N4109*O4109</f>
        <v/>
      </c>
    </row>
    <row r="4110">
      <c r="A4110" s="12" t="inlineStr">
        <is>
          <t>I-C-0017</t>
        </is>
      </c>
      <c r="B4110" s="12" t="inlineStr">
        <is>
          <t>I</t>
        </is>
      </c>
      <c r="C4110" s="12" t="inlineStr">
        <is>
          <t>Modular / portable power</t>
        </is>
      </c>
      <c r="D4110" s="12" t="inlineStr">
        <is>
          <t>CT / VT</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#10 AWG (CT / VT circuits)</t>
        </is>
      </c>
      <c r="K4110" s="12" t="inlineStr">
        <is>
          <t>CTCT|4/C|10</t>
        </is>
      </c>
      <c r="L4110" s="12" t="inlineStr">
        <is>
          <t>4/C</t>
        </is>
      </c>
      <c r="M4110" s="12" t="inlineStr">
        <is>
          <t>10</t>
        </is>
      </c>
      <c r="N4110" s="12" t="n">
        <v>1</v>
      </c>
      <c r="O4110" s="12" t="n">
        <v>1</v>
      </c>
      <c r="P4110" s="12" t="n"/>
      <c r="Q4110" s="12" t="n"/>
      <c r="R4110" s="12" t="n"/>
      <c r="S4110" s="12" t="inlineStr">
        <is>
          <t>Surface</t>
        </is>
      </c>
      <c r="T4110" s="15" t="n">
        <v>348</v>
      </c>
      <c r="U4110" s="15" t="n">
        <v>27</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I-C-0018</t>
        </is>
      </c>
      <c r="B4111" s="12" t="inlineStr">
        <is>
          <t>I</t>
        </is>
      </c>
      <c r="C4111" s="12" t="inlineStr">
        <is>
          <t>Modular / portable power</t>
        </is>
      </c>
      <c r="D4111" s="12" t="inlineStr">
        <is>
          <t>CT / VT</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#10 AWG (CT / VT circuits)</t>
        </is>
      </c>
      <c r="K4111" s="12" t="inlineStr">
        <is>
          <t>CTCT|4/C|10</t>
        </is>
      </c>
      <c r="L4111" s="12" t="inlineStr">
        <is>
          <t>4/C</t>
        </is>
      </c>
      <c r="M4111" s="12" t="inlineStr">
        <is>
          <t>10</t>
        </is>
      </c>
      <c r="N4111" s="12" t="n">
        <v>1</v>
      </c>
      <c r="O4111" s="12" t="n">
        <v>1</v>
      </c>
      <c r="P4111" s="12" t="n"/>
      <c r="Q4111" s="12" t="n"/>
      <c r="R4111" s="12" t="n"/>
      <c r="S4111" s="12" t="inlineStr">
        <is>
          <t>Surface</t>
        </is>
      </c>
      <c r="T4111" s="15" t="n">
        <v>348</v>
      </c>
      <c r="U4111" s="15" t="n">
        <v>27</v>
      </c>
      <c r="V4111" s="15">
        <f>ROUNDUP((T4111+U4111+2*'Read Me'!$B$13)*(1+'Read Me'!$B$12),-1)</f>
        <v/>
      </c>
      <c r="W4111" s="15">
        <f>V4111*N4111*O4111</f>
        <v/>
      </c>
      <c r="X4111" s="12">
        <f>IF(LEFT(I4111,2)="MV",2*N4111*IF(L4111="1/C",O4111,1),0)</f>
        <v/>
      </c>
      <c r="Y4111" s="12">
        <f>IF(OR(LEFT(K4111,4)="LVAX",LEFT(K4111,6)="MV15AX",LEFT(K4111,4)="CTAX",LEFT(K4111,2)="W|"),2*N4111*O4111,0)</f>
        <v/>
      </c>
      <c r="Z4111" s="12" t="inlineStr"/>
      <c r="AA4111" s="12">
        <f>N4111*O4111</f>
        <v/>
      </c>
    </row>
    <row r="4112">
      <c r="A4112" s="12" t="inlineStr">
        <is>
          <t>I-C-0019</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5" t="n">
        <v>348</v>
      </c>
      <c r="U4112" s="15" t="n">
        <v>27</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I-C-0020</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5" t="n">
        <v>348</v>
      </c>
      <c r="U4113" s="15" t="n">
        <v>27</v>
      </c>
      <c r="V4113" s="15">
        <f>ROUNDUP((T4113+U4113+2*'Read Me'!$B$13)*(1+'Read Me'!$B$12),-1)</f>
        <v/>
      </c>
      <c r="W4113" s="15">
        <f>V4113*N4113*O4113</f>
        <v/>
      </c>
      <c r="X4113" s="12">
        <f>IF(LEFT(I4113,2)="MV",2*N4113*IF(L4113="1/C",O4113,1),0)</f>
        <v/>
      </c>
      <c r="Y4113" s="12">
        <f>IF(OR(LEFT(K4113,4)="LVAX",LEFT(K4113,6)="MV15AX",LEFT(K4113,4)="CTAX",LEFT(K4113,2)="W|"),2*N4113*O4113,0)</f>
        <v/>
      </c>
      <c r="Z4113" s="12" t="inlineStr"/>
      <c r="AA4113" s="12">
        <f>N4113*O4113</f>
        <v/>
      </c>
    </row>
    <row r="4114">
      <c r="A4114" s="12" t="inlineStr">
        <is>
          <t>I-C-0021</t>
        </is>
      </c>
      <c r="B4114" s="12" t="inlineStr">
        <is>
          <t>I</t>
        </is>
      </c>
      <c r="C4114" s="12" t="inlineStr">
        <is>
          <t>Modular / portable power</t>
        </is>
      </c>
      <c r="D4114" s="12" t="inlineStr">
        <is>
          <t>Control</t>
        </is>
      </c>
      <c r="E4114" s="12" t="inlineStr">
        <is>
          <t>PAD-EH</t>
        </is>
      </c>
      <c r="F4114" s="12" t="inlineStr">
        <is>
          <t>PAD-EH 13.8 kV switchgear e-house</t>
        </is>
      </c>
      <c r="G4114" s="12" t="inlineStr">
        <is>
          <t>GSP-2</t>
        </is>
      </c>
      <c r="H4114" s="12" t="inlineStr">
        <is>
          <t>GSP-2: generator breaker / protection</t>
        </is>
      </c>
      <c r="I4114" s="12" t="inlineStr">
        <is>
          <t>Control</t>
        </is>
      </c>
      <c r="J4114" s="12" t="inlineStr">
        <is>
          <t>Control cable 600 V Type TC-ER, Cu #14 AWG, PVC jacket</t>
        </is>
      </c>
      <c r="K4114" s="12" t="inlineStr">
        <is>
          <t>CT|12/C|14</t>
        </is>
      </c>
      <c r="L4114" s="12" t="inlineStr">
        <is>
          <t>12/C</t>
        </is>
      </c>
      <c r="M4114" s="12" t="inlineStr">
        <is>
          <t>14</t>
        </is>
      </c>
      <c r="N4114" s="12" t="n">
        <v>1</v>
      </c>
      <c r="O4114" s="12" t="n">
        <v>1</v>
      </c>
      <c r="P4114" s="12" t="n"/>
      <c r="Q4114" s="12" t="n"/>
      <c r="R4114" s="12" t="n"/>
      <c r="S4114" s="12" t="inlineStr">
        <is>
          <t>Surface</t>
        </is>
      </c>
      <c r="T4114" s="15" t="n">
        <v>361</v>
      </c>
      <c r="U4114" s="15" t="n">
        <v>27</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I-C-0022</t>
        </is>
      </c>
      <c r="B4115" s="12" t="inlineStr">
        <is>
          <t>I</t>
        </is>
      </c>
      <c r="C4115" s="12" t="inlineStr">
        <is>
          <t>Modular / portable power</t>
        </is>
      </c>
      <c r="D4115" s="12" t="inlineStr">
        <is>
          <t>Control</t>
        </is>
      </c>
      <c r="E4115" s="12" t="inlineStr">
        <is>
          <t>PAD-EH</t>
        </is>
      </c>
      <c r="F4115" s="12" t="inlineStr">
        <is>
          <t>PAD-EH 13.8 kV switchgear e-house</t>
        </is>
      </c>
      <c r="G4115" s="12" t="inlineStr">
        <is>
          <t>GSP-2</t>
        </is>
      </c>
      <c r="H4115" s="12" t="inlineStr">
        <is>
          <t>GSP-2: generator breaker / protection</t>
        </is>
      </c>
      <c r="I4115" s="12" t="inlineStr">
        <is>
          <t>Control</t>
        </is>
      </c>
      <c r="J4115" s="12" t="inlineStr">
        <is>
          <t>Control cable 600 V Type TC-ER, Cu #14 AWG, PVC jacket</t>
        </is>
      </c>
      <c r="K4115" s="12" t="inlineStr">
        <is>
          <t>CT|12/C|14</t>
        </is>
      </c>
      <c r="L4115" s="12" t="inlineStr">
        <is>
          <t>12/C</t>
        </is>
      </c>
      <c r="M4115" s="12" t="inlineStr">
        <is>
          <t>14</t>
        </is>
      </c>
      <c r="N4115" s="12" t="n">
        <v>1</v>
      </c>
      <c r="O4115" s="12" t="n">
        <v>1</v>
      </c>
      <c r="P4115" s="12" t="n"/>
      <c r="Q4115" s="12" t="n"/>
      <c r="R4115" s="12" t="n"/>
      <c r="S4115" s="12" t="inlineStr">
        <is>
          <t>Surface</t>
        </is>
      </c>
      <c r="T4115" s="15" t="n">
        <v>361</v>
      </c>
      <c r="U4115" s="15" t="n">
        <v>27</v>
      </c>
      <c r="V4115" s="15">
        <f>ROUNDUP((T4115+U4115+2*'Read Me'!$B$13)*(1+'Read Me'!$B$12),-1)</f>
        <v/>
      </c>
      <c r="W4115" s="15">
        <f>V4115*N4115*O4115</f>
        <v/>
      </c>
      <c r="X4115" s="12">
        <f>IF(LEFT(I4115,2)="MV",2*N4115*IF(L4115="1/C",O4115,1),0)</f>
        <v/>
      </c>
      <c r="Y4115" s="12">
        <f>IF(OR(LEFT(K4115,4)="LVAX",LEFT(K4115,6)="MV15AX",LEFT(K4115,4)="CTAX",LEFT(K4115,2)="W|"),2*N4115*O4115,0)</f>
        <v/>
      </c>
      <c r="Z4115" s="12" t="inlineStr"/>
      <c r="AA4115" s="12">
        <f>N4115*O4115</f>
        <v/>
      </c>
    </row>
    <row r="4116">
      <c r="A4116" s="12" t="inlineStr">
        <is>
          <t>I-C-0023</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5" t="n">
        <v>361</v>
      </c>
      <c r="U4116" s="15" t="n">
        <v>27</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I-C-0024</t>
        </is>
      </c>
      <c r="B4117" s="12" t="inlineStr">
        <is>
          <t>I</t>
        </is>
      </c>
      <c r="C4117" s="12" t="inlineStr">
        <is>
          <t>Modular / portable power</t>
        </is>
      </c>
      <c r="D4117" s="12" t="inlineStr">
        <is>
          <t>CT / VT</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#10 AWG (CT / VT circuits)</t>
        </is>
      </c>
      <c r="K4117" s="12" t="inlineStr">
        <is>
          <t>CTCT|4/C|10</t>
        </is>
      </c>
      <c r="L4117" s="12" t="inlineStr">
        <is>
          <t>4/C</t>
        </is>
      </c>
      <c r="M4117" s="12" t="inlineStr">
        <is>
          <t>10</t>
        </is>
      </c>
      <c r="N4117" s="12" t="n">
        <v>1</v>
      </c>
      <c r="O4117" s="12" t="n">
        <v>1</v>
      </c>
      <c r="P4117" s="12" t="n"/>
      <c r="Q4117" s="12" t="n"/>
      <c r="R4117" s="12" t="n"/>
      <c r="S4117" s="12" t="inlineStr">
        <is>
          <t>Surface</t>
        </is>
      </c>
      <c r="T4117" s="15" t="n">
        <v>361</v>
      </c>
      <c r="U4117" s="15" t="n">
        <v>27</v>
      </c>
      <c r="V4117" s="15">
        <f>ROUNDUP((T4117+U4117+2*'Read Me'!$B$13)*(1+'Read Me'!$B$12),-1)</f>
        <v/>
      </c>
      <c r="W4117" s="15">
        <f>V4117*N4117*O4117</f>
        <v/>
      </c>
      <c r="X4117" s="12">
        <f>IF(LEFT(I4117,2)="MV",2*N4117*IF(L4117="1/C",O4117,1),0)</f>
        <v/>
      </c>
      <c r="Y4117" s="12">
        <f>IF(OR(LEFT(K4117,4)="LVAX",LEFT(K4117,6)="MV15AX",LEFT(K4117,4)="CTAX",LEFT(K4117,2)="W|"),2*N4117*O4117,0)</f>
        <v/>
      </c>
      <c r="Z4117" s="12" t="inlineStr"/>
      <c r="AA4117" s="12">
        <f>N4117*O4117</f>
        <v/>
      </c>
    </row>
    <row r="4118">
      <c r="A4118" s="12" t="inlineStr">
        <is>
          <t>I-C-0025</t>
        </is>
      </c>
      <c r="B4118" s="12" t="inlineStr">
        <is>
          <t>I</t>
        </is>
      </c>
      <c r="C4118" s="12" t="inlineStr">
        <is>
          <t>Modular / portable power</t>
        </is>
      </c>
      <c r="D4118" s="12" t="inlineStr">
        <is>
          <t>CT / VT</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#10 AWG (CT / VT circuits)</t>
        </is>
      </c>
      <c r="K4118" s="12" t="inlineStr">
        <is>
          <t>CTCT|4/C|10</t>
        </is>
      </c>
      <c r="L4118" s="12" t="inlineStr">
        <is>
          <t>4/C</t>
        </is>
      </c>
      <c r="M4118" s="12" t="inlineStr">
        <is>
          <t>10</t>
        </is>
      </c>
      <c r="N4118" s="12" t="n">
        <v>1</v>
      </c>
      <c r="O4118" s="12" t="n">
        <v>1</v>
      </c>
      <c r="P4118" s="12" t="n"/>
      <c r="Q4118" s="12" t="n"/>
      <c r="R4118" s="12" t="n"/>
      <c r="S4118" s="12" t="inlineStr">
        <is>
          <t>Surface</t>
        </is>
      </c>
      <c r="T4118" s="15" t="n">
        <v>361</v>
      </c>
      <c r="U4118" s="15" t="n">
        <v>27</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I-C-0026</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5" t="n">
        <v>361</v>
      </c>
      <c r="U4119" s="15" t="n">
        <v>27</v>
      </c>
      <c r="V4119" s="15">
        <f>ROUNDUP((T4119+U4119+2*'Read Me'!$B$13)*(1+'Read Me'!$B$12),-1)</f>
        <v/>
      </c>
      <c r="W4119" s="15">
        <f>V4119*N4119*O4119</f>
        <v/>
      </c>
      <c r="X4119" s="12">
        <f>IF(LEFT(I4119,2)="MV",2*N4119*IF(L4119="1/C",O4119,1),0)</f>
        <v/>
      </c>
      <c r="Y4119" s="12">
        <f>IF(OR(LEFT(K4119,4)="LVAX",LEFT(K4119,6)="MV15AX",LEFT(K4119,4)="CTAX",LEFT(K4119,2)="W|"),2*N4119*O4119,0)</f>
        <v/>
      </c>
      <c r="Z4119" s="12" t="inlineStr"/>
      <c r="AA4119" s="12">
        <f>N4119*O4119</f>
        <v/>
      </c>
    </row>
    <row r="4120">
      <c r="A4120" s="12" t="inlineStr">
        <is>
          <t>I-C-0027</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5" t="n">
        <v>361</v>
      </c>
      <c r="U4120" s="15" t="n">
        <v>27</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I-C-0028</t>
        </is>
      </c>
      <c r="B4121" s="12" t="inlineStr">
        <is>
          <t>I</t>
        </is>
      </c>
      <c r="C4121" s="12" t="inlineStr">
        <is>
          <t>Modular / portable power</t>
        </is>
      </c>
      <c r="D4121" s="12" t="inlineStr">
        <is>
          <t>Control</t>
        </is>
      </c>
      <c r="E4121" s="12" t="inlineStr"/>
      <c r="F4121" s="12" t="inlineStr">
        <is>
          <t>PCM: power control module</t>
        </is>
      </c>
      <c r="G4121" s="12" t="inlineStr"/>
      <c r="H4121" s="12" t="inlineStr">
        <is>
          <t>Gas conditioning skid</t>
        </is>
      </c>
      <c r="I4121" s="12" t="inlineStr">
        <is>
          <t>Control</t>
        </is>
      </c>
      <c r="J4121" s="12" t="inlineStr">
        <is>
          <t>ARMOR-X MC-HL 600 V control, Cu #14 AWG (Class I Div 2)</t>
        </is>
      </c>
      <c r="K4121" s="12" t="inlineStr">
        <is>
          <t>CTAX|7/C|14</t>
        </is>
      </c>
      <c r="L4121" s="12" t="inlineStr">
        <is>
          <t>7/C</t>
        </is>
      </c>
      <c r="M4121" s="12" t="inlineStr">
        <is>
          <t>14</t>
        </is>
      </c>
      <c r="N4121" s="12" t="n">
        <v>1</v>
      </c>
      <c r="O4121" s="12" t="n">
        <v>1</v>
      </c>
      <c r="P4121" s="12" t="n"/>
      <c r="Q4121" s="12" t="n"/>
      <c r="R4121" s="12" t="n"/>
      <c r="S4121" s="12" t="inlineStr">
        <is>
          <t>Tray</t>
        </is>
      </c>
      <c r="T4121" s="15" t="n">
        <v>32</v>
      </c>
      <c r="U4121" s="15" t="n">
        <v>94</v>
      </c>
      <c r="V4121" s="15">
        <f>ROUNDUP((T4121+U4121+2*'Read Me'!$B$13)*(1+'Read Me'!$B$12),-1)</f>
        <v/>
      </c>
      <c r="W4121" s="15">
        <f>V4121*N4121*O4121</f>
        <v/>
      </c>
      <c r="X4121" s="12">
        <f>IF(LEFT(I4121,2)="MV",2*N4121*IF(L4121="1/C",O4121,1),0)</f>
        <v/>
      </c>
      <c r="Y4121" s="12">
        <f>IF(OR(LEFT(K4121,4)="LVAX",LEFT(K4121,6)="MV15AX",LEFT(K4121,4)="CTAX",LEFT(K4121,2)="W|"),2*N4121*O4121,0)</f>
        <v/>
      </c>
      <c r="Z4121" s="12" t="inlineStr"/>
      <c r="AA4121" s="12">
        <f>N4121*O4121</f>
        <v/>
      </c>
    </row>
    <row r="4122">
      <c r="A4122" s="12" t="inlineStr">
        <is>
          <t>I-C-0029</t>
        </is>
      </c>
      <c r="B4122" s="12" t="inlineStr">
        <is>
          <t>I</t>
        </is>
      </c>
      <c r="C4122" s="12" t="inlineStr">
        <is>
          <t>Modular / portable power</t>
        </is>
      </c>
      <c r="D4122" s="12" t="inlineStr">
        <is>
          <t>Control</t>
        </is>
      </c>
      <c r="E4122" s="12" t="inlineStr">
        <is>
          <t>PAD-EH</t>
        </is>
      </c>
      <c r="F4122" s="12" t="inlineStr">
        <is>
          <t>PAD-EH 13.8 kV switchgear e-house</t>
        </is>
      </c>
      <c r="G4122" s="12" t="inlineStr">
        <is>
          <t>LB</t>
        </is>
      </c>
      <c r="H4122" s="12" t="inlineStr">
        <is>
          <t>LB: commissioning load bank (trailer)</t>
        </is>
      </c>
      <c r="I4122" s="12" t="inlineStr">
        <is>
          <t>Control</t>
        </is>
      </c>
      <c r="J4122" s="12" t="inlineStr">
        <is>
          <t>Control cable 600 V Type TC-ER, Cu #14 AWG, PVC jacket</t>
        </is>
      </c>
      <c r="K4122" s="12" t="inlineStr">
        <is>
          <t>CT|7/C|14</t>
        </is>
      </c>
      <c r="L4122" s="12" t="inlineStr">
        <is>
          <t>7/C</t>
        </is>
      </c>
      <c r="M4122" s="12" t="inlineStr">
        <is>
          <t>14</t>
        </is>
      </c>
      <c r="N4122" s="12" t="n">
        <v>1</v>
      </c>
      <c r="O4122" s="12" t="n">
        <v>1</v>
      </c>
      <c r="P4122" s="12" t="n"/>
      <c r="Q4122" s="12" t="n"/>
      <c r="R4122" s="12" t="n"/>
      <c r="S4122" s="12" t="inlineStr">
        <is>
          <t>Surface</t>
        </is>
      </c>
      <c r="T4122" s="15" t="n">
        <v>212</v>
      </c>
      <c r="U4122" s="15" t="n">
        <v>39</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I-C-0030</t>
        </is>
      </c>
      <c r="B4123" s="12" t="inlineStr">
        <is>
          <t>I</t>
        </is>
      </c>
      <c r="C4123" s="12" t="inlineStr">
        <is>
          <t>Modular / portable power</t>
        </is>
      </c>
      <c r="D4123" s="12" t="inlineStr">
        <is>
          <t>Control</t>
        </is>
      </c>
      <c r="E4123" s="12" t="inlineStr"/>
      <c r="F4123" s="12" t="inlineStr">
        <is>
          <t>PCM: power control module</t>
        </is>
      </c>
      <c r="G4123" s="12" t="inlineStr"/>
      <c r="H4123" s="12" t="inlineStr">
        <is>
          <t>Lube oil / starting air / oily water building</t>
        </is>
      </c>
      <c r="I4123" s="12" t="inlineStr">
        <is>
          <t>Control</t>
        </is>
      </c>
      <c r="J4123" s="12" t="inlineStr">
        <is>
          <t>Control cable 600 V Type TC-ER, Cu #14 AWG, PVC jacket</t>
        </is>
      </c>
      <c r="K4123" s="12" t="inlineStr">
        <is>
          <t>CT|7/C|14</t>
        </is>
      </c>
      <c r="L4123" s="12" t="inlineStr">
        <is>
          <t>7/C</t>
        </is>
      </c>
      <c r="M4123" s="12" t="inlineStr">
        <is>
          <t>14</t>
        </is>
      </c>
      <c r="N4123" s="12" t="n">
        <v>1</v>
      </c>
      <c r="O4123" s="12" t="n">
        <v>1</v>
      </c>
      <c r="P4123" s="12" t="n"/>
      <c r="Q4123" s="12" t="n"/>
      <c r="R4123" s="12" t="n"/>
      <c r="S4123" s="12" t="inlineStr">
        <is>
          <t>Tray</t>
        </is>
      </c>
      <c r="T4123" s="15" t="n">
        <v>32</v>
      </c>
      <c r="U4123" s="15" t="n">
        <v>164</v>
      </c>
      <c r="V4123" s="15">
        <f>ROUNDUP((T4123+U4123+2*'Read Me'!$B$13)*(1+'Read Me'!$B$12),-1)</f>
        <v/>
      </c>
      <c r="W4123" s="15">
        <f>V4123*N4123*O4123</f>
        <v/>
      </c>
      <c r="X4123" s="12">
        <f>IF(LEFT(I4123,2)="MV",2*N4123*IF(L4123="1/C",O4123,1),0)</f>
        <v/>
      </c>
      <c r="Y4123" s="12">
        <f>IF(OR(LEFT(K4123,4)="LVAX",LEFT(K4123,6)="MV15AX",LEFT(K4123,4)="CTAX",LEFT(K4123,2)="W|"),2*N4123*O4123,0)</f>
        <v/>
      </c>
      <c r="Z4123" s="12" t="inlineStr"/>
      <c r="AA4123" s="12">
        <f>N4123*O4123</f>
        <v/>
      </c>
    </row>
    <row r="4124">
      <c r="A4124" s="12" t="inlineStr">
        <is>
          <t>I-C-0031</t>
        </is>
      </c>
      <c r="B4124" s="12" t="inlineStr">
        <is>
          <t>I</t>
        </is>
      </c>
      <c r="C4124" s="12" t="inlineStr">
        <is>
          <t>Modular / portable power</t>
        </is>
      </c>
      <c r="D4124" s="12" t="inlineStr">
        <is>
          <t>Control</t>
        </is>
      </c>
      <c r="E4124" s="12" t="inlineStr"/>
      <c r="F4124" s="12" t="inlineStr">
        <is>
          <t>PCM: power control module</t>
        </is>
      </c>
      <c r="G4124" s="12" t="inlineStr">
        <is>
          <t>MOD-EH</t>
        </is>
      </c>
      <c r="H4124" s="12" t="inlineStr">
        <is>
          <t>MOD-EH: 13.8 kV modular collector e-house</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Duct bank</t>
        </is>
      </c>
      <c r="T4124" s="15" t="n">
        <v>355</v>
      </c>
      <c r="U4124" s="15" t="n">
        <v>32</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I-C-0032</t>
        </is>
      </c>
      <c r="B4125" s="12" t="inlineStr">
        <is>
          <t>I</t>
        </is>
      </c>
      <c r="C4125" s="12" t="inlineStr">
        <is>
          <t>Modular / portable power</t>
        </is>
      </c>
      <c r="D4125" s="12" t="inlineStr">
        <is>
          <t>Control</t>
        </is>
      </c>
      <c r="E4125" s="12" t="inlineStr"/>
      <c r="F4125" s="12" t="inlineStr">
        <is>
          <t>PCM: power control module</t>
        </is>
      </c>
      <c r="G4125" s="12" t="inlineStr"/>
      <c r="H4125" s="12" t="inlineStr">
        <is>
          <t>MOD-LV 480 V board + 480 V : 13.8 kV step-up</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Duct bank</t>
        </is>
      </c>
      <c r="T4125" s="15" t="n">
        <v>755</v>
      </c>
      <c r="U4125" s="15" t="n">
        <v>32</v>
      </c>
      <c r="V4125" s="15">
        <f>ROUNDUP((T4125+U4125+2*'Read Me'!$B$13)*(1+'Read Me'!$B$12),-1)</f>
        <v/>
      </c>
      <c r="W4125" s="15">
        <f>V4125*N4125*O4125</f>
        <v/>
      </c>
      <c r="X4125" s="12">
        <f>IF(LEFT(I4125,2)="MV",2*N4125*IF(L4125="1/C",O4125,1),0)</f>
        <v/>
      </c>
      <c r="Y4125" s="12">
        <f>IF(OR(LEFT(K4125,4)="LVAX",LEFT(K4125,6)="MV15AX",LEFT(K4125,4)="CTAX",LEFT(K4125,2)="W|"),2*N4125*O4125,0)</f>
        <v/>
      </c>
      <c r="Z4125" s="12" t="inlineStr"/>
      <c r="AA4125" s="12">
        <f>N4125*O4125</f>
        <v/>
      </c>
    </row>
    <row r="4126">
      <c r="A4126" s="12" t="inlineStr">
        <is>
          <t>I-C-0033</t>
        </is>
      </c>
      <c r="B4126" s="12" t="inlineStr">
        <is>
          <t>I</t>
        </is>
      </c>
      <c r="C4126" s="12" t="inlineStr">
        <is>
          <t>Modular / portable power</t>
        </is>
      </c>
      <c r="D4126" s="12" t="inlineStr">
        <is>
          <t>Control</t>
        </is>
      </c>
      <c r="E4126" s="12" t="inlineStr"/>
      <c r="F4126" s="12" t="inlineStr">
        <is>
          <t>PCM: power control module</t>
        </is>
      </c>
      <c r="G4126" s="12" t="inlineStr"/>
      <c r="H4126" s="12" t="inlineStr">
        <is>
          <t>PCM: power control module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5" t="n">
        <v>0</v>
      </c>
      <c r="U4126" s="15" t="n">
        <v>32</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I-C-0034</t>
        </is>
      </c>
      <c r="B4127" s="12" t="inlineStr">
        <is>
          <t>I</t>
        </is>
      </c>
      <c r="C4127" s="12" t="inlineStr">
        <is>
          <t>Modular / portable power</t>
        </is>
      </c>
      <c r="D4127" s="12" t="inlineStr">
        <is>
          <t>Motor 1 of 1: control / local station</t>
        </is>
      </c>
      <c r="E4127" s="12" t="inlineStr"/>
      <c r="F4127" s="12" t="inlineStr">
        <is>
          <t>PCM: power control module</t>
        </is>
      </c>
      <c r="G4127" s="12" t="inlineStr"/>
      <c r="H4127" s="12" t="inlineStr">
        <is>
          <t>RICE 1 SCR + oxidation catalyst and stack</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5" t="n">
        <v>470</v>
      </c>
      <c r="U4127" s="15" t="n">
        <v>160</v>
      </c>
      <c r="V4127" s="15">
        <f>ROUNDUP((T4127+U4127+2*'Read Me'!$B$13)*(1+'Read Me'!$B$12),-1)</f>
        <v/>
      </c>
      <c r="W4127" s="15">
        <f>V4127*N4127*O4127</f>
        <v/>
      </c>
      <c r="X4127" s="12">
        <f>IF(LEFT(I4127,2)="MV",2*N4127*IF(L4127="1/C",O4127,1),0)</f>
        <v/>
      </c>
      <c r="Y4127" s="12">
        <f>IF(OR(LEFT(K4127,4)="LVAX",LEFT(K4127,6)="MV15AX",LEFT(K4127,4)="CTAX",LEFT(K4127,2)="W|"),2*N4127*O4127,0)</f>
        <v/>
      </c>
      <c r="Z4127" s="12" t="inlineStr"/>
      <c r="AA4127" s="12">
        <f>N4127*O4127</f>
        <v/>
      </c>
    </row>
    <row r="4128">
      <c r="A4128" s="12" t="inlineStr">
        <is>
          <t>I-C-0035</t>
        </is>
      </c>
      <c r="B4128" s="12" t="inlineStr">
        <is>
          <t>I</t>
        </is>
      </c>
      <c r="C4128" s="12" t="inlineStr">
        <is>
          <t>Modular / portable power</t>
        </is>
      </c>
      <c r="D4128" s="12" t="inlineStr">
        <is>
          <t>Motor 1 of 5: control / local station</t>
        </is>
      </c>
      <c r="E4128" s="12" t="inlineStr"/>
      <c r="F4128" s="12" t="inlineStr">
        <is>
          <t>PCM: power control module</t>
        </is>
      </c>
      <c r="G4128" s="12" t="inlineStr"/>
      <c r="H4128" s="12" t="inlineStr">
        <is>
          <t>RICE 1 radiators (5)</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5" t="n">
        <v>745</v>
      </c>
      <c r="U4128" s="15" t="n">
        <v>139</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I-C-0036</t>
        </is>
      </c>
      <c r="B4129" s="12" t="inlineStr">
        <is>
          <t>I</t>
        </is>
      </c>
      <c r="C4129" s="12" t="inlineStr">
        <is>
          <t>Modular / portable power</t>
        </is>
      </c>
      <c r="D4129" s="12" t="inlineStr">
        <is>
          <t>Motor 2 of 5: control / local station</t>
        </is>
      </c>
      <c r="E4129" s="12" t="inlineStr"/>
      <c r="F4129" s="12" t="inlineStr">
        <is>
          <t>PCM: power control module</t>
        </is>
      </c>
      <c r="G4129" s="12" t="inlineStr"/>
      <c r="H4129" s="12" t="inlineStr">
        <is>
          <t>RICE 1 radiators (5)</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5" t="n">
        <v>745</v>
      </c>
      <c r="U4129" s="15" t="n">
        <v>139</v>
      </c>
      <c r="V4129" s="15">
        <f>ROUNDUP((T4129+U4129+2*'Read Me'!$B$13)*(1+'Read Me'!$B$12),-1)</f>
        <v/>
      </c>
      <c r="W4129" s="15">
        <f>V4129*N4129*O4129</f>
        <v/>
      </c>
      <c r="X4129" s="12">
        <f>IF(LEFT(I4129,2)="MV",2*N4129*IF(L4129="1/C",O4129,1),0)</f>
        <v/>
      </c>
      <c r="Y4129" s="12">
        <f>IF(OR(LEFT(K4129,4)="LVAX",LEFT(K4129,6)="MV15AX",LEFT(K4129,4)="CTAX",LEFT(K4129,2)="W|"),2*N4129*O4129,0)</f>
        <v/>
      </c>
      <c r="Z4129" s="12" t="inlineStr"/>
      <c r="AA4129" s="12">
        <f>N4129*O4129</f>
        <v/>
      </c>
    </row>
    <row r="4130">
      <c r="A4130" s="12" t="inlineStr">
        <is>
          <t>I-C-0037</t>
        </is>
      </c>
      <c r="B4130" s="12" t="inlineStr">
        <is>
          <t>I</t>
        </is>
      </c>
      <c r="C4130" s="12" t="inlineStr">
        <is>
          <t>Modular / portable power</t>
        </is>
      </c>
      <c r="D4130" s="12" t="inlineStr">
        <is>
          <t>Motor 3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5" t="n">
        <v>745</v>
      </c>
      <c r="U4130" s="15" t="n">
        <v>139</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I-C-0038</t>
        </is>
      </c>
      <c r="B4131" s="12" t="inlineStr">
        <is>
          <t>I</t>
        </is>
      </c>
      <c r="C4131" s="12" t="inlineStr">
        <is>
          <t>Modular / portable power</t>
        </is>
      </c>
      <c r="D4131" s="12" t="inlineStr">
        <is>
          <t>Motor 4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5" t="n">
        <v>745</v>
      </c>
      <c r="U4131" s="15" t="n">
        <v>139</v>
      </c>
      <c r="V4131" s="15">
        <f>ROUNDUP((T4131+U4131+2*'Read Me'!$B$13)*(1+'Read Me'!$B$12),-1)</f>
        <v/>
      </c>
      <c r="W4131" s="15">
        <f>V4131*N4131*O4131</f>
        <v/>
      </c>
      <c r="X4131" s="12">
        <f>IF(LEFT(I4131,2)="MV",2*N4131*IF(L4131="1/C",O4131,1),0)</f>
        <v/>
      </c>
      <c r="Y4131" s="12">
        <f>IF(OR(LEFT(K4131,4)="LVAX",LEFT(K4131,6)="MV15AX",LEFT(K4131,4)="CTAX",LEFT(K4131,2)="W|"),2*N4131*O4131,0)</f>
        <v/>
      </c>
      <c r="Z4131" s="12" t="inlineStr"/>
      <c r="AA4131" s="12">
        <f>N4131*O4131</f>
        <v/>
      </c>
    </row>
    <row r="4132">
      <c r="A4132" s="12" t="inlineStr">
        <is>
          <t>I-C-0039</t>
        </is>
      </c>
      <c r="B4132" s="12" t="inlineStr">
        <is>
          <t>I</t>
        </is>
      </c>
      <c r="C4132" s="12" t="inlineStr">
        <is>
          <t>Modular / portable power</t>
        </is>
      </c>
      <c r="D4132" s="12" t="inlineStr">
        <is>
          <t>Motor 5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5" t="n">
        <v>745</v>
      </c>
      <c r="U4132" s="15" t="n">
        <v>139</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I-C-0040</t>
        </is>
      </c>
      <c r="B4133" s="12" t="inlineStr">
        <is>
          <t>I</t>
        </is>
      </c>
      <c r="C4133" s="12" t="inlineStr">
        <is>
          <t>Modular / portable power</t>
        </is>
      </c>
      <c r="D4133" s="12" t="inlineStr">
        <is>
          <t>Motor 1 of 1: control / local station</t>
        </is>
      </c>
      <c r="E4133" s="12" t="inlineStr"/>
      <c r="F4133" s="12" t="inlineStr">
        <is>
          <t>PCM: power control module</t>
        </is>
      </c>
      <c r="G4133" s="12" t="inlineStr"/>
      <c r="H4133" s="12" t="inlineStr">
        <is>
          <t>RICE 2 SCR + oxidation catalyst and stack</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5" t="n">
        <v>470</v>
      </c>
      <c r="U4133" s="15" t="n">
        <v>132</v>
      </c>
      <c r="V4133" s="15">
        <f>ROUNDUP((T4133+U4133+2*'Read Me'!$B$13)*(1+'Read Me'!$B$12),-1)</f>
        <v/>
      </c>
      <c r="W4133" s="15">
        <f>V4133*N4133*O4133</f>
        <v/>
      </c>
      <c r="X4133" s="12">
        <f>IF(LEFT(I4133,2)="MV",2*N4133*IF(L4133="1/C",O4133,1),0)</f>
        <v/>
      </c>
      <c r="Y4133" s="12">
        <f>IF(OR(LEFT(K4133,4)="LVAX",LEFT(K4133,6)="MV15AX",LEFT(K4133,4)="CTAX",LEFT(K4133,2)="W|"),2*N4133*O4133,0)</f>
        <v/>
      </c>
      <c r="Z4133" s="12" t="inlineStr"/>
      <c r="AA4133" s="12">
        <f>N4133*O4133</f>
        <v/>
      </c>
    </row>
    <row r="4134">
      <c r="A4134" s="12" t="inlineStr">
        <is>
          <t>I-C-0041</t>
        </is>
      </c>
      <c r="B4134" s="12" t="inlineStr">
        <is>
          <t>I</t>
        </is>
      </c>
      <c r="C4134" s="12" t="inlineStr">
        <is>
          <t>Modular / portable power</t>
        </is>
      </c>
      <c r="D4134" s="12" t="inlineStr">
        <is>
          <t>Motor 1 of 5: control / local station</t>
        </is>
      </c>
      <c r="E4134" s="12" t="inlineStr"/>
      <c r="F4134" s="12" t="inlineStr">
        <is>
          <t>PCM: power control module</t>
        </is>
      </c>
      <c r="G4134" s="12" t="inlineStr"/>
      <c r="H4134" s="12" t="inlineStr">
        <is>
          <t>RICE 2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5" t="n">
        <v>550</v>
      </c>
      <c r="U4134" s="15" t="n">
        <v>192</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I-C-0042</t>
        </is>
      </c>
      <c r="B4135" s="12" t="inlineStr">
        <is>
          <t>I</t>
        </is>
      </c>
      <c r="C4135" s="12" t="inlineStr">
        <is>
          <t>Modular / portable power</t>
        </is>
      </c>
      <c r="D4135" s="12" t="inlineStr">
        <is>
          <t>Motor 2 of 5: control / local station</t>
        </is>
      </c>
      <c r="E4135" s="12" t="inlineStr"/>
      <c r="F4135" s="12" t="inlineStr">
        <is>
          <t>PCM: power control module</t>
        </is>
      </c>
      <c r="G4135" s="12" t="inlineStr"/>
      <c r="H4135" s="12" t="inlineStr">
        <is>
          <t>RICE 2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5" t="n">
        <v>550</v>
      </c>
      <c r="U4135" s="15" t="n">
        <v>192</v>
      </c>
      <c r="V4135" s="15">
        <f>ROUNDUP((T4135+U4135+2*'Read Me'!$B$13)*(1+'Read Me'!$B$12),-1)</f>
        <v/>
      </c>
      <c r="W4135" s="15">
        <f>V4135*N4135*O4135</f>
        <v/>
      </c>
      <c r="X4135" s="12">
        <f>IF(LEFT(I4135,2)="MV",2*N4135*IF(L4135="1/C",O4135,1),0)</f>
        <v/>
      </c>
      <c r="Y4135" s="12">
        <f>IF(OR(LEFT(K4135,4)="LVAX",LEFT(K4135,6)="MV15AX",LEFT(K4135,4)="CTAX",LEFT(K4135,2)="W|"),2*N4135*O4135,0)</f>
        <v/>
      </c>
      <c r="Z4135" s="12" t="inlineStr"/>
      <c r="AA4135" s="12">
        <f>N4135*O4135</f>
        <v/>
      </c>
    </row>
    <row r="4136">
      <c r="A4136" s="12" t="inlineStr">
        <is>
          <t>I-C-0043</t>
        </is>
      </c>
      <c r="B4136" s="12" t="inlineStr">
        <is>
          <t>I</t>
        </is>
      </c>
      <c r="C4136" s="12" t="inlineStr">
        <is>
          <t>Modular / portable power</t>
        </is>
      </c>
      <c r="D4136" s="12" t="inlineStr">
        <is>
          <t>Motor 3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5" t="n">
        <v>550</v>
      </c>
      <c r="U4136" s="15" t="n">
        <v>192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I-C-0044</t>
        </is>
      </c>
      <c r="B4137" s="12" t="inlineStr">
        <is>
          <t>I</t>
        </is>
      </c>
      <c r="C4137" s="12" t="inlineStr">
        <is>
          <t>Modular / portable power</t>
        </is>
      </c>
      <c r="D4137" s="12" t="inlineStr">
        <is>
          <t>Motor 4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5" t="n">
        <v>550</v>
      </c>
      <c r="U4137" s="15" t="n">
        <v>192</v>
      </c>
      <c r="V4137" s="15">
        <f>ROUNDUP((T4137+U4137+2*'Read Me'!$B$13)*(1+'Read Me'!$B$12),-1)</f>
        <v/>
      </c>
      <c r="W4137" s="15">
        <f>V4137*N4137*O4137</f>
        <v/>
      </c>
      <c r="X4137" s="12">
        <f>IF(LEFT(I4137,2)="MV",2*N4137*IF(L4137="1/C",O4137,1),0)</f>
        <v/>
      </c>
      <c r="Y4137" s="12">
        <f>IF(OR(LEFT(K4137,4)="LVAX",LEFT(K4137,6)="MV15AX",LEFT(K4137,4)="CTAX",LEFT(K4137,2)="W|"),2*N4137*O4137,0)</f>
        <v/>
      </c>
      <c r="Z4137" s="12" t="inlineStr"/>
      <c r="AA4137" s="12">
        <f>N4137*O4137</f>
        <v/>
      </c>
    </row>
    <row r="4138">
      <c r="A4138" s="12" t="inlineStr">
        <is>
          <t>I-C-0045</t>
        </is>
      </c>
      <c r="B4138" s="12" t="inlineStr">
        <is>
          <t>I</t>
        </is>
      </c>
      <c r="C4138" s="12" t="inlineStr">
        <is>
          <t>Modular / portable power</t>
        </is>
      </c>
      <c r="D4138" s="12" t="inlineStr">
        <is>
          <t>Motor 5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5" t="n">
        <v>550</v>
      </c>
      <c r="U4138" s="15" t="n">
        <v>192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I-C-0046</t>
        </is>
      </c>
      <c r="B4139" s="12" t="inlineStr">
        <is>
          <t>I</t>
        </is>
      </c>
      <c r="C4139" s="12" t="inlineStr">
        <is>
          <t>Modular / portable power</t>
        </is>
      </c>
      <c r="D4139" s="12" t="inlineStr">
        <is>
          <t>Motor 1 of 1: control / local station</t>
        </is>
      </c>
      <c r="E4139" s="12" t="inlineStr"/>
      <c r="F4139" s="12" t="inlineStr">
        <is>
          <t>PCM: power control module</t>
        </is>
      </c>
      <c r="G4139" s="12" t="inlineStr"/>
      <c r="H4139" s="12" t="inlineStr">
        <is>
          <t>RICE 3 SCR + oxidation catalyst and stack</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5" t="n">
        <v>470</v>
      </c>
      <c r="U4139" s="15" t="n">
        <v>104</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I-C-0047</t>
        </is>
      </c>
      <c r="B4140" s="12" t="inlineStr">
        <is>
          <t>I</t>
        </is>
      </c>
      <c r="C4140" s="12" t="inlineStr">
        <is>
          <t>Modular / portable power</t>
        </is>
      </c>
      <c r="D4140" s="12" t="inlineStr">
        <is>
          <t>Motor 1 of 5: control / local station</t>
        </is>
      </c>
      <c r="E4140" s="12" t="inlineStr"/>
      <c r="F4140" s="12" t="inlineStr">
        <is>
          <t>PCM: power control module</t>
        </is>
      </c>
      <c r="G4140" s="12" t="inlineStr"/>
      <c r="H4140" s="12" t="inlineStr">
        <is>
          <t>RICE 3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Tray</t>
        </is>
      </c>
      <c r="T4140" s="15" t="n">
        <v>32</v>
      </c>
      <c r="U4140" s="15" t="n">
        <v>232</v>
      </c>
      <c r="V4140" s="15">
        <f>ROUNDUP((T4140+U4140+2*'Read Me'!$B$13)*(1+'Read Me'!$B$12),-1)</f>
        <v/>
      </c>
      <c r="W4140" s="15">
        <f>V4140*N4140*O4140</f>
        <v/>
      </c>
      <c r="X4140" s="12">
        <f>IF(LEFT(I4140,2)="MV",2*N4140*IF(L4140="1/C",O4140,1),0)</f>
        <v/>
      </c>
      <c r="Y4140" s="12">
        <f>IF(OR(LEFT(K4140,4)="LVAX",LEFT(K4140,6)="MV15AX",LEFT(K4140,4)="CTAX",LEFT(K4140,2)="W|"),2*N4140*O4140,0)</f>
        <v/>
      </c>
      <c r="Z4140" s="12" t="inlineStr"/>
      <c r="AA4140" s="12">
        <f>N4140*O4140</f>
        <v/>
      </c>
    </row>
    <row r="4141">
      <c r="A4141" s="12" t="inlineStr">
        <is>
          <t>I-C-0048</t>
        </is>
      </c>
      <c r="B4141" s="12" t="inlineStr">
        <is>
          <t>I</t>
        </is>
      </c>
      <c r="C4141" s="12" t="inlineStr">
        <is>
          <t>Modular / portable power</t>
        </is>
      </c>
      <c r="D4141" s="12" t="inlineStr">
        <is>
          <t>Motor 2 of 5: control / local station</t>
        </is>
      </c>
      <c r="E4141" s="12" t="inlineStr"/>
      <c r="F4141" s="12" t="inlineStr">
        <is>
          <t>PCM: power control module</t>
        </is>
      </c>
      <c r="G4141" s="12" t="inlineStr"/>
      <c r="H4141" s="12" t="inlineStr">
        <is>
          <t>RICE 3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Tray</t>
        </is>
      </c>
      <c r="T4141" s="15" t="n">
        <v>32</v>
      </c>
      <c r="U4141" s="15" t="n">
        <v>232</v>
      </c>
      <c r="V4141" s="15">
        <f>ROUNDUP((T4141+U4141+2*'Read Me'!$B$13)*(1+'Read Me'!$B$12),-1)</f>
        <v/>
      </c>
      <c r="W4141" s="15">
        <f>V4141*N4141*O4141</f>
        <v/>
      </c>
      <c r="X4141" s="12">
        <f>IF(LEFT(I4141,2)="MV",2*N4141*IF(L4141="1/C",O4141,1),0)</f>
        <v/>
      </c>
      <c r="Y4141" s="12">
        <f>IF(OR(LEFT(K4141,4)="LVAX",LEFT(K4141,6)="MV15AX",LEFT(K4141,4)="CTAX",LEFT(K4141,2)="W|"),2*N4141*O4141,0)</f>
        <v/>
      </c>
      <c r="Z4141" s="12" t="inlineStr"/>
      <c r="AA4141" s="12">
        <f>N4141*O4141</f>
        <v/>
      </c>
    </row>
    <row r="4142">
      <c r="A4142" s="12" t="inlineStr">
        <is>
          <t>I-C-0049</t>
        </is>
      </c>
      <c r="B4142" s="12" t="inlineStr">
        <is>
          <t>I</t>
        </is>
      </c>
      <c r="C4142" s="12" t="inlineStr">
        <is>
          <t>Modular / portable power</t>
        </is>
      </c>
      <c r="D4142" s="12" t="inlineStr">
        <is>
          <t>Motor 3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5" t="n">
        <v>32</v>
      </c>
      <c r="U4142" s="15" t="n">
        <v>232</v>
      </c>
      <c r="V4142" s="15">
        <f>ROUNDUP((T4142+U4142+2*'Read Me'!$B$13)*(1+'Read Me'!$B$12),-1)</f>
        <v/>
      </c>
      <c r="W4142" s="15">
        <f>V4142*N4142*O4142</f>
        <v/>
      </c>
      <c r="X4142" s="12">
        <f>IF(LEFT(I4142,2)="MV",2*N4142*IF(L4142="1/C",O4142,1),0)</f>
        <v/>
      </c>
      <c r="Y4142" s="12">
        <f>IF(OR(LEFT(K4142,4)="LVAX",LEFT(K4142,6)="MV15AX",LEFT(K4142,4)="CTAX",LEFT(K4142,2)="W|"),2*N4142*O4142,0)</f>
        <v/>
      </c>
      <c r="Z4142" s="12" t="inlineStr"/>
      <c r="AA4142" s="12">
        <f>N4142*O4142</f>
        <v/>
      </c>
    </row>
    <row r="4143">
      <c r="A4143" s="12" t="inlineStr">
        <is>
          <t>I-C-0050</t>
        </is>
      </c>
      <c r="B4143" s="12" t="inlineStr">
        <is>
          <t>I</t>
        </is>
      </c>
      <c r="C4143" s="12" t="inlineStr">
        <is>
          <t>Modular / portable power</t>
        </is>
      </c>
      <c r="D4143" s="12" t="inlineStr">
        <is>
          <t>Motor 4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5" t="n">
        <v>32</v>
      </c>
      <c r="U4143" s="15" t="n">
        <v>232</v>
      </c>
      <c r="V4143" s="15">
        <f>ROUNDUP((T4143+U4143+2*'Read Me'!$B$13)*(1+'Read Me'!$B$12),-1)</f>
        <v/>
      </c>
      <c r="W4143" s="15">
        <f>V4143*N4143*O4143</f>
        <v/>
      </c>
      <c r="X4143" s="12">
        <f>IF(LEFT(I4143,2)="MV",2*N4143*IF(L4143="1/C",O4143,1),0)</f>
        <v/>
      </c>
      <c r="Y4143" s="12">
        <f>IF(OR(LEFT(K4143,4)="LVAX",LEFT(K4143,6)="MV15AX",LEFT(K4143,4)="CTAX",LEFT(K4143,2)="W|"),2*N4143*O4143,0)</f>
        <v/>
      </c>
      <c r="Z4143" s="12" t="inlineStr"/>
      <c r="AA4143" s="12">
        <f>N4143*O4143</f>
        <v/>
      </c>
    </row>
    <row r="4144">
      <c r="A4144" s="12" t="inlineStr">
        <is>
          <t>I-C-0051</t>
        </is>
      </c>
      <c r="B4144" s="12" t="inlineStr">
        <is>
          <t>I</t>
        </is>
      </c>
      <c r="C4144" s="12" t="inlineStr">
        <is>
          <t>Modular / portable power</t>
        </is>
      </c>
      <c r="D4144" s="12" t="inlineStr">
        <is>
          <t>Motor 5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5" t="n">
        <v>32</v>
      </c>
      <c r="U4144" s="15" t="n">
        <v>232</v>
      </c>
      <c r="V4144" s="15">
        <f>ROUNDUP((T4144+U4144+2*'Read Me'!$B$13)*(1+'Read Me'!$B$12),-1)</f>
        <v/>
      </c>
      <c r="W4144" s="15">
        <f>V4144*N4144*O4144</f>
        <v/>
      </c>
      <c r="X4144" s="12">
        <f>IF(LEFT(I4144,2)="MV",2*N4144*IF(L4144="1/C",O4144,1),0)</f>
        <v/>
      </c>
      <c r="Y4144" s="12">
        <f>IF(OR(LEFT(K4144,4)="LVAX",LEFT(K4144,6)="MV15AX",LEFT(K4144,4)="CTAX",LEFT(K4144,2)="W|"),2*N4144*O4144,0)</f>
        <v/>
      </c>
      <c r="Z4144" s="12" t="inlineStr"/>
      <c r="AA4144" s="12">
        <f>N4144*O4144</f>
        <v/>
      </c>
    </row>
    <row r="4145">
      <c r="A4145" s="12" t="inlineStr">
        <is>
          <t>I-C-0052</t>
        </is>
      </c>
      <c r="B4145" s="12" t="inlineStr">
        <is>
          <t>I</t>
        </is>
      </c>
      <c r="C4145" s="12" t="inlineStr">
        <is>
          <t>Modular / portable power</t>
        </is>
      </c>
      <c r="D4145" s="12" t="inlineStr">
        <is>
          <t>Motor 1 of 1: control / local station</t>
        </is>
      </c>
      <c r="E4145" s="12" t="inlineStr"/>
      <c r="F4145" s="12" t="inlineStr">
        <is>
          <t>PCM: power control module</t>
        </is>
      </c>
      <c r="G4145" s="12" t="inlineStr"/>
      <c r="H4145" s="12" t="inlineStr">
        <is>
          <t>RICE 4 SCR + oxidation catalyst and stack</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5" t="n">
        <v>470</v>
      </c>
      <c r="U4145" s="15" t="n">
        <v>76</v>
      </c>
      <c r="V4145" s="15">
        <f>ROUNDUP((T4145+U4145+2*'Read Me'!$B$13)*(1+'Read Me'!$B$12),-1)</f>
        <v/>
      </c>
      <c r="W4145" s="15">
        <f>V4145*N4145*O4145</f>
        <v/>
      </c>
      <c r="X4145" s="12">
        <f>IF(LEFT(I4145,2)="MV",2*N4145*IF(L4145="1/C",O4145,1),0)</f>
        <v/>
      </c>
      <c r="Y4145" s="12">
        <f>IF(OR(LEFT(K4145,4)="LVAX",LEFT(K4145,6)="MV15AX",LEFT(K4145,4)="CTAX",LEFT(K4145,2)="W|"),2*N4145*O4145,0)</f>
        <v/>
      </c>
      <c r="Z4145" s="12" t="inlineStr"/>
      <c r="AA4145" s="12">
        <f>N4145*O4145</f>
        <v/>
      </c>
    </row>
    <row r="4146">
      <c r="A4146" s="12" t="inlineStr">
        <is>
          <t>I-C-0053</t>
        </is>
      </c>
      <c r="B4146" s="12" t="inlineStr">
        <is>
          <t>I</t>
        </is>
      </c>
      <c r="C4146" s="12" t="inlineStr">
        <is>
          <t>Modular / portable power</t>
        </is>
      </c>
      <c r="D4146" s="12" t="inlineStr">
        <is>
          <t>Motor 1 of 5: control / local station</t>
        </is>
      </c>
      <c r="E4146" s="12" t="inlineStr"/>
      <c r="F4146" s="12" t="inlineStr">
        <is>
          <t>PCM: power control module</t>
        </is>
      </c>
      <c r="G4146" s="12" t="inlineStr"/>
      <c r="H4146" s="12" t="inlineStr">
        <is>
          <t>RICE 4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5" t="n">
        <v>0</v>
      </c>
      <c r="U4146" s="15" t="n">
        <v>206</v>
      </c>
      <c r="V4146" s="15">
        <f>ROUNDUP((T4146+U4146+2*'Read Me'!$B$13)*(1+'Read Me'!$B$12),-1)</f>
        <v/>
      </c>
      <c r="W4146" s="15">
        <f>V4146*N4146*O4146</f>
        <v/>
      </c>
      <c r="X4146" s="12">
        <f>IF(LEFT(I4146,2)="MV",2*N4146*IF(L4146="1/C",O4146,1),0)</f>
        <v/>
      </c>
      <c r="Y4146" s="12">
        <f>IF(OR(LEFT(K4146,4)="LVAX",LEFT(K4146,6)="MV15AX",LEFT(K4146,4)="CTAX",LEFT(K4146,2)="W|"),2*N4146*O4146,0)</f>
        <v/>
      </c>
      <c r="Z4146" s="12" t="inlineStr"/>
      <c r="AA4146" s="12">
        <f>N4146*O4146</f>
        <v/>
      </c>
    </row>
    <row r="4147">
      <c r="A4147" s="12" t="inlineStr">
        <is>
          <t>I-C-0054</t>
        </is>
      </c>
      <c r="B4147" s="12" t="inlineStr">
        <is>
          <t>I</t>
        </is>
      </c>
      <c r="C4147" s="12" t="inlineStr">
        <is>
          <t>Modular / portable power</t>
        </is>
      </c>
      <c r="D4147" s="12" t="inlineStr">
        <is>
          <t>Motor 2 of 5: control / local station</t>
        </is>
      </c>
      <c r="E4147" s="12" t="inlineStr"/>
      <c r="F4147" s="12" t="inlineStr">
        <is>
          <t>PCM: power control module</t>
        </is>
      </c>
      <c r="G4147" s="12" t="inlineStr"/>
      <c r="H4147" s="12" t="inlineStr">
        <is>
          <t>RICE 4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5" t="n">
        <v>0</v>
      </c>
      <c r="U4147" s="15" t="n">
        <v>206</v>
      </c>
      <c r="V4147" s="15">
        <f>ROUNDUP((T4147+U4147+2*'Read Me'!$B$13)*(1+'Read Me'!$B$12),-1)</f>
        <v/>
      </c>
      <c r="W4147" s="15">
        <f>V4147*N4147*O4147</f>
        <v/>
      </c>
      <c r="X4147" s="12">
        <f>IF(LEFT(I4147,2)="MV",2*N4147*IF(L4147="1/C",O4147,1),0)</f>
        <v/>
      </c>
      <c r="Y4147" s="12">
        <f>IF(OR(LEFT(K4147,4)="LVAX",LEFT(K4147,6)="MV15AX",LEFT(K4147,4)="CTAX",LEFT(K4147,2)="W|"),2*N4147*O4147,0)</f>
        <v/>
      </c>
      <c r="Z4147" s="12" t="inlineStr"/>
      <c r="AA4147" s="12">
        <f>N4147*O4147</f>
        <v/>
      </c>
    </row>
    <row r="4148">
      <c r="A4148" s="12" t="inlineStr">
        <is>
          <t>I-C-0055</t>
        </is>
      </c>
      <c r="B4148" s="12" t="inlineStr">
        <is>
          <t>I</t>
        </is>
      </c>
      <c r="C4148" s="12" t="inlineStr">
        <is>
          <t>Modular / portable power</t>
        </is>
      </c>
      <c r="D4148" s="12" t="inlineStr">
        <is>
          <t>Motor 3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5" t="n">
        <v>0</v>
      </c>
      <c r="U4148" s="15" t="n">
        <v>206</v>
      </c>
      <c r="V4148" s="15">
        <f>ROUNDUP((T4148+U4148+2*'Read Me'!$B$13)*(1+'Read Me'!$B$12),-1)</f>
        <v/>
      </c>
      <c r="W4148" s="15">
        <f>V4148*N4148*O4148</f>
        <v/>
      </c>
      <c r="X4148" s="12">
        <f>IF(LEFT(I4148,2)="MV",2*N4148*IF(L4148="1/C",O4148,1),0)</f>
        <v/>
      </c>
      <c r="Y4148" s="12">
        <f>IF(OR(LEFT(K4148,4)="LVAX",LEFT(K4148,6)="MV15AX",LEFT(K4148,4)="CTAX",LEFT(K4148,2)="W|"),2*N4148*O4148,0)</f>
        <v/>
      </c>
      <c r="Z4148" s="12" t="inlineStr"/>
      <c r="AA4148" s="12">
        <f>N4148*O4148</f>
        <v/>
      </c>
    </row>
    <row r="4149">
      <c r="A4149" s="12" t="inlineStr">
        <is>
          <t>I-C-0056</t>
        </is>
      </c>
      <c r="B4149" s="12" t="inlineStr">
        <is>
          <t>I</t>
        </is>
      </c>
      <c r="C4149" s="12" t="inlineStr">
        <is>
          <t>Modular / portable power</t>
        </is>
      </c>
      <c r="D4149" s="12" t="inlineStr">
        <is>
          <t>Motor 4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5" t="n">
        <v>0</v>
      </c>
      <c r="U4149" s="15" t="n">
        <v>206</v>
      </c>
      <c r="V4149" s="15">
        <f>ROUNDUP((T4149+U4149+2*'Read Me'!$B$13)*(1+'Read Me'!$B$12),-1)</f>
        <v/>
      </c>
      <c r="W4149" s="15">
        <f>V4149*N4149*O4149</f>
        <v/>
      </c>
      <c r="X4149" s="12">
        <f>IF(LEFT(I4149,2)="MV",2*N4149*IF(L4149="1/C",O4149,1),0)</f>
        <v/>
      </c>
      <c r="Y4149" s="12">
        <f>IF(OR(LEFT(K4149,4)="LVAX",LEFT(K4149,6)="MV15AX",LEFT(K4149,4)="CTAX",LEFT(K4149,2)="W|"),2*N4149*O4149,0)</f>
        <v/>
      </c>
      <c r="Z4149" s="12" t="inlineStr"/>
      <c r="AA4149" s="12">
        <f>N4149*O4149</f>
        <v/>
      </c>
    </row>
    <row r="4150">
      <c r="A4150" s="12" t="inlineStr">
        <is>
          <t>I-C-0057</t>
        </is>
      </c>
      <c r="B4150" s="12" t="inlineStr">
        <is>
          <t>I</t>
        </is>
      </c>
      <c r="C4150" s="12" t="inlineStr">
        <is>
          <t>Modular / portable power</t>
        </is>
      </c>
      <c r="D4150" s="12" t="inlineStr">
        <is>
          <t>Motor 5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5" t="n">
        <v>0</v>
      </c>
      <c r="U4150" s="15" t="n">
        <v>206</v>
      </c>
      <c r="V4150" s="15">
        <f>ROUNDUP((T4150+U4150+2*'Read Me'!$B$13)*(1+'Read Me'!$B$12),-1)</f>
        <v/>
      </c>
      <c r="W4150" s="15">
        <f>V4150*N4150*O4150</f>
        <v/>
      </c>
      <c r="X4150" s="12">
        <f>IF(LEFT(I4150,2)="MV",2*N4150*IF(L4150="1/C",O4150,1),0)</f>
        <v/>
      </c>
      <c r="Y4150" s="12">
        <f>IF(OR(LEFT(K4150,4)="LVAX",LEFT(K4150,6)="MV15AX",LEFT(K4150,4)="CTAX",LEFT(K4150,2)="W|"),2*N4150*O4150,0)</f>
        <v/>
      </c>
      <c r="Z4150" s="12" t="inlineStr"/>
      <c r="AA4150" s="12">
        <f>N4150*O4150</f>
        <v/>
      </c>
    </row>
    <row r="4151">
      <c r="A4151" s="12" t="inlineStr">
        <is>
          <t>I-C-0058</t>
        </is>
      </c>
      <c r="B4151" s="12" t="inlineStr">
        <is>
          <t>I</t>
        </is>
      </c>
      <c r="C4151" s="12" t="inlineStr">
        <is>
          <t>Modular / portable power</t>
        </is>
      </c>
      <c r="D4151" s="12" t="inlineStr">
        <is>
          <t>Motor 1 of 1: control / local station</t>
        </is>
      </c>
      <c r="E4151" s="12" t="inlineStr"/>
      <c r="F4151" s="12" t="inlineStr">
        <is>
          <t>PCM: power control module</t>
        </is>
      </c>
      <c r="G4151" s="12" t="inlineStr"/>
      <c r="H4151" s="12" t="inlineStr">
        <is>
          <t>RICE 5 SCR + oxidation catalyst and stack</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5" t="n">
        <v>322</v>
      </c>
      <c r="U4151" s="15" t="n">
        <v>196</v>
      </c>
      <c r="V4151" s="15">
        <f>ROUNDUP((T4151+U4151+2*'Read Me'!$B$13)*(1+'Read Me'!$B$12),-1)</f>
        <v/>
      </c>
      <c r="W4151" s="15">
        <f>V4151*N4151*O4151</f>
        <v/>
      </c>
      <c r="X4151" s="12">
        <f>IF(LEFT(I4151,2)="MV",2*N4151*IF(L4151="1/C",O4151,1),0)</f>
        <v/>
      </c>
      <c r="Y4151" s="12">
        <f>IF(OR(LEFT(K4151,4)="LVAX",LEFT(K4151,6)="MV15AX",LEFT(K4151,4)="CTAX",LEFT(K4151,2)="W|"),2*N4151*O4151,0)</f>
        <v/>
      </c>
      <c r="Z4151" s="12" t="inlineStr"/>
      <c r="AA4151" s="12">
        <f>N4151*O4151</f>
        <v/>
      </c>
    </row>
    <row r="4152">
      <c r="A4152" s="12" t="inlineStr">
        <is>
          <t>I-C-0059</t>
        </is>
      </c>
      <c r="B4152" s="12" t="inlineStr">
        <is>
          <t>I</t>
        </is>
      </c>
      <c r="C4152" s="12" t="inlineStr">
        <is>
          <t>Modular / portable power</t>
        </is>
      </c>
      <c r="D4152" s="12" t="inlineStr">
        <is>
          <t>Motor 1 of 5: control / local station</t>
        </is>
      </c>
      <c r="E4152" s="12" t="inlineStr"/>
      <c r="F4152" s="12" t="inlineStr">
        <is>
          <t>PCM: power control module</t>
        </is>
      </c>
      <c r="G4152" s="12" t="inlineStr"/>
      <c r="H4152" s="12" t="inlineStr">
        <is>
          <t>RICE 5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5" t="n">
        <v>0</v>
      </c>
      <c r="U4152" s="15" t="n">
        <v>178</v>
      </c>
      <c r="V4152" s="15">
        <f>ROUNDUP((T4152+U4152+2*'Read Me'!$B$13)*(1+'Read Me'!$B$12),-1)</f>
        <v/>
      </c>
      <c r="W4152" s="15">
        <f>V4152*N4152*O4152</f>
        <v/>
      </c>
      <c r="X4152" s="12">
        <f>IF(LEFT(I4152,2)="MV",2*N4152*IF(L4152="1/C",O4152,1),0)</f>
        <v/>
      </c>
      <c r="Y4152" s="12">
        <f>IF(OR(LEFT(K4152,4)="LVAX",LEFT(K4152,6)="MV15AX",LEFT(K4152,4)="CTAX",LEFT(K4152,2)="W|"),2*N4152*O4152,0)</f>
        <v/>
      </c>
      <c r="Z4152" s="12" t="inlineStr"/>
      <c r="AA4152" s="12">
        <f>N4152*O4152</f>
        <v/>
      </c>
    </row>
    <row r="4153">
      <c r="A4153" s="12" t="inlineStr">
        <is>
          <t>I-C-0060</t>
        </is>
      </c>
      <c r="B4153" s="12" t="inlineStr">
        <is>
          <t>I</t>
        </is>
      </c>
      <c r="C4153" s="12" t="inlineStr">
        <is>
          <t>Modular / portable power</t>
        </is>
      </c>
      <c r="D4153" s="12" t="inlineStr">
        <is>
          <t>Motor 2 of 5: control / local station</t>
        </is>
      </c>
      <c r="E4153" s="12" t="inlineStr"/>
      <c r="F4153" s="12" t="inlineStr">
        <is>
          <t>PCM: power control module</t>
        </is>
      </c>
      <c r="G4153" s="12" t="inlineStr"/>
      <c r="H4153" s="12" t="inlineStr">
        <is>
          <t>RICE 5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5" t="n">
        <v>0</v>
      </c>
      <c r="U4153" s="15" t="n">
        <v>178</v>
      </c>
      <c r="V4153" s="15">
        <f>ROUNDUP((T4153+U4153+2*'Read Me'!$B$13)*(1+'Read Me'!$B$12),-1)</f>
        <v/>
      </c>
      <c r="W4153" s="15">
        <f>V4153*N4153*O4153</f>
        <v/>
      </c>
      <c r="X4153" s="12">
        <f>IF(LEFT(I4153,2)="MV",2*N4153*IF(L4153="1/C",O4153,1),0)</f>
        <v/>
      </c>
      <c r="Y4153" s="12">
        <f>IF(OR(LEFT(K4153,4)="LVAX",LEFT(K4153,6)="MV15AX",LEFT(K4153,4)="CTAX",LEFT(K4153,2)="W|"),2*N4153*O4153,0)</f>
        <v/>
      </c>
      <c r="Z4153" s="12" t="inlineStr"/>
      <c r="AA4153" s="12">
        <f>N4153*O4153</f>
        <v/>
      </c>
    </row>
    <row r="4154">
      <c r="A4154" s="12" t="inlineStr">
        <is>
          <t>I-C-0061</t>
        </is>
      </c>
      <c r="B4154" s="12" t="inlineStr">
        <is>
          <t>I</t>
        </is>
      </c>
      <c r="C4154" s="12" t="inlineStr">
        <is>
          <t>Modular / portable power</t>
        </is>
      </c>
      <c r="D4154" s="12" t="inlineStr">
        <is>
          <t>Motor 3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5" t="n">
        <v>0</v>
      </c>
      <c r="U4154" s="15" t="n">
        <v>178</v>
      </c>
      <c r="V4154" s="15">
        <f>ROUNDUP((T4154+U4154+2*'Read Me'!$B$13)*(1+'Read Me'!$B$12),-1)</f>
        <v/>
      </c>
      <c r="W4154" s="15">
        <f>V4154*N4154*O4154</f>
        <v/>
      </c>
      <c r="X4154" s="12">
        <f>IF(LEFT(I4154,2)="MV",2*N4154*IF(L4154="1/C",O4154,1),0)</f>
        <v/>
      </c>
      <c r="Y4154" s="12">
        <f>IF(OR(LEFT(K4154,4)="LVAX",LEFT(K4154,6)="MV15AX",LEFT(K4154,4)="CTAX",LEFT(K4154,2)="W|"),2*N4154*O4154,0)</f>
        <v/>
      </c>
      <c r="Z4154" s="12" t="inlineStr"/>
      <c r="AA4154" s="12">
        <f>N4154*O4154</f>
        <v/>
      </c>
    </row>
    <row r="4155">
      <c r="A4155" s="12" t="inlineStr">
        <is>
          <t>I-C-0062</t>
        </is>
      </c>
      <c r="B4155" s="12" t="inlineStr">
        <is>
          <t>I</t>
        </is>
      </c>
      <c r="C4155" s="12" t="inlineStr">
        <is>
          <t>Modular / portable power</t>
        </is>
      </c>
      <c r="D4155" s="12" t="inlineStr">
        <is>
          <t>Motor 4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5" t="n">
        <v>0</v>
      </c>
      <c r="U4155" s="15" t="n">
        <v>178</v>
      </c>
      <c r="V4155" s="15">
        <f>ROUNDUP((T4155+U4155+2*'Read Me'!$B$13)*(1+'Read Me'!$B$12),-1)</f>
        <v/>
      </c>
      <c r="W4155" s="15">
        <f>V4155*N4155*O4155</f>
        <v/>
      </c>
      <c r="X4155" s="12">
        <f>IF(LEFT(I4155,2)="MV",2*N4155*IF(L4155="1/C",O4155,1),0)</f>
        <v/>
      </c>
      <c r="Y4155" s="12">
        <f>IF(OR(LEFT(K4155,4)="LVAX",LEFT(K4155,6)="MV15AX",LEFT(K4155,4)="CTAX",LEFT(K4155,2)="W|"),2*N4155*O4155,0)</f>
        <v/>
      </c>
      <c r="Z4155" s="12" t="inlineStr"/>
      <c r="AA4155" s="12">
        <f>N4155*O4155</f>
        <v/>
      </c>
    </row>
    <row r="4156">
      <c r="A4156" s="12" t="inlineStr">
        <is>
          <t>I-C-0063</t>
        </is>
      </c>
      <c r="B4156" s="12" t="inlineStr">
        <is>
          <t>I</t>
        </is>
      </c>
      <c r="C4156" s="12" t="inlineStr">
        <is>
          <t>Modular / portable power</t>
        </is>
      </c>
      <c r="D4156" s="12" t="inlineStr">
        <is>
          <t>Motor 5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5" t="n">
        <v>0</v>
      </c>
      <c r="U4156" s="15" t="n">
        <v>178</v>
      </c>
      <c r="V4156" s="15">
        <f>ROUNDUP((T4156+U4156+2*'Read Me'!$B$13)*(1+'Read Me'!$B$12),-1)</f>
        <v/>
      </c>
      <c r="W4156" s="15">
        <f>V4156*N4156*O4156</f>
        <v/>
      </c>
      <c r="X4156" s="12">
        <f>IF(LEFT(I4156,2)="MV",2*N4156*IF(L4156="1/C",O4156,1),0)</f>
        <v/>
      </c>
      <c r="Y4156" s="12">
        <f>IF(OR(LEFT(K4156,4)="LVAX",LEFT(K4156,6)="MV15AX",LEFT(K4156,4)="CTAX",LEFT(K4156,2)="W|"),2*N4156*O4156,0)</f>
        <v/>
      </c>
      <c r="Z4156" s="12" t="inlineStr"/>
      <c r="AA4156" s="12">
        <f>N4156*O4156</f>
        <v/>
      </c>
    </row>
    <row r="4157">
      <c r="A4157" s="12" t="inlineStr">
        <is>
          <t>I-C-0064</t>
        </is>
      </c>
      <c r="B4157" s="12" t="inlineStr">
        <is>
          <t>I</t>
        </is>
      </c>
      <c r="C4157" s="12" t="inlineStr">
        <is>
          <t>Modular / portable power</t>
        </is>
      </c>
      <c r="D4157" s="12" t="inlineStr">
        <is>
          <t>Motor 1 of 1: control / local station</t>
        </is>
      </c>
      <c r="E4157" s="12" t="inlineStr"/>
      <c r="F4157" s="12" t="inlineStr">
        <is>
          <t>PCM: power control module</t>
        </is>
      </c>
      <c r="G4157" s="12" t="inlineStr"/>
      <c r="H4157" s="12" t="inlineStr">
        <is>
          <t>RICE 6 SCR + oxidation catalyst and stack</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5" t="n">
        <v>322</v>
      </c>
      <c r="U4157" s="15" t="n">
        <v>168</v>
      </c>
      <c r="V4157" s="15">
        <f>ROUNDUP((T4157+U4157+2*'Read Me'!$B$13)*(1+'Read Me'!$B$12),-1)</f>
        <v/>
      </c>
      <c r="W4157" s="15">
        <f>V4157*N4157*O4157</f>
        <v/>
      </c>
      <c r="X4157" s="12">
        <f>IF(LEFT(I4157,2)="MV",2*N4157*IF(L4157="1/C",O4157,1),0)</f>
        <v/>
      </c>
      <c r="Y4157" s="12">
        <f>IF(OR(LEFT(K4157,4)="LVAX",LEFT(K4157,6)="MV15AX",LEFT(K4157,4)="CTAX",LEFT(K4157,2)="W|"),2*N4157*O4157,0)</f>
        <v/>
      </c>
      <c r="Z4157" s="12" t="inlineStr"/>
      <c r="AA4157" s="12">
        <f>N4157*O4157</f>
        <v/>
      </c>
    </row>
    <row r="4158">
      <c r="A4158" s="12" t="inlineStr">
        <is>
          <t>I-C-0065</t>
        </is>
      </c>
      <c r="B4158" s="12" t="inlineStr">
        <is>
          <t>I</t>
        </is>
      </c>
      <c r="C4158" s="12" t="inlineStr">
        <is>
          <t>Modular / portable power</t>
        </is>
      </c>
      <c r="D4158" s="12" t="inlineStr">
        <is>
          <t>Motor 1 of 5: control / local station</t>
        </is>
      </c>
      <c r="E4158" s="12" t="inlineStr"/>
      <c r="F4158" s="12" t="inlineStr">
        <is>
          <t>PCM: power control module</t>
        </is>
      </c>
      <c r="G4158" s="12" t="inlineStr"/>
      <c r="H4158" s="12" t="inlineStr">
        <is>
          <t>RICE 6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5" t="n">
        <v>0</v>
      </c>
      <c r="U4158" s="15" t="n">
        <v>150</v>
      </c>
      <c r="V4158" s="15">
        <f>ROUNDUP((T4158+U4158+2*'Read Me'!$B$13)*(1+'Read Me'!$B$12),-1)</f>
        <v/>
      </c>
      <c r="W4158" s="15">
        <f>V4158*N4158*O4158</f>
        <v/>
      </c>
      <c r="X4158" s="12">
        <f>IF(LEFT(I4158,2)="MV",2*N4158*IF(L4158="1/C",O4158,1),0)</f>
        <v/>
      </c>
      <c r="Y4158" s="12">
        <f>IF(OR(LEFT(K4158,4)="LVAX",LEFT(K4158,6)="MV15AX",LEFT(K4158,4)="CTAX",LEFT(K4158,2)="W|"),2*N4158*O4158,0)</f>
        <v/>
      </c>
      <c r="Z4158" s="12" t="inlineStr"/>
      <c r="AA4158" s="12">
        <f>N4158*O4158</f>
        <v/>
      </c>
    </row>
    <row r="4159">
      <c r="A4159" s="12" t="inlineStr">
        <is>
          <t>I-C-0066</t>
        </is>
      </c>
      <c r="B4159" s="12" t="inlineStr">
        <is>
          <t>I</t>
        </is>
      </c>
      <c r="C4159" s="12" t="inlineStr">
        <is>
          <t>Modular / portable power</t>
        </is>
      </c>
      <c r="D4159" s="12" t="inlineStr">
        <is>
          <t>Motor 2 of 5: control / local station</t>
        </is>
      </c>
      <c r="E4159" s="12" t="inlineStr"/>
      <c r="F4159" s="12" t="inlineStr">
        <is>
          <t>PCM: power control module</t>
        </is>
      </c>
      <c r="G4159" s="12" t="inlineStr"/>
      <c r="H4159" s="12" t="inlineStr">
        <is>
          <t>RICE 6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5" t="n">
        <v>0</v>
      </c>
      <c r="U4159" s="15" t="n">
        <v>150</v>
      </c>
      <c r="V4159" s="15">
        <f>ROUNDUP((T4159+U4159+2*'Read Me'!$B$13)*(1+'Read Me'!$B$12),-1)</f>
        <v/>
      </c>
      <c r="W4159" s="15">
        <f>V4159*N4159*O4159</f>
        <v/>
      </c>
      <c r="X4159" s="12">
        <f>IF(LEFT(I4159,2)="MV",2*N4159*IF(L4159="1/C",O4159,1),0)</f>
        <v/>
      </c>
      <c r="Y4159" s="12">
        <f>IF(OR(LEFT(K4159,4)="LVAX",LEFT(K4159,6)="MV15AX",LEFT(K4159,4)="CTAX",LEFT(K4159,2)="W|"),2*N4159*O4159,0)</f>
        <v/>
      </c>
      <c r="Z4159" s="12" t="inlineStr"/>
      <c r="AA4159" s="12">
        <f>N4159*O4159</f>
        <v/>
      </c>
    </row>
    <row r="4160">
      <c r="A4160" s="12" t="inlineStr">
        <is>
          <t>I-C-0067</t>
        </is>
      </c>
      <c r="B4160" s="12" t="inlineStr">
        <is>
          <t>I</t>
        </is>
      </c>
      <c r="C4160" s="12" t="inlineStr">
        <is>
          <t>Modular / portable power</t>
        </is>
      </c>
      <c r="D4160" s="12" t="inlineStr">
        <is>
          <t>Motor 3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5" t="n">
        <v>0</v>
      </c>
      <c r="U4160" s="15" t="n">
        <v>150</v>
      </c>
      <c r="V4160" s="15">
        <f>ROUNDUP((T4160+U4160+2*'Read Me'!$B$13)*(1+'Read Me'!$B$12),-1)</f>
        <v/>
      </c>
      <c r="W4160" s="15">
        <f>V4160*N4160*O4160</f>
        <v/>
      </c>
      <c r="X4160" s="12">
        <f>IF(LEFT(I4160,2)="MV",2*N4160*IF(L4160="1/C",O4160,1),0)</f>
        <v/>
      </c>
      <c r="Y4160" s="12">
        <f>IF(OR(LEFT(K4160,4)="LVAX",LEFT(K4160,6)="MV15AX",LEFT(K4160,4)="CTAX",LEFT(K4160,2)="W|"),2*N4160*O4160,0)</f>
        <v/>
      </c>
      <c r="Z4160" s="12" t="inlineStr"/>
      <c r="AA4160" s="12">
        <f>N4160*O4160</f>
        <v/>
      </c>
    </row>
    <row r="4161">
      <c r="A4161" s="12" t="inlineStr">
        <is>
          <t>I-C-0068</t>
        </is>
      </c>
      <c r="B4161" s="12" t="inlineStr">
        <is>
          <t>I</t>
        </is>
      </c>
      <c r="C4161" s="12" t="inlineStr">
        <is>
          <t>Modular / portable power</t>
        </is>
      </c>
      <c r="D4161" s="12" t="inlineStr">
        <is>
          <t>Motor 4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5" t="n">
        <v>0</v>
      </c>
      <c r="U4161" s="15" t="n">
        <v>150</v>
      </c>
      <c r="V4161" s="15">
        <f>ROUNDUP((T4161+U4161+2*'Read Me'!$B$13)*(1+'Read Me'!$B$12),-1)</f>
        <v/>
      </c>
      <c r="W4161" s="15">
        <f>V4161*N4161*O4161</f>
        <v/>
      </c>
      <c r="X4161" s="12">
        <f>IF(LEFT(I4161,2)="MV",2*N4161*IF(L4161="1/C",O4161,1),0)</f>
        <v/>
      </c>
      <c r="Y4161" s="12">
        <f>IF(OR(LEFT(K4161,4)="LVAX",LEFT(K4161,6)="MV15AX",LEFT(K4161,4)="CTAX",LEFT(K4161,2)="W|"),2*N4161*O4161,0)</f>
        <v/>
      </c>
      <c r="Z4161" s="12" t="inlineStr"/>
      <c r="AA4161" s="12">
        <f>N4161*O4161</f>
        <v/>
      </c>
    </row>
    <row r="4162">
      <c r="A4162" s="12" t="inlineStr">
        <is>
          <t>I-C-0069</t>
        </is>
      </c>
      <c r="B4162" s="12" t="inlineStr">
        <is>
          <t>I</t>
        </is>
      </c>
      <c r="C4162" s="12" t="inlineStr">
        <is>
          <t>Modular / portable power</t>
        </is>
      </c>
      <c r="D4162" s="12" t="inlineStr">
        <is>
          <t>Motor 5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5" t="n">
        <v>0</v>
      </c>
      <c r="U4162" s="15" t="n">
        <v>150</v>
      </c>
      <c r="V4162" s="15">
        <f>ROUNDUP((T4162+U4162+2*'Read Me'!$B$13)*(1+'Read Me'!$B$12),-1)</f>
        <v/>
      </c>
      <c r="W4162" s="15">
        <f>V4162*N4162*O4162</f>
        <v/>
      </c>
      <c r="X4162" s="12">
        <f>IF(LEFT(I4162,2)="MV",2*N4162*IF(L4162="1/C",O4162,1),0)</f>
        <v/>
      </c>
      <c r="Y4162" s="12">
        <f>IF(OR(LEFT(K4162,4)="LVAX",LEFT(K4162,6)="MV15AX",LEFT(K4162,4)="CTAX",LEFT(K4162,2)="W|"),2*N4162*O4162,0)</f>
        <v/>
      </c>
      <c r="Z4162" s="12" t="inlineStr"/>
      <c r="AA4162" s="12">
        <f>N4162*O4162</f>
        <v/>
      </c>
    </row>
    <row r="4163">
      <c r="A4163" s="12" t="inlineStr">
        <is>
          <t>I-C-0070</t>
        </is>
      </c>
      <c r="B4163" s="12" t="inlineStr">
        <is>
          <t>I</t>
        </is>
      </c>
      <c r="C4163" s="12" t="inlineStr">
        <is>
          <t>Modular / portable power</t>
        </is>
      </c>
      <c r="D4163" s="12" t="inlineStr">
        <is>
          <t>Motor 1 of 1: control / local station</t>
        </is>
      </c>
      <c r="E4163" s="12" t="inlineStr"/>
      <c r="F4163" s="12" t="inlineStr">
        <is>
          <t>PCM: power control module</t>
        </is>
      </c>
      <c r="G4163" s="12" t="inlineStr"/>
      <c r="H4163" s="12" t="inlineStr">
        <is>
          <t>RICE 7 SCR + oxidation catalyst and stack</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Duct bank</t>
        </is>
      </c>
      <c r="T4163" s="15" t="n">
        <v>322</v>
      </c>
      <c r="U4163" s="15" t="n">
        <v>140</v>
      </c>
      <c r="V4163" s="15">
        <f>ROUNDUP((T4163+U4163+2*'Read Me'!$B$13)*(1+'Read Me'!$B$12),-1)</f>
        <v/>
      </c>
      <c r="W4163" s="15">
        <f>V4163*N4163*O4163</f>
        <v/>
      </c>
      <c r="X4163" s="12">
        <f>IF(LEFT(I4163,2)="MV",2*N4163*IF(L4163="1/C",O4163,1),0)</f>
        <v/>
      </c>
      <c r="Y4163" s="12">
        <f>IF(OR(LEFT(K4163,4)="LVAX",LEFT(K4163,6)="MV15AX",LEFT(K4163,4)="CTAX",LEFT(K4163,2)="W|"),2*N4163*O4163,0)</f>
        <v/>
      </c>
      <c r="Z4163" s="12" t="inlineStr"/>
      <c r="AA4163" s="12">
        <f>N4163*O4163</f>
        <v/>
      </c>
    </row>
    <row r="4164">
      <c r="A4164" s="12" t="inlineStr">
        <is>
          <t>I-C-0071</t>
        </is>
      </c>
      <c r="B4164" s="12" t="inlineStr">
        <is>
          <t>I</t>
        </is>
      </c>
      <c r="C4164" s="12" t="inlineStr">
        <is>
          <t>Modular / portable power</t>
        </is>
      </c>
      <c r="D4164" s="12" t="inlineStr">
        <is>
          <t>Motor 1 of 5: control / local station</t>
        </is>
      </c>
      <c r="E4164" s="12" t="inlineStr"/>
      <c r="F4164" s="12" t="inlineStr">
        <is>
          <t>PCM: power control module</t>
        </is>
      </c>
      <c r="G4164" s="12" t="inlineStr"/>
      <c r="H4164" s="12" t="inlineStr">
        <is>
          <t>RICE 7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5" t="n">
        <v>0</v>
      </c>
      <c r="U4164" s="15" t="n">
        <v>122</v>
      </c>
      <c r="V4164" s="15">
        <f>ROUNDUP((T4164+U4164+2*'Read Me'!$B$13)*(1+'Read Me'!$B$12),-1)</f>
        <v/>
      </c>
      <c r="W4164" s="15">
        <f>V4164*N4164*O4164</f>
        <v/>
      </c>
      <c r="X4164" s="12">
        <f>IF(LEFT(I4164,2)="MV",2*N4164*IF(L4164="1/C",O4164,1),0)</f>
        <v/>
      </c>
      <c r="Y4164" s="12">
        <f>IF(OR(LEFT(K4164,4)="LVAX",LEFT(K4164,6)="MV15AX",LEFT(K4164,4)="CTAX",LEFT(K4164,2)="W|"),2*N4164*O4164,0)</f>
        <v/>
      </c>
      <c r="Z4164" s="12" t="inlineStr"/>
      <c r="AA4164" s="12">
        <f>N4164*O4164</f>
        <v/>
      </c>
    </row>
    <row r="4165">
      <c r="A4165" s="12" t="inlineStr">
        <is>
          <t>I-C-0072</t>
        </is>
      </c>
      <c r="B4165" s="12" t="inlineStr">
        <is>
          <t>I</t>
        </is>
      </c>
      <c r="C4165" s="12" t="inlineStr">
        <is>
          <t>Modular / portable power</t>
        </is>
      </c>
      <c r="D4165" s="12" t="inlineStr">
        <is>
          <t>Motor 2 of 5: control / local station</t>
        </is>
      </c>
      <c r="E4165" s="12" t="inlineStr"/>
      <c r="F4165" s="12" t="inlineStr">
        <is>
          <t>PCM: power control module</t>
        </is>
      </c>
      <c r="G4165" s="12" t="inlineStr"/>
      <c r="H4165" s="12" t="inlineStr">
        <is>
          <t>RICE 7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5" t="n">
        <v>0</v>
      </c>
      <c r="U4165" s="15" t="n">
        <v>122</v>
      </c>
      <c r="V4165" s="15">
        <f>ROUNDUP((T4165+U4165+2*'Read Me'!$B$13)*(1+'Read Me'!$B$12),-1)</f>
        <v/>
      </c>
      <c r="W4165" s="15">
        <f>V4165*N4165*O4165</f>
        <v/>
      </c>
      <c r="X4165" s="12">
        <f>IF(LEFT(I4165,2)="MV",2*N4165*IF(L4165="1/C",O4165,1),0)</f>
        <v/>
      </c>
      <c r="Y4165" s="12">
        <f>IF(OR(LEFT(K4165,4)="LVAX",LEFT(K4165,6)="MV15AX",LEFT(K4165,4)="CTAX",LEFT(K4165,2)="W|"),2*N4165*O4165,0)</f>
        <v/>
      </c>
      <c r="Z4165" s="12" t="inlineStr"/>
      <c r="AA4165" s="12">
        <f>N4165*O4165</f>
        <v/>
      </c>
    </row>
    <row r="4166">
      <c r="A4166" s="12" t="inlineStr">
        <is>
          <t>I-C-0073</t>
        </is>
      </c>
      <c r="B4166" s="12" t="inlineStr">
        <is>
          <t>I</t>
        </is>
      </c>
      <c r="C4166" s="12" t="inlineStr">
        <is>
          <t>Modular / portable power</t>
        </is>
      </c>
      <c r="D4166" s="12" t="inlineStr">
        <is>
          <t>Motor 3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5" t="n">
        <v>0</v>
      </c>
      <c r="U4166" s="15" t="n">
        <v>122</v>
      </c>
      <c r="V4166" s="15">
        <f>ROUNDUP((T4166+U4166+2*'Read Me'!$B$13)*(1+'Read Me'!$B$12),-1)</f>
        <v/>
      </c>
      <c r="W4166" s="15">
        <f>V4166*N4166*O4166</f>
        <v/>
      </c>
      <c r="X4166" s="12">
        <f>IF(LEFT(I4166,2)="MV",2*N4166*IF(L4166="1/C",O4166,1),0)</f>
        <v/>
      </c>
      <c r="Y4166" s="12">
        <f>IF(OR(LEFT(K4166,4)="LVAX",LEFT(K4166,6)="MV15AX",LEFT(K4166,4)="CTAX",LEFT(K4166,2)="W|"),2*N4166*O4166,0)</f>
        <v/>
      </c>
      <c r="Z4166" s="12" t="inlineStr"/>
      <c r="AA4166" s="12">
        <f>N4166*O4166</f>
        <v/>
      </c>
    </row>
    <row r="4167">
      <c r="A4167" s="12" t="inlineStr">
        <is>
          <t>I-C-0074</t>
        </is>
      </c>
      <c r="B4167" s="12" t="inlineStr">
        <is>
          <t>I</t>
        </is>
      </c>
      <c r="C4167" s="12" t="inlineStr">
        <is>
          <t>Modular / portable power</t>
        </is>
      </c>
      <c r="D4167" s="12" t="inlineStr">
        <is>
          <t>Motor 4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5" t="n">
        <v>0</v>
      </c>
      <c r="U4167" s="15" t="n">
        <v>122</v>
      </c>
      <c r="V4167" s="15">
        <f>ROUNDUP((T4167+U4167+2*'Read Me'!$B$13)*(1+'Read Me'!$B$12),-1)</f>
        <v/>
      </c>
      <c r="W4167" s="15">
        <f>V4167*N4167*O4167</f>
        <v/>
      </c>
      <c r="X4167" s="12">
        <f>IF(LEFT(I4167,2)="MV",2*N4167*IF(L4167="1/C",O4167,1),0)</f>
        <v/>
      </c>
      <c r="Y4167" s="12">
        <f>IF(OR(LEFT(K4167,4)="LVAX",LEFT(K4167,6)="MV15AX",LEFT(K4167,4)="CTAX",LEFT(K4167,2)="W|"),2*N4167*O4167,0)</f>
        <v/>
      </c>
      <c r="Z4167" s="12" t="inlineStr"/>
      <c r="AA4167" s="12">
        <f>N4167*O4167</f>
        <v/>
      </c>
    </row>
    <row r="4168">
      <c r="A4168" s="12" t="inlineStr">
        <is>
          <t>I-C-0075</t>
        </is>
      </c>
      <c r="B4168" s="12" t="inlineStr">
        <is>
          <t>I</t>
        </is>
      </c>
      <c r="C4168" s="12" t="inlineStr">
        <is>
          <t>Modular / portable power</t>
        </is>
      </c>
      <c r="D4168" s="12" t="inlineStr">
        <is>
          <t>Motor 5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5" t="n">
        <v>0</v>
      </c>
      <c r="U4168" s="15" t="n">
        <v>122</v>
      </c>
      <c r="V4168" s="15">
        <f>ROUNDUP((T4168+U4168+2*'Read Me'!$B$13)*(1+'Read Me'!$B$12),-1)</f>
        <v/>
      </c>
      <c r="W4168" s="15">
        <f>V4168*N4168*O4168</f>
        <v/>
      </c>
      <c r="X4168" s="12">
        <f>IF(LEFT(I4168,2)="MV",2*N4168*IF(L4168="1/C",O4168,1),0)</f>
        <v/>
      </c>
      <c r="Y4168" s="12">
        <f>IF(OR(LEFT(K4168,4)="LVAX",LEFT(K4168,6)="MV15AX",LEFT(K4168,4)="CTAX",LEFT(K4168,2)="W|"),2*N4168*O4168,0)</f>
        <v/>
      </c>
      <c r="Z4168" s="12" t="inlineStr"/>
      <c r="AA4168" s="12">
        <f>N4168*O4168</f>
        <v/>
      </c>
    </row>
    <row r="4169">
      <c r="A4169" s="12" t="inlineStr">
        <is>
          <t>I-C-0076</t>
        </is>
      </c>
      <c r="B4169" s="12" t="inlineStr">
        <is>
          <t>I</t>
        </is>
      </c>
      <c r="C4169" s="12" t="inlineStr">
        <is>
          <t>Modular / portable power</t>
        </is>
      </c>
      <c r="D4169" s="12" t="inlineStr">
        <is>
          <t>Motor 1 of 1: control / local station</t>
        </is>
      </c>
      <c r="E4169" s="12" t="inlineStr"/>
      <c r="F4169" s="12" t="inlineStr">
        <is>
          <t>PCM: power control module</t>
        </is>
      </c>
      <c r="G4169" s="12" t="inlineStr"/>
      <c r="H4169" s="12" t="inlineStr">
        <is>
          <t>RICE 8 SCR + oxidation catalyst and stack</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Duct bank</t>
        </is>
      </c>
      <c r="T4169" s="15" t="n">
        <v>322</v>
      </c>
      <c r="U4169" s="15" t="n">
        <v>112</v>
      </c>
      <c r="V4169" s="15">
        <f>ROUNDUP((T4169+U4169+2*'Read Me'!$B$13)*(1+'Read Me'!$B$12),-1)</f>
        <v/>
      </c>
      <c r="W4169" s="15">
        <f>V4169*N4169*O4169</f>
        <v/>
      </c>
      <c r="X4169" s="12">
        <f>IF(LEFT(I4169,2)="MV",2*N4169*IF(L4169="1/C",O4169,1),0)</f>
        <v/>
      </c>
      <c r="Y4169" s="12">
        <f>IF(OR(LEFT(K4169,4)="LVAX",LEFT(K4169,6)="MV15AX",LEFT(K4169,4)="CTAX",LEFT(K4169,2)="W|"),2*N4169*O4169,0)</f>
        <v/>
      </c>
      <c r="Z4169" s="12" t="inlineStr"/>
      <c r="AA4169" s="12">
        <f>N4169*O4169</f>
        <v/>
      </c>
    </row>
    <row r="4170">
      <c r="A4170" s="12" t="inlineStr">
        <is>
          <t>I-C-0077</t>
        </is>
      </c>
      <c r="B4170" s="12" t="inlineStr">
        <is>
          <t>I</t>
        </is>
      </c>
      <c r="C4170" s="12" t="inlineStr">
        <is>
          <t>Modular / portable power</t>
        </is>
      </c>
      <c r="D4170" s="12" t="inlineStr">
        <is>
          <t>Motor 1 of 5: control / local station</t>
        </is>
      </c>
      <c r="E4170" s="12" t="inlineStr"/>
      <c r="F4170" s="12" t="inlineStr">
        <is>
          <t>PCM: power control module</t>
        </is>
      </c>
      <c r="G4170" s="12" t="inlineStr"/>
      <c r="H4170" s="12" t="inlineStr">
        <is>
          <t>RICE 8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5" t="n">
        <v>0</v>
      </c>
      <c r="U4170" s="15" t="n">
        <v>94</v>
      </c>
      <c r="V4170" s="15">
        <f>ROUNDUP((T4170+U4170+2*'Read Me'!$B$13)*(1+'Read Me'!$B$12),-1)</f>
        <v/>
      </c>
      <c r="W4170" s="15">
        <f>V4170*N4170*O4170</f>
        <v/>
      </c>
      <c r="X4170" s="12">
        <f>IF(LEFT(I4170,2)="MV",2*N4170*IF(L4170="1/C",O4170,1),0)</f>
        <v/>
      </c>
      <c r="Y4170" s="12">
        <f>IF(OR(LEFT(K4170,4)="LVAX",LEFT(K4170,6)="MV15AX",LEFT(K4170,4)="CTAX",LEFT(K4170,2)="W|"),2*N4170*O4170,0)</f>
        <v/>
      </c>
      <c r="Z4170" s="12" t="inlineStr"/>
      <c r="AA4170" s="12">
        <f>N4170*O4170</f>
        <v/>
      </c>
    </row>
    <row r="4171">
      <c r="A4171" s="12" t="inlineStr">
        <is>
          <t>I-C-0078</t>
        </is>
      </c>
      <c r="B4171" s="12" t="inlineStr">
        <is>
          <t>I</t>
        </is>
      </c>
      <c r="C4171" s="12" t="inlineStr">
        <is>
          <t>Modular / portable power</t>
        </is>
      </c>
      <c r="D4171" s="12" t="inlineStr">
        <is>
          <t>Motor 2 of 5: control / local station</t>
        </is>
      </c>
      <c r="E4171" s="12" t="inlineStr"/>
      <c r="F4171" s="12" t="inlineStr">
        <is>
          <t>PCM: power control module</t>
        </is>
      </c>
      <c r="G4171" s="12" t="inlineStr"/>
      <c r="H4171" s="12" t="inlineStr">
        <is>
          <t>RICE 8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5" t="n">
        <v>0</v>
      </c>
      <c r="U4171" s="15" t="n">
        <v>94</v>
      </c>
      <c r="V4171" s="15">
        <f>ROUNDUP((T4171+U4171+2*'Read Me'!$B$13)*(1+'Read Me'!$B$12),-1)</f>
        <v/>
      </c>
      <c r="W4171" s="15">
        <f>V4171*N4171*O4171</f>
        <v/>
      </c>
      <c r="X4171" s="12">
        <f>IF(LEFT(I4171,2)="MV",2*N4171*IF(L4171="1/C",O4171,1),0)</f>
        <v/>
      </c>
      <c r="Y4171" s="12">
        <f>IF(OR(LEFT(K4171,4)="LVAX",LEFT(K4171,6)="MV15AX",LEFT(K4171,4)="CTAX",LEFT(K4171,2)="W|"),2*N4171*O4171,0)</f>
        <v/>
      </c>
      <c r="Z4171" s="12" t="inlineStr"/>
      <c r="AA4171" s="12">
        <f>N4171*O4171</f>
        <v/>
      </c>
    </row>
    <row r="4172">
      <c r="A4172" s="12" t="inlineStr">
        <is>
          <t>I-C-0079</t>
        </is>
      </c>
      <c r="B4172" s="12" t="inlineStr">
        <is>
          <t>I</t>
        </is>
      </c>
      <c r="C4172" s="12" t="inlineStr">
        <is>
          <t>Modular / portable power</t>
        </is>
      </c>
      <c r="D4172" s="12" t="inlineStr">
        <is>
          <t>Motor 3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5" t="n">
        <v>0</v>
      </c>
      <c r="U4172" s="15" t="n">
        <v>94</v>
      </c>
      <c r="V4172" s="15">
        <f>ROUNDUP((T4172+U4172+2*'Read Me'!$B$13)*(1+'Read Me'!$B$12),-1)</f>
        <v/>
      </c>
      <c r="W4172" s="15">
        <f>V4172*N4172*O4172</f>
        <v/>
      </c>
      <c r="X4172" s="12">
        <f>IF(LEFT(I4172,2)="MV",2*N4172*IF(L4172="1/C",O4172,1),0)</f>
        <v/>
      </c>
      <c r="Y4172" s="12">
        <f>IF(OR(LEFT(K4172,4)="LVAX",LEFT(K4172,6)="MV15AX",LEFT(K4172,4)="CTAX",LEFT(K4172,2)="W|"),2*N4172*O4172,0)</f>
        <v/>
      </c>
      <c r="Z4172" s="12" t="inlineStr"/>
      <c r="AA4172" s="12">
        <f>N4172*O4172</f>
        <v/>
      </c>
    </row>
    <row r="4173">
      <c r="A4173" s="12" t="inlineStr">
        <is>
          <t>I-C-0080</t>
        </is>
      </c>
      <c r="B4173" s="12" t="inlineStr">
        <is>
          <t>I</t>
        </is>
      </c>
      <c r="C4173" s="12" t="inlineStr">
        <is>
          <t>Modular / portable power</t>
        </is>
      </c>
      <c r="D4173" s="12" t="inlineStr">
        <is>
          <t>Motor 4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5" t="n">
        <v>0</v>
      </c>
      <c r="U4173" s="15" t="n">
        <v>94</v>
      </c>
      <c r="V4173" s="15">
        <f>ROUNDUP((T4173+U4173+2*'Read Me'!$B$13)*(1+'Read Me'!$B$12),-1)</f>
        <v/>
      </c>
      <c r="W4173" s="15">
        <f>V4173*N4173*O4173</f>
        <v/>
      </c>
      <c r="X4173" s="12">
        <f>IF(LEFT(I4173,2)="MV",2*N4173*IF(L4173="1/C",O4173,1),0)</f>
        <v/>
      </c>
      <c r="Y4173" s="12">
        <f>IF(OR(LEFT(K4173,4)="LVAX",LEFT(K4173,6)="MV15AX",LEFT(K4173,4)="CTAX",LEFT(K4173,2)="W|"),2*N4173*O4173,0)</f>
        <v/>
      </c>
      <c r="Z4173" s="12" t="inlineStr"/>
      <c r="AA4173" s="12">
        <f>N4173*O4173</f>
        <v/>
      </c>
    </row>
    <row r="4174">
      <c r="A4174" s="12" t="inlineStr">
        <is>
          <t>I-C-0081</t>
        </is>
      </c>
      <c r="B4174" s="12" t="inlineStr">
        <is>
          <t>I</t>
        </is>
      </c>
      <c r="C4174" s="12" t="inlineStr">
        <is>
          <t>Modular / portable power</t>
        </is>
      </c>
      <c r="D4174" s="12" t="inlineStr">
        <is>
          <t>Motor 5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5" t="n">
        <v>0</v>
      </c>
      <c r="U4174" s="15" t="n">
        <v>94</v>
      </c>
      <c r="V4174" s="15">
        <f>ROUNDUP((T4174+U4174+2*'Read Me'!$B$13)*(1+'Read Me'!$B$12),-1)</f>
        <v/>
      </c>
      <c r="W4174" s="15">
        <f>V4174*N4174*O4174</f>
        <v/>
      </c>
      <c r="X4174" s="12">
        <f>IF(LEFT(I4174,2)="MV",2*N4174*IF(L4174="1/C",O4174,1),0)</f>
        <v/>
      </c>
      <c r="Y4174" s="12">
        <f>IF(OR(LEFT(K4174,4)="LVAX",LEFT(K4174,6)="MV15AX",LEFT(K4174,4)="CTAX",LEFT(K4174,2)="W|"),2*N4174*O4174,0)</f>
        <v/>
      </c>
      <c r="Z4174" s="12" t="inlineStr"/>
      <c r="AA4174" s="12">
        <f>N4174*O4174</f>
        <v/>
      </c>
    </row>
    <row r="4175">
      <c r="A4175" s="12" t="inlineStr">
        <is>
          <t>I-C-0082</t>
        </is>
      </c>
      <c r="B4175" s="12" t="inlineStr">
        <is>
          <t>I</t>
        </is>
      </c>
      <c r="C4175" s="12" t="inlineStr">
        <is>
          <t>Modular / portable power</t>
        </is>
      </c>
      <c r="D4175" s="12" t="inlineStr">
        <is>
          <t>Control</t>
        </is>
      </c>
      <c r="E4175" s="12" t="inlineStr"/>
      <c r="F4175" s="12" t="inlineStr">
        <is>
          <t>PCM: power control module</t>
        </is>
      </c>
      <c r="G4175" s="12" t="inlineStr"/>
      <c r="H4175" s="12" t="inlineStr">
        <is>
          <t>RICE CEMS</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Duct bank</t>
        </is>
      </c>
      <c r="T4175" s="15" t="n">
        <v>260</v>
      </c>
      <c r="U4175" s="15" t="n">
        <v>131</v>
      </c>
      <c r="V4175" s="15">
        <f>ROUNDUP((T4175+U4175+2*'Read Me'!$B$13)*(1+'Read Me'!$B$12),-1)</f>
        <v/>
      </c>
      <c r="W4175" s="15">
        <f>V4175*N4175*O4175</f>
        <v/>
      </c>
      <c r="X4175" s="12">
        <f>IF(LEFT(I4175,2)="MV",2*N4175*IF(L4175="1/C",O4175,1),0)</f>
        <v/>
      </c>
      <c r="Y4175" s="12">
        <f>IF(OR(LEFT(K4175,4)="LVAX",LEFT(K4175,6)="MV15AX",LEFT(K4175,4)="CTAX",LEFT(K4175,2)="W|"),2*N4175*O4175,0)</f>
        <v/>
      </c>
      <c r="Z4175" s="12" t="inlineStr"/>
      <c r="AA4175" s="12">
        <f>N4175*O4175</f>
        <v/>
      </c>
    </row>
    <row r="4176">
      <c r="A4176" s="12" t="inlineStr">
        <is>
          <t>I-C-0083</t>
        </is>
      </c>
      <c r="B4176" s="12" t="inlineStr">
        <is>
          <t>I</t>
        </is>
      </c>
      <c r="C4176" s="12" t="inlineStr">
        <is>
          <t>Modular / portable power</t>
        </is>
      </c>
      <c r="D4176" s="12" t="inlineStr">
        <is>
          <t>Control</t>
        </is>
      </c>
      <c r="E4176" s="12" t="inlineStr"/>
      <c r="F4176" s="12" t="inlineStr">
        <is>
          <t>PCM: power control module</t>
        </is>
      </c>
      <c r="G4176" s="12" t="inlineStr">
        <is>
          <t>RICE</t>
        </is>
      </c>
      <c r="H4176" s="12" t="inlineStr">
        <is>
          <t>RICE engine hall (8 engines)</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Duct bank</t>
        </is>
      </c>
      <c r="T4176" s="15" t="n">
        <v>367</v>
      </c>
      <c r="U4176" s="15" t="n">
        <v>95</v>
      </c>
      <c r="V4176" s="15">
        <f>ROUNDUP((T4176+U4176+2*'Read Me'!$B$13)*(1+'Read Me'!$B$12),-1)</f>
        <v/>
      </c>
      <c r="W4176" s="15">
        <f>V4176*N4176*O4176</f>
        <v/>
      </c>
      <c r="X4176" s="12">
        <f>IF(LEFT(I4176,2)="MV",2*N4176*IF(L4176="1/C",O4176,1),0)</f>
        <v/>
      </c>
      <c r="Y4176" s="12">
        <f>IF(OR(LEFT(K4176,4)="LVAX",LEFT(K4176,6)="MV15AX",LEFT(K4176,4)="CTAX",LEFT(K4176,2)="W|"),2*N4176*O4176,0)</f>
        <v/>
      </c>
      <c r="Z4176" s="12" t="inlineStr"/>
      <c r="AA4176" s="12">
        <f>N4176*O4176</f>
        <v/>
      </c>
    </row>
    <row r="4177">
      <c r="A4177" s="12" t="inlineStr">
        <is>
          <t>I-C-0084</t>
        </is>
      </c>
      <c r="B4177" s="12" t="inlineStr">
        <is>
          <t>I</t>
        </is>
      </c>
      <c r="C4177" s="12" t="inlineStr">
        <is>
          <t>Modular / portable power</t>
        </is>
      </c>
      <c r="D4177" s="12" t="inlineStr">
        <is>
          <t>Control</t>
        </is>
      </c>
      <c r="E4177" s="12" t="inlineStr"/>
      <c r="F4177" s="12" t="inlineStr">
        <is>
          <t>PCM: power control module</t>
        </is>
      </c>
      <c r="G4177" s="12" t="inlineStr">
        <is>
          <t>RICE</t>
        </is>
      </c>
      <c r="H4177" s="12" t="inlineStr">
        <is>
          <t>RICE engine hall (8 engines)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5" t="n">
        <v>367</v>
      </c>
      <c r="U4177" s="15" t="n">
        <v>95</v>
      </c>
      <c r="V4177" s="15">
        <f>ROUNDUP((T4177+U4177+2*'Read Me'!$B$13)*(1+'Read Me'!$B$12),-1)</f>
        <v/>
      </c>
      <c r="W4177" s="15">
        <f>V4177*N4177*O4177</f>
        <v/>
      </c>
      <c r="X4177" s="12">
        <f>IF(LEFT(I4177,2)="MV",2*N4177*IF(L4177="1/C",O4177,1),0)</f>
        <v/>
      </c>
      <c r="Y4177" s="12">
        <f>IF(OR(LEFT(K4177,4)="LVAX",LEFT(K4177,6)="MV15AX",LEFT(K4177,4)="CTAX",LEFT(K4177,2)="W|"),2*N4177*O4177,0)</f>
        <v/>
      </c>
      <c r="Z4177" s="12" t="inlineStr"/>
      <c r="AA4177" s="12">
        <f>N4177*O4177</f>
        <v/>
      </c>
    </row>
    <row r="4178">
      <c r="A4178" s="12" t="inlineStr">
        <is>
          <t>I-C-0085</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CT|12/C|14</t>
        </is>
      </c>
      <c r="L4178" s="12" t="inlineStr">
        <is>
          <t>12/C</t>
        </is>
      </c>
      <c r="M4178" s="12" t="inlineStr">
        <is>
          <t>14</t>
        </is>
      </c>
      <c r="N4178" s="12" t="n">
        <v>1</v>
      </c>
      <c r="O4178" s="12" t="n">
        <v>1</v>
      </c>
      <c r="P4178" s="12" t="n"/>
      <c r="Q4178" s="12" t="n"/>
      <c r="R4178" s="12" t="n"/>
      <c r="S4178" s="12" t="inlineStr">
        <is>
          <t>Duct bank</t>
        </is>
      </c>
      <c r="T4178" s="15" t="n">
        <v>367</v>
      </c>
      <c r="U4178" s="15" t="n">
        <v>95</v>
      </c>
      <c r="V4178" s="15">
        <f>ROUNDUP((T4178+U4178+2*'Read Me'!$B$13)*(1+'Read Me'!$B$12),-1)</f>
        <v/>
      </c>
      <c r="W4178" s="15">
        <f>V4178*N4178*O4178</f>
        <v/>
      </c>
      <c r="X4178" s="12">
        <f>IF(LEFT(I4178,2)="MV",2*N4178*IF(L4178="1/C",O4178,1),0)</f>
        <v/>
      </c>
      <c r="Y4178" s="12">
        <f>IF(OR(LEFT(K4178,4)="LVAX",LEFT(K4178,6)="MV15AX",LEFT(K4178,4)="CTAX",LEFT(K4178,2)="W|"),2*N4178*O4178,0)</f>
        <v/>
      </c>
      <c r="Z4178" s="12" t="inlineStr"/>
      <c r="AA4178" s="12">
        <f>N4178*O4178</f>
        <v/>
      </c>
    </row>
    <row r="4179">
      <c r="A4179" s="12" t="inlineStr">
        <is>
          <t>I-C-0086</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CT|12/C|14</t>
        </is>
      </c>
      <c r="L4179" s="12" t="inlineStr">
        <is>
          <t>12/C</t>
        </is>
      </c>
      <c r="M4179" s="12" t="inlineStr">
        <is>
          <t>14</t>
        </is>
      </c>
      <c r="N4179" s="12" t="n">
        <v>1</v>
      </c>
      <c r="O4179" s="12" t="n">
        <v>1</v>
      </c>
      <c r="P4179" s="12" t="n"/>
      <c r="Q4179" s="12" t="n"/>
      <c r="R4179" s="12" t="n"/>
      <c r="S4179" s="12" t="inlineStr">
        <is>
          <t>Duct bank</t>
        </is>
      </c>
      <c r="T4179" s="15" t="n">
        <v>367</v>
      </c>
      <c r="U4179" s="15" t="n">
        <v>95</v>
      </c>
      <c r="V4179" s="15">
        <f>ROUNDUP((T4179+U4179+2*'Read Me'!$B$13)*(1+'Read Me'!$B$12),-1)</f>
        <v/>
      </c>
      <c r="W4179" s="15">
        <f>V4179*N4179*O4179</f>
        <v/>
      </c>
      <c r="X4179" s="12">
        <f>IF(LEFT(I4179,2)="MV",2*N4179*IF(L4179="1/C",O4179,1),0)</f>
        <v/>
      </c>
      <c r="Y4179" s="12">
        <f>IF(OR(LEFT(K4179,4)="LVAX",LEFT(K4179,6)="MV15AX",LEFT(K4179,4)="CTAX",LEFT(K4179,2)="W|"),2*N4179*O4179,0)</f>
        <v/>
      </c>
      <c r="Z4179" s="12" t="inlineStr"/>
      <c r="AA4179" s="12">
        <f>N4179*O4179</f>
        <v/>
      </c>
    </row>
    <row r="4180">
      <c r="A4180" s="12" t="inlineStr">
        <is>
          <t>I-C-0087</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5" t="n">
        <v>367</v>
      </c>
      <c r="U4180" s="15" t="n">
        <v>95</v>
      </c>
      <c r="V4180" s="15">
        <f>ROUNDUP((T4180+U4180+2*'Read Me'!$B$13)*(1+'Read Me'!$B$12),-1)</f>
        <v/>
      </c>
      <c r="W4180" s="15">
        <f>V4180*N4180*O4180</f>
        <v/>
      </c>
      <c r="X4180" s="12">
        <f>IF(LEFT(I4180,2)="MV",2*N4180*IF(L4180="1/C",O4180,1),0)</f>
        <v/>
      </c>
      <c r="Y4180" s="12">
        <f>IF(OR(LEFT(K4180,4)="LVAX",LEFT(K4180,6)="MV15AX",LEFT(K4180,4)="CTAX",LEFT(K4180,2)="W|"),2*N4180*O4180,0)</f>
        <v/>
      </c>
      <c r="Z4180" s="12" t="inlineStr"/>
      <c r="AA4180" s="12">
        <f>N4180*O4180</f>
        <v/>
      </c>
    </row>
    <row r="4181">
      <c r="A4181" s="12" t="inlineStr">
        <is>
          <t>I-C-0088</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5" t="n">
        <v>367</v>
      </c>
      <c r="U4181" s="15" t="n">
        <v>95</v>
      </c>
      <c r="V4181" s="15">
        <f>ROUNDUP((T4181+U4181+2*'Read Me'!$B$13)*(1+'Read Me'!$B$12),-1)</f>
        <v/>
      </c>
      <c r="W4181" s="15">
        <f>V4181*N4181*O4181</f>
        <v/>
      </c>
      <c r="X4181" s="12">
        <f>IF(LEFT(I4181,2)="MV",2*N4181*IF(L4181="1/C",O4181,1),0)</f>
        <v/>
      </c>
      <c r="Y4181" s="12">
        <f>IF(OR(LEFT(K4181,4)="LVAX",LEFT(K4181,6)="MV15AX",LEFT(K4181,4)="CTAX",LEFT(K4181,2)="W|"),2*N4181*O4181,0)</f>
        <v/>
      </c>
      <c r="Z4181" s="12" t="inlineStr"/>
      <c r="AA4181" s="12">
        <f>N4181*O4181</f>
        <v/>
      </c>
    </row>
    <row r="4182">
      <c r="A4182" s="12" t="inlineStr">
        <is>
          <t>I-C-0089</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5" t="n">
        <v>367</v>
      </c>
      <c r="U4182" s="15" t="n">
        <v>95</v>
      </c>
      <c r="V4182" s="15">
        <f>ROUNDUP((T4182+U4182+2*'Read Me'!$B$13)*(1+'Read Me'!$B$12),-1)</f>
        <v/>
      </c>
      <c r="W4182" s="15">
        <f>V4182*N4182*O4182</f>
        <v/>
      </c>
      <c r="X4182" s="12">
        <f>IF(LEFT(I4182,2)="MV",2*N4182*IF(L4182="1/C",O4182,1),0)</f>
        <v/>
      </c>
      <c r="Y4182" s="12">
        <f>IF(OR(LEFT(K4182,4)="LVAX",LEFT(K4182,6)="MV15AX",LEFT(K4182,4)="CTAX",LEFT(K4182,2)="W|"),2*N4182*O4182,0)</f>
        <v/>
      </c>
      <c r="Z4182" s="12" t="inlineStr"/>
      <c r="AA4182" s="12">
        <f>N4182*O4182</f>
        <v/>
      </c>
    </row>
    <row r="4183">
      <c r="A4183" s="12" t="inlineStr">
        <is>
          <t>I-C-0090</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5" t="n">
        <v>367</v>
      </c>
      <c r="U4183" s="15" t="n">
        <v>95</v>
      </c>
      <c r="V4183" s="15">
        <f>ROUNDUP((T4183+U4183+2*'Read Me'!$B$13)*(1+'Read Me'!$B$12),-1)</f>
        <v/>
      </c>
      <c r="W4183" s="15">
        <f>V4183*N4183*O4183</f>
        <v/>
      </c>
      <c r="X4183" s="12">
        <f>IF(LEFT(I4183,2)="MV",2*N4183*IF(L4183="1/C",O4183,1),0)</f>
        <v/>
      </c>
      <c r="Y4183" s="12">
        <f>IF(OR(LEFT(K4183,4)="LVAX",LEFT(K4183,6)="MV15AX",LEFT(K4183,4)="CTAX",LEFT(K4183,2)="W|"),2*N4183*O4183,0)</f>
        <v/>
      </c>
      <c r="Z4183" s="12" t="inlineStr"/>
      <c r="AA4183" s="12">
        <f>N4183*O4183</f>
        <v/>
      </c>
    </row>
    <row r="4184">
      <c r="A4184" s="12" t="inlineStr">
        <is>
          <t>I-C-0091</t>
        </is>
      </c>
      <c r="B4184" s="12" t="inlineStr">
        <is>
          <t>I</t>
        </is>
      </c>
      <c r="C4184" s="12" t="inlineStr">
        <is>
          <t>Modular / portable power</t>
        </is>
      </c>
      <c r="D4184" s="12" t="inlineStr">
        <is>
          <t>Motor 1 of 6: control / local station</t>
        </is>
      </c>
      <c r="E4184" s="12" t="inlineStr"/>
      <c r="F4184" s="12" t="inlineStr">
        <is>
          <t>PCM: power control module</t>
        </is>
      </c>
      <c r="G4184" s="12" t="inlineStr">
        <is>
          <t>RICE-1</t>
        </is>
      </c>
      <c r="H4184" s="12" t="inlineStr">
        <is>
          <t>RICE engine-generator 1</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5" t="n">
        <v>550</v>
      </c>
      <c r="U4184" s="15" t="n">
        <v>137</v>
      </c>
      <c r="V4184" s="15">
        <f>ROUNDUP((T4184+U4184+2*'Read Me'!$B$13)*(1+'Read Me'!$B$12),-1)</f>
        <v/>
      </c>
      <c r="W4184" s="15">
        <f>V4184*N4184*O4184</f>
        <v/>
      </c>
      <c r="X4184" s="12">
        <f>IF(LEFT(I4184,2)="MV",2*N4184*IF(L4184="1/C",O4184,1),0)</f>
        <v/>
      </c>
      <c r="Y4184" s="12">
        <f>IF(OR(LEFT(K4184,4)="LVAX",LEFT(K4184,6)="MV15AX",LEFT(K4184,4)="CTAX",LEFT(K4184,2)="W|"),2*N4184*O4184,0)</f>
        <v/>
      </c>
      <c r="Z4184" s="12" t="inlineStr"/>
      <c r="AA4184" s="12">
        <f>N4184*O4184</f>
        <v/>
      </c>
    </row>
    <row r="4185">
      <c r="A4185" s="12" t="inlineStr">
        <is>
          <t>I-C-0092</t>
        </is>
      </c>
      <c r="B4185" s="12" t="inlineStr">
        <is>
          <t>I</t>
        </is>
      </c>
      <c r="C4185" s="12" t="inlineStr">
        <is>
          <t>Modular / portable power</t>
        </is>
      </c>
      <c r="D4185" s="12" t="inlineStr">
        <is>
          <t>Motor 2 of 6: control / local station</t>
        </is>
      </c>
      <c r="E4185" s="12" t="inlineStr"/>
      <c r="F4185" s="12" t="inlineStr">
        <is>
          <t>PCM: power control module</t>
        </is>
      </c>
      <c r="G4185" s="12" t="inlineStr">
        <is>
          <t>RICE-1</t>
        </is>
      </c>
      <c r="H4185" s="12" t="inlineStr">
        <is>
          <t>RICE engine-generator 1</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Duct bank</t>
        </is>
      </c>
      <c r="T4185" s="15" t="n">
        <v>550</v>
      </c>
      <c r="U4185" s="15" t="n">
        <v>137</v>
      </c>
      <c r="V4185" s="15">
        <f>ROUNDUP((T4185+U4185+2*'Read Me'!$B$13)*(1+'Read Me'!$B$12),-1)</f>
        <v/>
      </c>
      <c r="W4185" s="15">
        <f>V4185*N4185*O4185</f>
        <v/>
      </c>
      <c r="X4185" s="12">
        <f>IF(LEFT(I4185,2)="MV",2*N4185*IF(L4185="1/C",O4185,1),0)</f>
        <v/>
      </c>
      <c r="Y4185" s="12">
        <f>IF(OR(LEFT(K4185,4)="LVAX",LEFT(K4185,6)="MV15AX",LEFT(K4185,4)="CTAX",LEFT(K4185,2)="W|"),2*N4185*O4185,0)</f>
        <v/>
      </c>
      <c r="Z4185" s="12" t="inlineStr"/>
      <c r="AA4185" s="12">
        <f>N4185*O4185</f>
        <v/>
      </c>
    </row>
    <row r="4186">
      <c r="A4186" s="12" t="inlineStr">
        <is>
          <t>I-C-0093</t>
        </is>
      </c>
      <c r="B4186" s="12" t="inlineStr">
        <is>
          <t>I</t>
        </is>
      </c>
      <c r="C4186" s="12" t="inlineStr">
        <is>
          <t>Modular / portable power</t>
        </is>
      </c>
      <c r="D4186" s="12" t="inlineStr">
        <is>
          <t>Motor 3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5" t="n">
        <v>550</v>
      </c>
      <c r="U4186" s="15" t="n">
        <v>137</v>
      </c>
      <c r="V4186" s="15">
        <f>ROUNDUP((T4186+U4186+2*'Read Me'!$B$13)*(1+'Read Me'!$B$12),-1)</f>
        <v/>
      </c>
      <c r="W4186" s="15">
        <f>V4186*N4186*O4186</f>
        <v/>
      </c>
      <c r="X4186" s="12">
        <f>IF(LEFT(I4186,2)="MV",2*N4186*IF(L4186="1/C",O4186,1),0)</f>
        <v/>
      </c>
      <c r="Y4186" s="12">
        <f>IF(OR(LEFT(K4186,4)="LVAX",LEFT(K4186,6)="MV15AX",LEFT(K4186,4)="CTAX",LEFT(K4186,2)="W|"),2*N4186*O4186,0)</f>
        <v/>
      </c>
      <c r="Z4186" s="12" t="inlineStr"/>
      <c r="AA4186" s="12">
        <f>N4186*O4186</f>
        <v/>
      </c>
    </row>
    <row r="4187">
      <c r="A4187" s="12" t="inlineStr">
        <is>
          <t>I-C-0094</t>
        </is>
      </c>
      <c r="B4187" s="12" t="inlineStr">
        <is>
          <t>I</t>
        </is>
      </c>
      <c r="C4187" s="12" t="inlineStr">
        <is>
          <t>Modular / portable power</t>
        </is>
      </c>
      <c r="D4187" s="12" t="inlineStr">
        <is>
          <t>Motor 4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5" t="n">
        <v>550</v>
      </c>
      <c r="U4187" s="15" t="n">
        <v>137</v>
      </c>
      <c r="V4187" s="15">
        <f>ROUNDUP((T4187+U4187+2*'Read Me'!$B$13)*(1+'Read Me'!$B$12),-1)</f>
        <v/>
      </c>
      <c r="W4187" s="15">
        <f>V4187*N4187*O4187</f>
        <v/>
      </c>
      <c r="X4187" s="12">
        <f>IF(LEFT(I4187,2)="MV",2*N4187*IF(L4187="1/C",O4187,1),0)</f>
        <v/>
      </c>
      <c r="Y4187" s="12">
        <f>IF(OR(LEFT(K4187,4)="LVAX",LEFT(K4187,6)="MV15AX",LEFT(K4187,4)="CTAX",LEFT(K4187,2)="W|"),2*N4187*O4187,0)</f>
        <v/>
      </c>
      <c r="Z4187" s="12" t="inlineStr"/>
      <c r="AA4187" s="12">
        <f>N4187*O4187</f>
        <v/>
      </c>
    </row>
    <row r="4188">
      <c r="A4188" s="12" t="inlineStr">
        <is>
          <t>I-C-0095</t>
        </is>
      </c>
      <c r="B4188" s="12" t="inlineStr">
        <is>
          <t>I</t>
        </is>
      </c>
      <c r="C4188" s="12" t="inlineStr">
        <is>
          <t>Modular / portable power</t>
        </is>
      </c>
      <c r="D4188" s="12" t="inlineStr">
        <is>
          <t>Motor 5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5" t="n">
        <v>550</v>
      </c>
      <c r="U4188" s="15" t="n">
        <v>137</v>
      </c>
      <c r="V4188" s="15">
        <f>ROUNDUP((T4188+U4188+2*'Read Me'!$B$13)*(1+'Read Me'!$B$12),-1)</f>
        <v/>
      </c>
      <c r="W4188" s="15">
        <f>V4188*N4188*O4188</f>
        <v/>
      </c>
      <c r="X4188" s="12">
        <f>IF(LEFT(I4188,2)="MV",2*N4188*IF(L4188="1/C",O4188,1),0)</f>
        <v/>
      </c>
      <c r="Y4188" s="12">
        <f>IF(OR(LEFT(K4188,4)="LVAX",LEFT(K4188,6)="MV15AX",LEFT(K4188,4)="CTAX",LEFT(K4188,2)="W|"),2*N4188*O4188,0)</f>
        <v/>
      </c>
      <c r="Z4188" s="12" t="inlineStr"/>
      <c r="AA4188" s="12">
        <f>N4188*O4188</f>
        <v/>
      </c>
    </row>
    <row r="4189">
      <c r="A4189" s="12" t="inlineStr">
        <is>
          <t>I-C-0096</t>
        </is>
      </c>
      <c r="B4189" s="12" t="inlineStr">
        <is>
          <t>I</t>
        </is>
      </c>
      <c r="C4189" s="12" t="inlineStr">
        <is>
          <t>Modular / portable power</t>
        </is>
      </c>
      <c r="D4189" s="12" t="inlineStr">
        <is>
          <t>Motor 6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5" t="n">
        <v>550</v>
      </c>
      <c r="U4189" s="15" t="n">
        <v>137</v>
      </c>
      <c r="V4189" s="15">
        <f>ROUNDUP((T4189+U4189+2*'Read Me'!$B$13)*(1+'Read Me'!$B$12),-1)</f>
        <v/>
      </c>
      <c r="W4189" s="15">
        <f>V4189*N4189*O4189</f>
        <v/>
      </c>
      <c r="X4189" s="12">
        <f>IF(LEFT(I4189,2)="MV",2*N4189*IF(L4189="1/C",O4189,1),0)</f>
        <v/>
      </c>
      <c r="Y4189" s="12">
        <f>IF(OR(LEFT(K4189,4)="LVAX",LEFT(K4189,6)="MV15AX",LEFT(K4189,4)="CTAX",LEFT(K4189,2)="W|"),2*N4189*O4189,0)</f>
        <v/>
      </c>
      <c r="Z4189" s="12" t="inlineStr"/>
      <c r="AA4189" s="12">
        <f>N4189*O4189</f>
        <v/>
      </c>
    </row>
    <row r="4190">
      <c r="A4190" s="12" t="inlineStr">
        <is>
          <t>I-C-0097</t>
        </is>
      </c>
      <c r="B4190" s="12" t="inlineStr">
        <is>
          <t>I</t>
        </is>
      </c>
      <c r="C4190" s="12" t="inlineStr">
        <is>
          <t>Modular / portable power</t>
        </is>
      </c>
      <c r="D4190" s="12" t="inlineStr">
        <is>
          <t>Motor 1 of 6: control / local station</t>
        </is>
      </c>
      <c r="E4190" s="12" t="inlineStr"/>
      <c r="F4190" s="12" t="inlineStr">
        <is>
          <t>PCM: power control module</t>
        </is>
      </c>
      <c r="G4190" s="12" t="inlineStr">
        <is>
          <t>RICE-2</t>
        </is>
      </c>
      <c r="H4190" s="12" t="inlineStr">
        <is>
          <t>RICE engine-generator 2</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5" t="n">
        <v>550</v>
      </c>
      <c r="U4190" s="15" t="n">
        <v>109</v>
      </c>
      <c r="V4190" s="15">
        <f>ROUNDUP((T4190+U4190+2*'Read Me'!$B$13)*(1+'Read Me'!$B$12),-1)</f>
        <v/>
      </c>
      <c r="W4190" s="15">
        <f>V4190*N4190*O4190</f>
        <v/>
      </c>
      <c r="X4190" s="12">
        <f>IF(LEFT(I4190,2)="MV",2*N4190*IF(L4190="1/C",O4190,1),0)</f>
        <v/>
      </c>
      <c r="Y4190" s="12">
        <f>IF(OR(LEFT(K4190,4)="LVAX",LEFT(K4190,6)="MV15AX",LEFT(K4190,4)="CTAX",LEFT(K4190,2)="W|"),2*N4190*O4190,0)</f>
        <v/>
      </c>
      <c r="Z4190" s="12" t="inlineStr"/>
      <c r="AA4190" s="12">
        <f>N4190*O4190</f>
        <v/>
      </c>
    </row>
    <row r="4191">
      <c r="A4191" s="12" t="inlineStr">
        <is>
          <t>I-C-0098</t>
        </is>
      </c>
      <c r="B4191" s="12" t="inlineStr">
        <is>
          <t>I</t>
        </is>
      </c>
      <c r="C4191" s="12" t="inlineStr">
        <is>
          <t>Modular / portable power</t>
        </is>
      </c>
      <c r="D4191" s="12" t="inlineStr">
        <is>
          <t>Motor 2 of 6: control / local station</t>
        </is>
      </c>
      <c r="E4191" s="12" t="inlineStr"/>
      <c r="F4191" s="12" t="inlineStr">
        <is>
          <t>PCM: power control module</t>
        </is>
      </c>
      <c r="G4191" s="12" t="inlineStr">
        <is>
          <t>RICE-2</t>
        </is>
      </c>
      <c r="H4191" s="12" t="inlineStr">
        <is>
          <t>RICE engine-generator 2</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5" t="n">
        <v>550</v>
      </c>
      <c r="U4191" s="15" t="n">
        <v>109</v>
      </c>
      <c r="V4191" s="15">
        <f>ROUNDUP((T4191+U4191+2*'Read Me'!$B$13)*(1+'Read Me'!$B$12),-1)</f>
        <v/>
      </c>
      <c r="W4191" s="15">
        <f>V4191*N4191*O4191</f>
        <v/>
      </c>
      <c r="X4191" s="12">
        <f>IF(LEFT(I4191,2)="MV",2*N4191*IF(L4191="1/C",O4191,1),0)</f>
        <v/>
      </c>
      <c r="Y4191" s="12">
        <f>IF(OR(LEFT(K4191,4)="LVAX",LEFT(K4191,6)="MV15AX",LEFT(K4191,4)="CTAX",LEFT(K4191,2)="W|"),2*N4191*O4191,0)</f>
        <v/>
      </c>
      <c r="Z4191" s="12" t="inlineStr"/>
      <c r="AA4191" s="12">
        <f>N4191*O4191</f>
        <v/>
      </c>
    </row>
    <row r="4192">
      <c r="A4192" s="12" t="inlineStr">
        <is>
          <t>I-C-0099</t>
        </is>
      </c>
      <c r="B4192" s="12" t="inlineStr">
        <is>
          <t>I</t>
        </is>
      </c>
      <c r="C4192" s="12" t="inlineStr">
        <is>
          <t>Modular / portable power</t>
        </is>
      </c>
      <c r="D4192" s="12" t="inlineStr">
        <is>
          <t>Motor 3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5" t="n">
        <v>550</v>
      </c>
      <c r="U4192" s="15" t="n">
        <v>109</v>
      </c>
      <c r="V4192" s="15">
        <f>ROUNDUP((T4192+U4192+2*'Read Me'!$B$13)*(1+'Read Me'!$B$12),-1)</f>
        <v/>
      </c>
      <c r="W4192" s="15">
        <f>V4192*N4192*O4192</f>
        <v/>
      </c>
      <c r="X4192" s="12">
        <f>IF(LEFT(I4192,2)="MV",2*N4192*IF(L4192="1/C",O4192,1),0)</f>
        <v/>
      </c>
      <c r="Y4192" s="12">
        <f>IF(OR(LEFT(K4192,4)="LVAX",LEFT(K4192,6)="MV15AX",LEFT(K4192,4)="CTAX",LEFT(K4192,2)="W|"),2*N4192*O4192,0)</f>
        <v/>
      </c>
      <c r="Z4192" s="12" t="inlineStr"/>
      <c r="AA4192" s="12">
        <f>N4192*O4192</f>
        <v/>
      </c>
    </row>
    <row r="4193">
      <c r="A4193" s="12" t="inlineStr">
        <is>
          <t>I-C-0100</t>
        </is>
      </c>
      <c r="B4193" s="12" t="inlineStr">
        <is>
          <t>I</t>
        </is>
      </c>
      <c r="C4193" s="12" t="inlineStr">
        <is>
          <t>Modular / portable power</t>
        </is>
      </c>
      <c r="D4193" s="12" t="inlineStr">
        <is>
          <t>Motor 4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5" t="n">
        <v>550</v>
      </c>
      <c r="U4193" s="15" t="n">
        <v>109</v>
      </c>
      <c r="V4193" s="15">
        <f>ROUNDUP((T4193+U4193+2*'Read Me'!$B$13)*(1+'Read Me'!$B$12),-1)</f>
        <v/>
      </c>
      <c r="W4193" s="15">
        <f>V4193*N4193*O4193</f>
        <v/>
      </c>
      <c r="X4193" s="12">
        <f>IF(LEFT(I4193,2)="MV",2*N4193*IF(L4193="1/C",O4193,1),0)</f>
        <v/>
      </c>
      <c r="Y4193" s="12">
        <f>IF(OR(LEFT(K4193,4)="LVAX",LEFT(K4193,6)="MV15AX",LEFT(K4193,4)="CTAX",LEFT(K4193,2)="W|"),2*N4193*O4193,0)</f>
        <v/>
      </c>
      <c r="Z4193" s="12" t="inlineStr"/>
      <c r="AA4193" s="12">
        <f>N4193*O4193</f>
        <v/>
      </c>
    </row>
    <row r="4194">
      <c r="A4194" s="12" t="inlineStr">
        <is>
          <t>I-C-0101</t>
        </is>
      </c>
      <c r="B4194" s="12" t="inlineStr">
        <is>
          <t>I</t>
        </is>
      </c>
      <c r="C4194" s="12" t="inlineStr">
        <is>
          <t>Modular / portable power</t>
        </is>
      </c>
      <c r="D4194" s="12" t="inlineStr">
        <is>
          <t>Motor 5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5" t="n">
        <v>550</v>
      </c>
      <c r="U4194" s="15" t="n">
        <v>109</v>
      </c>
      <c r="V4194" s="15">
        <f>ROUNDUP((T4194+U4194+2*'Read Me'!$B$13)*(1+'Read Me'!$B$12),-1)</f>
        <v/>
      </c>
      <c r="W4194" s="15">
        <f>V4194*N4194*O4194</f>
        <v/>
      </c>
      <c r="X4194" s="12">
        <f>IF(LEFT(I4194,2)="MV",2*N4194*IF(L4194="1/C",O4194,1),0)</f>
        <v/>
      </c>
      <c r="Y4194" s="12">
        <f>IF(OR(LEFT(K4194,4)="LVAX",LEFT(K4194,6)="MV15AX",LEFT(K4194,4)="CTAX",LEFT(K4194,2)="W|"),2*N4194*O4194,0)</f>
        <v/>
      </c>
      <c r="Z4194" s="12" t="inlineStr"/>
      <c r="AA4194" s="12">
        <f>N4194*O4194</f>
        <v/>
      </c>
    </row>
    <row r="4195">
      <c r="A4195" s="12" t="inlineStr">
        <is>
          <t>I-C-0102</t>
        </is>
      </c>
      <c r="B4195" s="12" t="inlineStr">
        <is>
          <t>I</t>
        </is>
      </c>
      <c r="C4195" s="12" t="inlineStr">
        <is>
          <t>Modular / portable power</t>
        </is>
      </c>
      <c r="D4195" s="12" t="inlineStr">
        <is>
          <t>Motor 6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5" t="n">
        <v>550</v>
      </c>
      <c r="U4195" s="15" t="n">
        <v>109</v>
      </c>
      <c r="V4195" s="15">
        <f>ROUNDUP((T4195+U4195+2*'Read Me'!$B$13)*(1+'Read Me'!$B$12),-1)</f>
        <v/>
      </c>
      <c r="W4195" s="15">
        <f>V4195*N4195*O4195</f>
        <v/>
      </c>
      <c r="X4195" s="12">
        <f>IF(LEFT(I4195,2)="MV",2*N4195*IF(L4195="1/C",O4195,1),0)</f>
        <v/>
      </c>
      <c r="Y4195" s="12">
        <f>IF(OR(LEFT(K4195,4)="LVAX",LEFT(K4195,6)="MV15AX",LEFT(K4195,4)="CTAX",LEFT(K4195,2)="W|"),2*N4195*O4195,0)</f>
        <v/>
      </c>
      <c r="Z4195" s="12" t="inlineStr"/>
      <c r="AA4195" s="12">
        <f>N4195*O4195</f>
        <v/>
      </c>
    </row>
    <row r="4196">
      <c r="A4196" s="12" t="inlineStr">
        <is>
          <t>I-C-0103</t>
        </is>
      </c>
      <c r="B4196" s="12" t="inlineStr">
        <is>
          <t>I</t>
        </is>
      </c>
      <c r="C4196" s="12" t="inlineStr">
        <is>
          <t>Modular / portable power</t>
        </is>
      </c>
      <c r="D4196" s="12" t="inlineStr">
        <is>
          <t>Motor 1 of 6: control / local station</t>
        </is>
      </c>
      <c r="E4196" s="12" t="inlineStr"/>
      <c r="F4196" s="12" t="inlineStr">
        <is>
          <t>PCM: power control module</t>
        </is>
      </c>
      <c r="G4196" s="12" t="inlineStr">
        <is>
          <t>RICE-3</t>
        </is>
      </c>
      <c r="H4196" s="12" t="inlineStr">
        <is>
          <t>RICE engine-generator 3</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5" t="n">
        <v>550</v>
      </c>
      <c r="U4196" s="15" t="n">
        <v>81</v>
      </c>
      <c r="V4196" s="15">
        <f>ROUNDUP((T4196+U4196+2*'Read Me'!$B$13)*(1+'Read Me'!$B$12),-1)</f>
        <v/>
      </c>
      <c r="W4196" s="15">
        <f>V4196*N4196*O4196</f>
        <v/>
      </c>
      <c r="X4196" s="12">
        <f>IF(LEFT(I4196,2)="MV",2*N4196*IF(L4196="1/C",O4196,1),0)</f>
        <v/>
      </c>
      <c r="Y4196" s="12">
        <f>IF(OR(LEFT(K4196,4)="LVAX",LEFT(K4196,6)="MV15AX",LEFT(K4196,4)="CTAX",LEFT(K4196,2)="W|"),2*N4196*O4196,0)</f>
        <v/>
      </c>
      <c r="Z4196" s="12" t="inlineStr"/>
      <c r="AA4196" s="12">
        <f>N4196*O4196</f>
        <v/>
      </c>
    </row>
    <row r="4197">
      <c r="A4197" s="12" t="inlineStr">
        <is>
          <t>I-C-0104</t>
        </is>
      </c>
      <c r="B4197" s="12" t="inlineStr">
        <is>
          <t>I</t>
        </is>
      </c>
      <c r="C4197" s="12" t="inlineStr">
        <is>
          <t>Modular / portable power</t>
        </is>
      </c>
      <c r="D4197" s="12" t="inlineStr">
        <is>
          <t>Motor 2 of 6: control / local station</t>
        </is>
      </c>
      <c r="E4197" s="12" t="inlineStr"/>
      <c r="F4197" s="12" t="inlineStr">
        <is>
          <t>PCM: power control module</t>
        </is>
      </c>
      <c r="G4197" s="12" t="inlineStr">
        <is>
          <t>RICE-3</t>
        </is>
      </c>
      <c r="H4197" s="12" t="inlineStr">
        <is>
          <t>RICE engine-generator 3</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5" t="n">
        <v>550</v>
      </c>
      <c r="U4197" s="15" t="n">
        <v>81</v>
      </c>
      <c r="V4197" s="15">
        <f>ROUNDUP((T4197+U4197+2*'Read Me'!$B$13)*(1+'Read Me'!$B$12),-1)</f>
        <v/>
      </c>
      <c r="W4197" s="15">
        <f>V4197*N4197*O4197</f>
        <v/>
      </c>
      <c r="X4197" s="12">
        <f>IF(LEFT(I4197,2)="MV",2*N4197*IF(L4197="1/C",O4197,1),0)</f>
        <v/>
      </c>
      <c r="Y4197" s="12">
        <f>IF(OR(LEFT(K4197,4)="LVAX",LEFT(K4197,6)="MV15AX",LEFT(K4197,4)="CTAX",LEFT(K4197,2)="W|"),2*N4197*O4197,0)</f>
        <v/>
      </c>
      <c r="Z4197" s="12" t="inlineStr"/>
      <c r="AA4197" s="12">
        <f>N4197*O4197</f>
        <v/>
      </c>
    </row>
    <row r="4198">
      <c r="A4198" s="12" t="inlineStr">
        <is>
          <t>I-C-0105</t>
        </is>
      </c>
      <c r="B4198" s="12" t="inlineStr">
        <is>
          <t>I</t>
        </is>
      </c>
      <c r="C4198" s="12" t="inlineStr">
        <is>
          <t>Modular / portable power</t>
        </is>
      </c>
      <c r="D4198" s="12" t="inlineStr">
        <is>
          <t>Motor 3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5" t="n">
        <v>550</v>
      </c>
      <c r="U4198" s="15" t="n">
        <v>81</v>
      </c>
      <c r="V4198" s="15">
        <f>ROUNDUP((T4198+U4198+2*'Read Me'!$B$13)*(1+'Read Me'!$B$12),-1)</f>
        <v/>
      </c>
      <c r="W4198" s="15">
        <f>V4198*N4198*O4198</f>
        <v/>
      </c>
      <c r="X4198" s="12">
        <f>IF(LEFT(I4198,2)="MV",2*N4198*IF(L4198="1/C",O4198,1),0)</f>
        <v/>
      </c>
      <c r="Y4198" s="12">
        <f>IF(OR(LEFT(K4198,4)="LVAX",LEFT(K4198,6)="MV15AX",LEFT(K4198,4)="CTAX",LEFT(K4198,2)="W|"),2*N4198*O4198,0)</f>
        <v/>
      </c>
      <c r="Z4198" s="12" t="inlineStr"/>
      <c r="AA4198" s="12">
        <f>N4198*O4198</f>
        <v/>
      </c>
    </row>
    <row r="4199">
      <c r="A4199" s="12" t="inlineStr">
        <is>
          <t>I-C-0106</t>
        </is>
      </c>
      <c r="B4199" s="12" t="inlineStr">
        <is>
          <t>I</t>
        </is>
      </c>
      <c r="C4199" s="12" t="inlineStr">
        <is>
          <t>Modular / portable power</t>
        </is>
      </c>
      <c r="D4199" s="12" t="inlineStr">
        <is>
          <t>Motor 4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5" t="n">
        <v>550</v>
      </c>
      <c r="U4199" s="15" t="n">
        <v>81</v>
      </c>
      <c r="V4199" s="15">
        <f>ROUNDUP((T4199+U4199+2*'Read Me'!$B$13)*(1+'Read Me'!$B$12),-1)</f>
        <v/>
      </c>
      <c r="W4199" s="15">
        <f>V4199*N4199*O4199</f>
        <v/>
      </c>
      <c r="X4199" s="12">
        <f>IF(LEFT(I4199,2)="MV",2*N4199*IF(L4199="1/C",O4199,1),0)</f>
        <v/>
      </c>
      <c r="Y4199" s="12">
        <f>IF(OR(LEFT(K4199,4)="LVAX",LEFT(K4199,6)="MV15AX",LEFT(K4199,4)="CTAX",LEFT(K4199,2)="W|"),2*N4199*O4199,0)</f>
        <v/>
      </c>
      <c r="Z4199" s="12" t="inlineStr"/>
      <c r="AA4199" s="12">
        <f>N4199*O4199</f>
        <v/>
      </c>
    </row>
    <row r="4200">
      <c r="A4200" s="12" t="inlineStr">
        <is>
          <t>I-C-0107</t>
        </is>
      </c>
      <c r="B4200" s="12" t="inlineStr">
        <is>
          <t>I</t>
        </is>
      </c>
      <c r="C4200" s="12" t="inlineStr">
        <is>
          <t>Modular / portable power</t>
        </is>
      </c>
      <c r="D4200" s="12" t="inlineStr">
        <is>
          <t>Motor 5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5" t="n">
        <v>550</v>
      </c>
      <c r="U4200" s="15" t="n">
        <v>81</v>
      </c>
      <c r="V4200" s="15">
        <f>ROUNDUP((T4200+U4200+2*'Read Me'!$B$13)*(1+'Read Me'!$B$12),-1)</f>
        <v/>
      </c>
      <c r="W4200" s="15">
        <f>V4200*N4200*O4200</f>
        <v/>
      </c>
      <c r="X4200" s="12">
        <f>IF(LEFT(I4200,2)="MV",2*N4200*IF(L4200="1/C",O4200,1),0)</f>
        <v/>
      </c>
      <c r="Y4200" s="12">
        <f>IF(OR(LEFT(K4200,4)="LVAX",LEFT(K4200,6)="MV15AX",LEFT(K4200,4)="CTAX",LEFT(K4200,2)="W|"),2*N4200*O4200,0)</f>
        <v/>
      </c>
      <c r="Z4200" s="12" t="inlineStr"/>
      <c r="AA4200" s="12">
        <f>N4200*O4200</f>
        <v/>
      </c>
    </row>
    <row r="4201">
      <c r="A4201" s="12" t="inlineStr">
        <is>
          <t>I-C-0108</t>
        </is>
      </c>
      <c r="B4201" s="12" t="inlineStr">
        <is>
          <t>I</t>
        </is>
      </c>
      <c r="C4201" s="12" t="inlineStr">
        <is>
          <t>Modular / portable power</t>
        </is>
      </c>
      <c r="D4201" s="12" t="inlineStr">
        <is>
          <t>Motor 6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5" t="n">
        <v>550</v>
      </c>
      <c r="U4201" s="15" t="n">
        <v>81</v>
      </c>
      <c r="V4201" s="15">
        <f>ROUNDUP((T4201+U4201+2*'Read Me'!$B$13)*(1+'Read Me'!$B$12),-1)</f>
        <v/>
      </c>
      <c r="W4201" s="15">
        <f>V4201*N4201*O4201</f>
        <v/>
      </c>
      <c r="X4201" s="12">
        <f>IF(LEFT(I4201,2)="MV",2*N4201*IF(L4201="1/C",O4201,1),0)</f>
        <v/>
      </c>
      <c r="Y4201" s="12">
        <f>IF(OR(LEFT(K4201,4)="LVAX",LEFT(K4201,6)="MV15AX",LEFT(K4201,4)="CTAX",LEFT(K4201,2)="W|"),2*N4201*O4201,0)</f>
        <v/>
      </c>
      <c r="Z4201" s="12" t="inlineStr"/>
      <c r="AA4201" s="12">
        <f>N4201*O4201</f>
        <v/>
      </c>
    </row>
    <row r="4202">
      <c r="A4202" s="12" t="inlineStr">
        <is>
          <t>I-C-0109</t>
        </is>
      </c>
      <c r="B4202" s="12" t="inlineStr">
        <is>
          <t>I</t>
        </is>
      </c>
      <c r="C4202" s="12" t="inlineStr">
        <is>
          <t>Modular / portable power</t>
        </is>
      </c>
      <c r="D4202" s="12" t="inlineStr">
        <is>
          <t>Motor 1 of 6: control / local station</t>
        </is>
      </c>
      <c r="E4202" s="12" t="inlineStr"/>
      <c r="F4202" s="12" t="inlineStr">
        <is>
          <t>PCM: power control module</t>
        </is>
      </c>
      <c r="G4202" s="12" t="inlineStr">
        <is>
          <t>RICE-4</t>
        </is>
      </c>
      <c r="H4202" s="12" t="inlineStr">
        <is>
          <t>RICE engine-generator 4</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5" t="n">
        <v>550</v>
      </c>
      <c r="U4202" s="15" t="n">
        <v>53</v>
      </c>
      <c r="V4202" s="15">
        <f>ROUNDUP((T4202+U4202+2*'Read Me'!$B$13)*(1+'Read Me'!$B$12),-1)</f>
        <v/>
      </c>
      <c r="W4202" s="15">
        <f>V4202*N4202*O4202</f>
        <v/>
      </c>
      <c r="X4202" s="12">
        <f>IF(LEFT(I4202,2)="MV",2*N4202*IF(L4202="1/C",O4202,1),0)</f>
        <v/>
      </c>
      <c r="Y4202" s="12">
        <f>IF(OR(LEFT(K4202,4)="LVAX",LEFT(K4202,6)="MV15AX",LEFT(K4202,4)="CTAX",LEFT(K4202,2)="W|"),2*N4202*O4202,0)</f>
        <v/>
      </c>
      <c r="Z4202" s="12" t="inlineStr"/>
      <c r="AA4202" s="12">
        <f>N4202*O4202</f>
        <v/>
      </c>
    </row>
    <row r="4203">
      <c r="A4203" s="12" t="inlineStr">
        <is>
          <t>I-C-0110</t>
        </is>
      </c>
      <c r="B4203" s="12" t="inlineStr">
        <is>
          <t>I</t>
        </is>
      </c>
      <c r="C4203" s="12" t="inlineStr">
        <is>
          <t>Modular / portable power</t>
        </is>
      </c>
      <c r="D4203" s="12" t="inlineStr">
        <is>
          <t>Motor 2 of 6: control / local station</t>
        </is>
      </c>
      <c r="E4203" s="12" t="inlineStr"/>
      <c r="F4203" s="12" t="inlineStr">
        <is>
          <t>PCM: power control module</t>
        </is>
      </c>
      <c r="G4203" s="12" t="inlineStr">
        <is>
          <t>RICE-4</t>
        </is>
      </c>
      <c r="H4203" s="12" t="inlineStr">
        <is>
          <t>RICE engine-generator 4</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5" t="n">
        <v>550</v>
      </c>
      <c r="U4203" s="15" t="n">
        <v>53</v>
      </c>
      <c r="V4203" s="15">
        <f>ROUNDUP((T4203+U4203+2*'Read Me'!$B$13)*(1+'Read Me'!$B$12),-1)</f>
        <v/>
      </c>
      <c r="W4203" s="15">
        <f>V4203*N4203*O4203</f>
        <v/>
      </c>
      <c r="X4203" s="12">
        <f>IF(LEFT(I4203,2)="MV",2*N4203*IF(L4203="1/C",O4203,1),0)</f>
        <v/>
      </c>
      <c r="Y4203" s="12">
        <f>IF(OR(LEFT(K4203,4)="LVAX",LEFT(K4203,6)="MV15AX",LEFT(K4203,4)="CTAX",LEFT(K4203,2)="W|"),2*N4203*O4203,0)</f>
        <v/>
      </c>
      <c r="Z4203" s="12" t="inlineStr"/>
      <c r="AA4203" s="12">
        <f>N4203*O4203</f>
        <v/>
      </c>
    </row>
    <row r="4204">
      <c r="A4204" s="12" t="inlineStr">
        <is>
          <t>I-C-0111</t>
        </is>
      </c>
      <c r="B4204" s="12" t="inlineStr">
        <is>
          <t>I</t>
        </is>
      </c>
      <c r="C4204" s="12" t="inlineStr">
        <is>
          <t>Modular / portable power</t>
        </is>
      </c>
      <c r="D4204" s="12" t="inlineStr">
        <is>
          <t>Motor 3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5" t="n">
        <v>550</v>
      </c>
      <c r="U4204" s="15" t="n">
        <v>53</v>
      </c>
      <c r="V4204" s="15">
        <f>ROUNDUP((T4204+U4204+2*'Read Me'!$B$13)*(1+'Read Me'!$B$12),-1)</f>
        <v/>
      </c>
      <c r="W4204" s="15">
        <f>V4204*N4204*O4204</f>
        <v/>
      </c>
      <c r="X4204" s="12">
        <f>IF(LEFT(I4204,2)="MV",2*N4204*IF(L4204="1/C",O4204,1),0)</f>
        <v/>
      </c>
      <c r="Y4204" s="12">
        <f>IF(OR(LEFT(K4204,4)="LVAX",LEFT(K4204,6)="MV15AX",LEFT(K4204,4)="CTAX",LEFT(K4204,2)="W|"),2*N4204*O4204,0)</f>
        <v/>
      </c>
      <c r="Z4204" s="12" t="inlineStr"/>
      <c r="AA4204" s="12">
        <f>N4204*O4204</f>
        <v/>
      </c>
    </row>
    <row r="4205">
      <c r="A4205" s="12" t="inlineStr">
        <is>
          <t>I-C-0112</t>
        </is>
      </c>
      <c r="B4205" s="12" t="inlineStr">
        <is>
          <t>I</t>
        </is>
      </c>
      <c r="C4205" s="12" t="inlineStr">
        <is>
          <t>Modular / portable power</t>
        </is>
      </c>
      <c r="D4205" s="12" t="inlineStr">
        <is>
          <t>Motor 4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5" t="n">
        <v>550</v>
      </c>
      <c r="U4205" s="15" t="n">
        <v>53</v>
      </c>
      <c r="V4205" s="15">
        <f>ROUNDUP((T4205+U4205+2*'Read Me'!$B$13)*(1+'Read Me'!$B$12),-1)</f>
        <v/>
      </c>
      <c r="W4205" s="15">
        <f>V4205*N4205*O4205</f>
        <v/>
      </c>
      <c r="X4205" s="12">
        <f>IF(LEFT(I4205,2)="MV",2*N4205*IF(L4205="1/C",O4205,1),0)</f>
        <v/>
      </c>
      <c r="Y4205" s="12">
        <f>IF(OR(LEFT(K4205,4)="LVAX",LEFT(K4205,6)="MV15AX",LEFT(K4205,4)="CTAX",LEFT(K4205,2)="W|"),2*N4205*O4205,0)</f>
        <v/>
      </c>
      <c r="Z4205" s="12" t="inlineStr"/>
      <c r="AA4205" s="12">
        <f>N4205*O4205</f>
        <v/>
      </c>
    </row>
    <row r="4206">
      <c r="A4206" s="12" t="inlineStr">
        <is>
          <t>I-C-0113</t>
        </is>
      </c>
      <c r="B4206" s="12" t="inlineStr">
        <is>
          <t>I</t>
        </is>
      </c>
      <c r="C4206" s="12" t="inlineStr">
        <is>
          <t>Modular / portable power</t>
        </is>
      </c>
      <c r="D4206" s="12" t="inlineStr">
        <is>
          <t>Motor 5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5" t="n">
        <v>550</v>
      </c>
      <c r="U4206" s="15" t="n">
        <v>53</v>
      </c>
      <c r="V4206" s="15">
        <f>ROUNDUP((T4206+U4206+2*'Read Me'!$B$13)*(1+'Read Me'!$B$12),-1)</f>
        <v/>
      </c>
      <c r="W4206" s="15">
        <f>V4206*N4206*O4206</f>
        <v/>
      </c>
      <c r="X4206" s="12">
        <f>IF(LEFT(I4206,2)="MV",2*N4206*IF(L4206="1/C",O4206,1),0)</f>
        <v/>
      </c>
      <c r="Y4206" s="12">
        <f>IF(OR(LEFT(K4206,4)="LVAX",LEFT(K4206,6)="MV15AX",LEFT(K4206,4)="CTAX",LEFT(K4206,2)="W|"),2*N4206*O4206,0)</f>
        <v/>
      </c>
      <c r="Z4206" s="12" t="inlineStr"/>
      <c r="AA4206" s="12">
        <f>N4206*O4206</f>
        <v/>
      </c>
    </row>
    <row r="4207">
      <c r="A4207" s="12" t="inlineStr">
        <is>
          <t>I-C-0114</t>
        </is>
      </c>
      <c r="B4207" s="12" t="inlineStr">
        <is>
          <t>I</t>
        </is>
      </c>
      <c r="C4207" s="12" t="inlineStr">
        <is>
          <t>Modular / portable power</t>
        </is>
      </c>
      <c r="D4207" s="12" t="inlineStr">
        <is>
          <t>Motor 6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5" t="n">
        <v>550</v>
      </c>
      <c r="U4207" s="15" t="n">
        <v>53</v>
      </c>
      <c r="V4207" s="15">
        <f>ROUNDUP((T4207+U4207+2*'Read Me'!$B$13)*(1+'Read Me'!$B$12),-1)</f>
        <v/>
      </c>
      <c r="W4207" s="15">
        <f>V4207*N4207*O4207</f>
        <v/>
      </c>
      <c r="X4207" s="12">
        <f>IF(LEFT(I4207,2)="MV",2*N4207*IF(L4207="1/C",O4207,1),0)</f>
        <v/>
      </c>
      <c r="Y4207" s="12">
        <f>IF(OR(LEFT(K4207,4)="LVAX",LEFT(K4207,6)="MV15AX",LEFT(K4207,4)="CTAX",LEFT(K4207,2)="W|"),2*N4207*O4207,0)</f>
        <v/>
      </c>
      <c r="Z4207" s="12" t="inlineStr"/>
      <c r="AA4207" s="12">
        <f>N4207*O4207</f>
        <v/>
      </c>
    </row>
    <row r="4208">
      <c r="A4208" s="12" t="inlineStr">
        <is>
          <t>I-C-0115</t>
        </is>
      </c>
      <c r="B4208" s="12" t="inlineStr">
        <is>
          <t>I</t>
        </is>
      </c>
      <c r="C4208" s="12" t="inlineStr">
        <is>
          <t>Modular / portable power</t>
        </is>
      </c>
      <c r="D4208" s="12" t="inlineStr">
        <is>
          <t>Motor 1 of 6: control / local station</t>
        </is>
      </c>
      <c r="E4208" s="12" t="inlineStr"/>
      <c r="F4208" s="12" t="inlineStr">
        <is>
          <t>PCM: power control module</t>
        </is>
      </c>
      <c r="G4208" s="12" t="inlineStr">
        <is>
          <t>RICE-5</t>
        </is>
      </c>
      <c r="H4208" s="12" t="inlineStr">
        <is>
          <t>RICE engine-generator 5</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5" t="n">
        <v>367</v>
      </c>
      <c r="U4208" s="15" t="n">
        <v>208</v>
      </c>
      <c r="V4208" s="15">
        <f>ROUNDUP((T4208+U4208+2*'Read Me'!$B$13)*(1+'Read Me'!$B$12),-1)</f>
        <v/>
      </c>
      <c r="W4208" s="15">
        <f>V4208*N4208*O4208</f>
        <v/>
      </c>
      <c r="X4208" s="12">
        <f>IF(LEFT(I4208,2)="MV",2*N4208*IF(L4208="1/C",O4208,1),0)</f>
        <v/>
      </c>
      <c r="Y4208" s="12">
        <f>IF(OR(LEFT(K4208,4)="LVAX",LEFT(K4208,6)="MV15AX",LEFT(K4208,4)="CTAX",LEFT(K4208,2)="W|"),2*N4208*O4208,0)</f>
        <v/>
      </c>
      <c r="Z4208" s="12" t="inlineStr"/>
      <c r="AA4208" s="12">
        <f>N4208*O4208</f>
        <v/>
      </c>
    </row>
    <row r="4209">
      <c r="A4209" s="12" t="inlineStr">
        <is>
          <t>I-C-0116</t>
        </is>
      </c>
      <c r="B4209" s="12" t="inlineStr">
        <is>
          <t>I</t>
        </is>
      </c>
      <c r="C4209" s="12" t="inlineStr">
        <is>
          <t>Modular / portable power</t>
        </is>
      </c>
      <c r="D4209" s="12" t="inlineStr">
        <is>
          <t>Motor 2 of 6: control / local station</t>
        </is>
      </c>
      <c r="E4209" s="12" t="inlineStr"/>
      <c r="F4209" s="12" t="inlineStr">
        <is>
          <t>PCM: power control module</t>
        </is>
      </c>
      <c r="G4209" s="12" t="inlineStr">
        <is>
          <t>RICE-5</t>
        </is>
      </c>
      <c r="H4209" s="12" t="inlineStr">
        <is>
          <t>RICE engine-generator 5</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5" t="n">
        <v>367</v>
      </c>
      <c r="U4209" s="15" t="n">
        <v>208</v>
      </c>
      <c r="V4209" s="15">
        <f>ROUNDUP((T4209+U4209+2*'Read Me'!$B$13)*(1+'Read Me'!$B$12),-1)</f>
        <v/>
      </c>
      <c r="W4209" s="15">
        <f>V4209*N4209*O4209</f>
        <v/>
      </c>
      <c r="X4209" s="12">
        <f>IF(LEFT(I4209,2)="MV",2*N4209*IF(L4209="1/C",O4209,1),0)</f>
        <v/>
      </c>
      <c r="Y4209" s="12">
        <f>IF(OR(LEFT(K4209,4)="LVAX",LEFT(K4209,6)="MV15AX",LEFT(K4209,4)="CTAX",LEFT(K4209,2)="W|"),2*N4209*O4209,0)</f>
        <v/>
      </c>
      <c r="Z4209" s="12" t="inlineStr"/>
      <c r="AA4209" s="12">
        <f>N4209*O4209</f>
        <v/>
      </c>
    </row>
    <row r="4210">
      <c r="A4210" s="12" t="inlineStr">
        <is>
          <t>I-C-0117</t>
        </is>
      </c>
      <c r="B4210" s="12" t="inlineStr">
        <is>
          <t>I</t>
        </is>
      </c>
      <c r="C4210" s="12" t="inlineStr">
        <is>
          <t>Modular / portable power</t>
        </is>
      </c>
      <c r="D4210" s="12" t="inlineStr">
        <is>
          <t>Motor 3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5" t="n">
        <v>367</v>
      </c>
      <c r="U4210" s="15" t="n">
        <v>208</v>
      </c>
      <c r="V4210" s="15">
        <f>ROUNDUP((T4210+U4210+2*'Read Me'!$B$13)*(1+'Read Me'!$B$12),-1)</f>
        <v/>
      </c>
      <c r="W4210" s="15">
        <f>V4210*N4210*O4210</f>
        <v/>
      </c>
      <c r="X4210" s="12">
        <f>IF(LEFT(I4210,2)="MV",2*N4210*IF(L4210="1/C",O4210,1),0)</f>
        <v/>
      </c>
      <c r="Y4210" s="12">
        <f>IF(OR(LEFT(K4210,4)="LVAX",LEFT(K4210,6)="MV15AX",LEFT(K4210,4)="CTAX",LEFT(K4210,2)="W|"),2*N4210*O4210,0)</f>
        <v/>
      </c>
      <c r="Z4210" s="12" t="inlineStr"/>
      <c r="AA4210" s="12">
        <f>N4210*O4210</f>
        <v/>
      </c>
    </row>
    <row r="4211">
      <c r="A4211" s="12" t="inlineStr">
        <is>
          <t>I-C-0118</t>
        </is>
      </c>
      <c r="B4211" s="12" t="inlineStr">
        <is>
          <t>I</t>
        </is>
      </c>
      <c r="C4211" s="12" t="inlineStr">
        <is>
          <t>Modular / portable power</t>
        </is>
      </c>
      <c r="D4211" s="12" t="inlineStr">
        <is>
          <t>Motor 4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5" t="n">
        <v>367</v>
      </c>
      <c r="U4211" s="15" t="n">
        <v>208</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I-C-0119</t>
        </is>
      </c>
      <c r="B4212" s="12" t="inlineStr">
        <is>
          <t>I</t>
        </is>
      </c>
      <c r="C4212" s="12" t="inlineStr">
        <is>
          <t>Modular / portable power</t>
        </is>
      </c>
      <c r="D4212" s="12" t="inlineStr">
        <is>
          <t>Motor 5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5" t="n">
        <v>367</v>
      </c>
      <c r="U4212" s="15" t="n">
        <v>208</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I-C-0120</t>
        </is>
      </c>
      <c r="B4213" s="12" t="inlineStr">
        <is>
          <t>I</t>
        </is>
      </c>
      <c r="C4213" s="12" t="inlineStr">
        <is>
          <t>Modular / portable power</t>
        </is>
      </c>
      <c r="D4213" s="12" t="inlineStr">
        <is>
          <t>Motor 6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5" t="n">
        <v>367</v>
      </c>
      <c r="U4213" s="15" t="n">
        <v>208</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I-C-0121</t>
        </is>
      </c>
      <c r="B4214" s="12" t="inlineStr">
        <is>
          <t>I</t>
        </is>
      </c>
      <c r="C4214" s="12" t="inlineStr">
        <is>
          <t>Modular / portable power</t>
        </is>
      </c>
      <c r="D4214" s="12" t="inlineStr">
        <is>
          <t>Motor 1 of 6: control / local station</t>
        </is>
      </c>
      <c r="E4214" s="12" t="inlineStr"/>
      <c r="F4214" s="12" t="inlineStr">
        <is>
          <t>PCM: power control module</t>
        </is>
      </c>
      <c r="G4214" s="12" t="inlineStr">
        <is>
          <t>RICE-6</t>
        </is>
      </c>
      <c r="H4214" s="12" t="inlineStr">
        <is>
          <t>RICE engine-generator 6</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5" t="n">
        <v>367</v>
      </c>
      <c r="U4214" s="15" t="n">
        <v>180</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I-C-0122</t>
        </is>
      </c>
      <c r="B4215" s="12" t="inlineStr">
        <is>
          <t>I</t>
        </is>
      </c>
      <c r="C4215" s="12" t="inlineStr">
        <is>
          <t>Modular / portable power</t>
        </is>
      </c>
      <c r="D4215" s="12" t="inlineStr">
        <is>
          <t>Motor 2 of 6: control / local station</t>
        </is>
      </c>
      <c r="E4215" s="12" t="inlineStr"/>
      <c r="F4215" s="12" t="inlineStr">
        <is>
          <t>PCM: power control module</t>
        </is>
      </c>
      <c r="G4215" s="12" t="inlineStr">
        <is>
          <t>RICE-6</t>
        </is>
      </c>
      <c r="H4215" s="12" t="inlineStr">
        <is>
          <t>RICE engine-generator 6</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5" t="n">
        <v>367</v>
      </c>
      <c r="U4215" s="15" t="n">
        <v>180</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I-C-0123</t>
        </is>
      </c>
      <c r="B4216" s="12" t="inlineStr">
        <is>
          <t>I</t>
        </is>
      </c>
      <c r="C4216" s="12" t="inlineStr">
        <is>
          <t>Modular / portable power</t>
        </is>
      </c>
      <c r="D4216" s="12" t="inlineStr">
        <is>
          <t>Motor 3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5" t="n">
        <v>367</v>
      </c>
      <c r="U4216" s="15" t="n">
        <v>180</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I-C-0124</t>
        </is>
      </c>
      <c r="B4217" s="12" t="inlineStr">
        <is>
          <t>I</t>
        </is>
      </c>
      <c r="C4217" s="12" t="inlineStr">
        <is>
          <t>Modular / portable power</t>
        </is>
      </c>
      <c r="D4217" s="12" t="inlineStr">
        <is>
          <t>Motor 4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5" t="n">
        <v>367</v>
      </c>
      <c r="U4217" s="15" t="n">
        <v>180</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I-C-0125</t>
        </is>
      </c>
      <c r="B4218" s="12" t="inlineStr">
        <is>
          <t>I</t>
        </is>
      </c>
      <c r="C4218" s="12" t="inlineStr">
        <is>
          <t>Modular / portable power</t>
        </is>
      </c>
      <c r="D4218" s="12" t="inlineStr">
        <is>
          <t>Motor 5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5" t="n">
        <v>367</v>
      </c>
      <c r="U4218" s="15" t="n">
        <v>180</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I-C-0126</t>
        </is>
      </c>
      <c r="B4219" s="12" t="inlineStr">
        <is>
          <t>I</t>
        </is>
      </c>
      <c r="C4219" s="12" t="inlineStr">
        <is>
          <t>Modular / portable power</t>
        </is>
      </c>
      <c r="D4219" s="12" t="inlineStr">
        <is>
          <t>Motor 6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5" t="n">
        <v>367</v>
      </c>
      <c r="U4219" s="15" t="n">
        <v>180</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I-C-0127</t>
        </is>
      </c>
      <c r="B4220" s="12" t="inlineStr">
        <is>
          <t>I</t>
        </is>
      </c>
      <c r="C4220" s="12" t="inlineStr">
        <is>
          <t>Modular / portable power</t>
        </is>
      </c>
      <c r="D4220" s="12" t="inlineStr">
        <is>
          <t>Motor 1 of 6: control / local station</t>
        </is>
      </c>
      <c r="E4220" s="12" t="inlineStr"/>
      <c r="F4220" s="12" t="inlineStr">
        <is>
          <t>PCM: power control module</t>
        </is>
      </c>
      <c r="G4220" s="12" t="inlineStr">
        <is>
          <t>RICE-7</t>
        </is>
      </c>
      <c r="H4220" s="12" t="inlineStr">
        <is>
          <t>RICE engine-generator 7</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Tray</t>
        </is>
      </c>
      <c r="T4220" s="15" t="n">
        <v>0</v>
      </c>
      <c r="U4220" s="15" t="n">
        <v>189</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I-C-0128</t>
        </is>
      </c>
      <c r="B4221" s="12" t="inlineStr">
        <is>
          <t>I</t>
        </is>
      </c>
      <c r="C4221" s="12" t="inlineStr">
        <is>
          <t>Modular / portable power</t>
        </is>
      </c>
      <c r="D4221" s="12" t="inlineStr">
        <is>
          <t>Motor 2 of 6: control / local station</t>
        </is>
      </c>
      <c r="E4221" s="12" t="inlineStr"/>
      <c r="F4221" s="12" t="inlineStr">
        <is>
          <t>PCM: power control module</t>
        </is>
      </c>
      <c r="G4221" s="12" t="inlineStr">
        <is>
          <t>RICE-7</t>
        </is>
      </c>
      <c r="H4221" s="12" t="inlineStr">
        <is>
          <t>RICE engine-generator 7</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Tray</t>
        </is>
      </c>
      <c r="T4221" s="15" t="n">
        <v>0</v>
      </c>
      <c r="U4221" s="15" t="n">
        <v>189</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I-C-0129</t>
        </is>
      </c>
      <c r="B4222" s="12" t="inlineStr">
        <is>
          <t>I</t>
        </is>
      </c>
      <c r="C4222" s="12" t="inlineStr">
        <is>
          <t>Modular / portable power</t>
        </is>
      </c>
      <c r="D4222" s="12" t="inlineStr">
        <is>
          <t>Motor 3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5" t="n">
        <v>0</v>
      </c>
      <c r="U4222" s="15" t="n">
        <v>189</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I-C-0130</t>
        </is>
      </c>
      <c r="B4223" s="12" t="inlineStr">
        <is>
          <t>I</t>
        </is>
      </c>
      <c r="C4223" s="12" t="inlineStr">
        <is>
          <t>Modular / portable power</t>
        </is>
      </c>
      <c r="D4223" s="12" t="inlineStr">
        <is>
          <t>Motor 4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5" t="n">
        <v>0</v>
      </c>
      <c r="U4223" s="15" t="n">
        <v>189</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I-C-0131</t>
        </is>
      </c>
      <c r="B4224" s="12" t="inlineStr">
        <is>
          <t>I</t>
        </is>
      </c>
      <c r="C4224" s="12" t="inlineStr">
        <is>
          <t>Modular / portable power</t>
        </is>
      </c>
      <c r="D4224" s="12" t="inlineStr">
        <is>
          <t>Motor 5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5" t="n">
        <v>0</v>
      </c>
      <c r="U4224" s="15" t="n">
        <v>189</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I-C-0132</t>
        </is>
      </c>
      <c r="B4225" s="12" t="inlineStr">
        <is>
          <t>I</t>
        </is>
      </c>
      <c r="C4225" s="12" t="inlineStr">
        <is>
          <t>Modular / portable power</t>
        </is>
      </c>
      <c r="D4225" s="12" t="inlineStr">
        <is>
          <t>Motor 6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5" t="n">
        <v>0</v>
      </c>
      <c r="U4225" s="15" t="n">
        <v>189</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I-C-0133</t>
        </is>
      </c>
      <c r="B4226" s="12" t="inlineStr">
        <is>
          <t>I</t>
        </is>
      </c>
      <c r="C4226" s="12" t="inlineStr">
        <is>
          <t>Modular / portable power</t>
        </is>
      </c>
      <c r="D4226" s="12" t="inlineStr">
        <is>
          <t>Motor 1 of 6: control / local station</t>
        </is>
      </c>
      <c r="E4226" s="12" t="inlineStr"/>
      <c r="F4226" s="12" t="inlineStr">
        <is>
          <t>PCM: power control module</t>
        </is>
      </c>
      <c r="G4226" s="12" t="inlineStr">
        <is>
          <t>RICE-8</t>
        </is>
      </c>
      <c r="H4226" s="12" t="inlineStr">
        <is>
          <t>RICE engine-generator 8</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5" t="n">
        <v>0</v>
      </c>
      <c r="U4226" s="15" t="n">
        <v>161</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I-C-0134</t>
        </is>
      </c>
      <c r="B4227" s="12" t="inlineStr">
        <is>
          <t>I</t>
        </is>
      </c>
      <c r="C4227" s="12" t="inlineStr">
        <is>
          <t>Modular / portable power</t>
        </is>
      </c>
      <c r="D4227" s="12" t="inlineStr">
        <is>
          <t>Motor 2 of 6: control / local station</t>
        </is>
      </c>
      <c r="E4227" s="12" t="inlineStr"/>
      <c r="F4227" s="12" t="inlineStr">
        <is>
          <t>PCM: power control module</t>
        </is>
      </c>
      <c r="G4227" s="12" t="inlineStr">
        <is>
          <t>RICE-8</t>
        </is>
      </c>
      <c r="H4227" s="12" t="inlineStr">
        <is>
          <t>RICE engine-generator 8</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5" t="n">
        <v>0</v>
      </c>
      <c r="U4227" s="15" t="n">
        <v>161</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I-C-0135</t>
        </is>
      </c>
      <c r="B4228" s="12" t="inlineStr">
        <is>
          <t>I</t>
        </is>
      </c>
      <c r="C4228" s="12" t="inlineStr">
        <is>
          <t>Modular / portable power</t>
        </is>
      </c>
      <c r="D4228" s="12" t="inlineStr">
        <is>
          <t>Motor 3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5" t="n">
        <v>0</v>
      </c>
      <c r="U4228" s="15" t="n">
        <v>161</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I-C-0136</t>
        </is>
      </c>
      <c r="B4229" s="12" t="inlineStr">
        <is>
          <t>I</t>
        </is>
      </c>
      <c r="C4229" s="12" t="inlineStr">
        <is>
          <t>Modular / portable power</t>
        </is>
      </c>
      <c r="D4229" s="12" t="inlineStr">
        <is>
          <t>Motor 4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5" t="n">
        <v>0</v>
      </c>
      <c r="U4229" s="15" t="n">
        <v>161</v>
      </c>
      <c r="V4229" s="15">
        <f>ROUNDUP((T4229+U4229+2*'Read Me'!$B$13)*(1+'Read Me'!$B$12),-1)</f>
        <v/>
      </c>
      <c r="W4229" s="15">
        <f>V4229*N4229*O4229</f>
        <v/>
      </c>
      <c r="X4229" s="12">
        <f>IF(LEFT(I4229,2)="MV",2*N4229*IF(L4229="1/C",O4229,1),0)</f>
        <v/>
      </c>
      <c r="Y4229" s="12">
        <f>IF(OR(LEFT(K4229,4)="LVAX",LEFT(K4229,6)="MV15AX",LEFT(K4229,4)="CTAX",LEFT(K4229,2)="W|"),2*N4229*O4229,0)</f>
        <v/>
      </c>
      <c r="Z4229" s="12" t="inlineStr"/>
      <c r="AA4229" s="12">
        <f>N4229*O4229</f>
        <v/>
      </c>
    </row>
    <row r="4230">
      <c r="A4230" s="12" t="inlineStr">
        <is>
          <t>I-C-0137</t>
        </is>
      </c>
      <c r="B4230" s="12" t="inlineStr">
        <is>
          <t>I</t>
        </is>
      </c>
      <c r="C4230" s="12" t="inlineStr">
        <is>
          <t>Modular / portable power</t>
        </is>
      </c>
      <c r="D4230" s="12" t="inlineStr">
        <is>
          <t>Motor 5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5" t="n">
        <v>0</v>
      </c>
      <c r="U4230" s="15" t="n">
        <v>161</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I-C-0138</t>
        </is>
      </c>
      <c r="B4231" s="12" t="inlineStr">
        <is>
          <t>I</t>
        </is>
      </c>
      <c r="C4231" s="12" t="inlineStr">
        <is>
          <t>Modular / portable power</t>
        </is>
      </c>
      <c r="D4231" s="12" t="inlineStr">
        <is>
          <t>Motor 6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5" t="n">
        <v>0</v>
      </c>
      <c r="U4231" s="15" t="n">
        <v>161</v>
      </c>
      <c r="V4231" s="15">
        <f>ROUNDUP((T4231+U4231+2*'Read Me'!$B$13)*(1+'Read Me'!$B$12),-1)</f>
        <v/>
      </c>
      <c r="W4231" s="15">
        <f>V4231*N4231*O4231</f>
        <v/>
      </c>
      <c r="X4231" s="12">
        <f>IF(LEFT(I4231,2)="MV",2*N4231*IF(L4231="1/C",O4231,1),0)</f>
        <v/>
      </c>
      <c r="Y4231" s="12">
        <f>IF(OR(LEFT(K4231,4)="LVAX",LEFT(K4231,6)="MV15AX",LEFT(K4231,4)="CTAX",LEFT(K4231,2)="W|"),2*N4231*O4231,0)</f>
        <v/>
      </c>
      <c r="Z4231" s="12" t="inlineStr"/>
      <c r="AA4231" s="12">
        <f>N4231*O4231</f>
        <v/>
      </c>
    </row>
    <row r="4232">
      <c r="A4232" s="12" t="inlineStr">
        <is>
          <t>I-C-0139</t>
        </is>
      </c>
      <c r="B4232" s="12" t="inlineStr">
        <is>
          <t>I</t>
        </is>
      </c>
      <c r="C4232" s="12" t="inlineStr">
        <is>
          <t>Modular / portable power</t>
        </is>
      </c>
      <c r="D4232" s="12" t="inlineStr">
        <is>
          <t>Control</t>
        </is>
      </c>
      <c r="E4232" s="12" t="inlineStr"/>
      <c r="F4232" s="12" t="inlineStr">
        <is>
          <t>PCM: power control module</t>
        </is>
      </c>
      <c r="G4232" s="12" t="inlineStr"/>
      <c r="H4232" s="12" t="inlineStr">
        <is>
          <t>Reagent storage</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5" t="n">
        <v>32</v>
      </c>
      <c r="U4232" s="15" t="n">
        <v>32</v>
      </c>
      <c r="V4232" s="15">
        <f>ROUNDUP((T4232+U4232+2*'Read Me'!$B$13)*(1+'Read Me'!$B$12),-1)</f>
        <v/>
      </c>
      <c r="W4232" s="15">
        <f>V4232*N4232*O4232</f>
        <v/>
      </c>
      <c r="X4232" s="12">
        <f>IF(LEFT(I4232,2)="MV",2*N4232*IF(L4232="1/C",O4232,1),0)</f>
        <v/>
      </c>
      <c r="Y4232" s="12">
        <f>IF(OR(LEFT(K4232,4)="LVAX",LEFT(K4232,6)="MV15AX",LEFT(K4232,4)="CTAX",LEFT(K4232,2)="W|"),2*N4232*O4232,0)</f>
        <v/>
      </c>
      <c r="Z4232" s="12" t="inlineStr"/>
      <c r="AA4232" s="12">
        <f>N4232*O4232</f>
        <v/>
      </c>
    </row>
    <row r="4233">
      <c r="A4233" s="12" t="inlineStr">
        <is>
          <t>I-C-0140</t>
        </is>
      </c>
      <c r="B4233" s="12" t="inlineStr">
        <is>
          <t>I</t>
        </is>
      </c>
      <c r="C4233" s="12" t="inlineStr">
        <is>
          <t>Modular / portable power</t>
        </is>
      </c>
      <c r="D4233" s="12" t="inlineStr">
        <is>
          <t>Motor 1 of 2: control / local station</t>
        </is>
      </c>
      <c r="E4233" s="12" t="inlineStr"/>
      <c r="F4233" s="12" t="inlineStr">
        <is>
          <t>PCM: power control module</t>
        </is>
      </c>
      <c r="G4233" s="12" t="inlineStr"/>
      <c r="H4233" s="12" t="inlineStr">
        <is>
          <t>SC-1 SCR / CO catalyst</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5" t="n">
        <v>214</v>
      </c>
      <c r="U4233" s="15" t="n">
        <v>97</v>
      </c>
      <c r="V4233" s="15">
        <f>ROUNDUP((T4233+U4233+2*'Read Me'!$B$13)*(1+'Read Me'!$B$12),-1)</f>
        <v/>
      </c>
      <c r="W4233" s="15">
        <f>V4233*N4233*O4233</f>
        <v/>
      </c>
      <c r="X4233" s="12">
        <f>IF(LEFT(I4233,2)="MV",2*N4233*IF(L4233="1/C",O4233,1),0)</f>
        <v/>
      </c>
      <c r="Y4233" s="12">
        <f>IF(OR(LEFT(K4233,4)="LVAX",LEFT(K4233,6)="MV15AX",LEFT(K4233,4)="CTAX",LEFT(K4233,2)="W|"),2*N4233*O4233,0)</f>
        <v/>
      </c>
      <c r="Z4233" s="12" t="inlineStr"/>
      <c r="AA4233" s="12">
        <f>N4233*O4233</f>
        <v/>
      </c>
    </row>
    <row r="4234">
      <c r="A4234" s="12" t="inlineStr">
        <is>
          <t>I-C-0141</t>
        </is>
      </c>
      <c r="B4234" s="12" t="inlineStr">
        <is>
          <t>I</t>
        </is>
      </c>
      <c r="C4234" s="12" t="inlineStr">
        <is>
          <t>Modular / portable power</t>
        </is>
      </c>
      <c r="D4234" s="12" t="inlineStr">
        <is>
          <t>Motor 2 of 2: control / local station</t>
        </is>
      </c>
      <c r="E4234" s="12" t="inlineStr"/>
      <c r="F4234" s="12" t="inlineStr">
        <is>
          <t>PCM: power control module</t>
        </is>
      </c>
      <c r="G4234" s="12" t="inlineStr"/>
      <c r="H4234" s="12" t="inlineStr">
        <is>
          <t>SC-1 SCR / CO catalyst</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5" t="n">
        <v>214</v>
      </c>
      <c r="U4234" s="15" t="n">
        <v>97</v>
      </c>
      <c r="V4234" s="15">
        <f>ROUNDUP((T4234+U4234+2*'Read Me'!$B$13)*(1+'Read Me'!$B$12),-1)</f>
        <v/>
      </c>
      <c r="W4234" s="15">
        <f>V4234*N4234*O4234</f>
        <v/>
      </c>
      <c r="X4234" s="12">
        <f>IF(LEFT(I4234,2)="MV",2*N4234*IF(L4234="1/C",O4234,1),0)</f>
        <v/>
      </c>
      <c r="Y4234" s="12">
        <f>IF(OR(LEFT(K4234,4)="LVAX",LEFT(K4234,6)="MV15AX",LEFT(K4234,4)="CTAX",LEFT(K4234,2)="W|"),2*N4234*O4234,0)</f>
        <v/>
      </c>
      <c r="Z4234" s="12" t="inlineStr"/>
      <c r="AA4234" s="12">
        <f>N4234*O4234</f>
        <v/>
      </c>
    </row>
    <row r="4235">
      <c r="A4235" s="12" t="inlineStr">
        <is>
          <t>I-C-0142</t>
        </is>
      </c>
      <c r="B4235" s="12" t="inlineStr">
        <is>
          <t>I</t>
        </is>
      </c>
      <c r="C4235" s="12" t="inlineStr">
        <is>
          <t>Modular / portable power</t>
        </is>
      </c>
      <c r="D4235" s="12" t="inlineStr">
        <is>
          <t>Motor 1 of 4: control / local station</t>
        </is>
      </c>
      <c r="E4235" s="12" t="inlineStr"/>
      <c r="F4235" s="12" t="inlineStr">
        <is>
          <t>PCM: power control module</t>
        </is>
      </c>
      <c r="G4235" s="12" t="inlineStr"/>
      <c r="H4235" s="12" t="inlineStr">
        <is>
          <t>SC-1 lube-oil fin-fan cooler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5" t="n">
        <v>172</v>
      </c>
      <c r="U4235" s="15" t="n">
        <v>58</v>
      </c>
      <c r="V4235" s="15">
        <f>ROUNDUP((T4235+U4235+2*'Read Me'!$B$13)*(1+'Read Me'!$B$12),-1)</f>
        <v/>
      </c>
      <c r="W4235" s="15">
        <f>V4235*N4235*O4235</f>
        <v/>
      </c>
      <c r="X4235" s="12">
        <f>IF(LEFT(I4235,2)="MV",2*N4235*IF(L4235="1/C",O4235,1),0)</f>
        <v/>
      </c>
      <c r="Y4235" s="12">
        <f>IF(OR(LEFT(K4235,4)="LVAX",LEFT(K4235,6)="MV15AX",LEFT(K4235,4)="CTAX",LEFT(K4235,2)="W|"),2*N4235*O4235,0)</f>
        <v/>
      </c>
      <c r="Z4235" s="12" t="inlineStr"/>
      <c r="AA4235" s="12">
        <f>N4235*O4235</f>
        <v/>
      </c>
    </row>
    <row r="4236">
      <c r="A4236" s="12" t="inlineStr">
        <is>
          <t>I-C-0143</t>
        </is>
      </c>
      <c r="B4236" s="12" t="inlineStr">
        <is>
          <t>I</t>
        </is>
      </c>
      <c r="C4236" s="12" t="inlineStr">
        <is>
          <t>Modular / portable power</t>
        </is>
      </c>
      <c r="D4236" s="12" t="inlineStr">
        <is>
          <t>Motor 2 of 4: control / local station</t>
        </is>
      </c>
      <c r="E4236" s="12" t="inlineStr"/>
      <c r="F4236" s="12" t="inlineStr">
        <is>
          <t>PCM: power control module</t>
        </is>
      </c>
      <c r="G4236" s="12" t="inlineStr"/>
      <c r="H4236" s="12" t="inlineStr">
        <is>
          <t>SC-1 lube-oil fin-fan cooler</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5" t="n">
        <v>172</v>
      </c>
      <c r="U4236" s="15" t="n">
        <v>58</v>
      </c>
      <c r="V4236" s="15">
        <f>ROUNDUP((T4236+U4236+2*'Read Me'!$B$13)*(1+'Read Me'!$B$12),-1)</f>
        <v/>
      </c>
      <c r="W4236" s="15">
        <f>V4236*N4236*O4236</f>
        <v/>
      </c>
      <c r="X4236" s="12">
        <f>IF(LEFT(I4236,2)="MV",2*N4236*IF(L4236="1/C",O4236,1),0)</f>
        <v/>
      </c>
      <c r="Y4236" s="12">
        <f>IF(OR(LEFT(K4236,4)="LVAX",LEFT(K4236,6)="MV15AX",LEFT(K4236,4)="CTAX",LEFT(K4236,2)="W|"),2*N4236*O4236,0)</f>
        <v/>
      </c>
      <c r="Z4236" s="12" t="inlineStr"/>
      <c r="AA4236" s="12">
        <f>N4236*O4236</f>
        <v/>
      </c>
    </row>
    <row r="4237">
      <c r="A4237" s="12" t="inlineStr">
        <is>
          <t>I-C-0144</t>
        </is>
      </c>
      <c r="B4237" s="12" t="inlineStr">
        <is>
          <t>I</t>
        </is>
      </c>
      <c r="C4237" s="12" t="inlineStr">
        <is>
          <t>Modular / portable power</t>
        </is>
      </c>
      <c r="D4237" s="12" t="inlineStr">
        <is>
          <t>Motor 3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5" t="n">
        <v>172</v>
      </c>
      <c r="U4237" s="15" t="n">
        <v>58</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I-C-0145</t>
        </is>
      </c>
      <c r="B4238" s="12" t="inlineStr">
        <is>
          <t>I</t>
        </is>
      </c>
      <c r="C4238" s="12" t="inlineStr">
        <is>
          <t>Modular / portable power</t>
        </is>
      </c>
      <c r="D4238" s="12" t="inlineStr">
        <is>
          <t>Motor 4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5" t="n">
        <v>172</v>
      </c>
      <c r="U4238" s="15" t="n">
        <v>58</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I-C-0146</t>
        </is>
      </c>
      <c r="B4239" s="12" t="inlineStr">
        <is>
          <t>I</t>
        </is>
      </c>
      <c r="C4239" s="12" t="inlineStr">
        <is>
          <t>Modular / portable power</t>
        </is>
      </c>
      <c r="D4239" s="12" t="inlineStr">
        <is>
          <t>Motor 1 of 10: control / local station</t>
        </is>
      </c>
      <c r="E4239" s="12" t="inlineStr"/>
      <c r="F4239" s="12" t="inlineStr">
        <is>
          <t>PCM: power control module</t>
        </is>
      </c>
      <c r="G4239" s="12" t="inlineStr">
        <is>
          <t>SC-1</t>
        </is>
      </c>
      <c r="H4239" s="12" t="inlineStr">
        <is>
          <t>SC-1: aeroderivative simple-cycle unit (LM6000 class)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40</v>
      </c>
      <c r="U4239" s="15" t="n">
        <v>52</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I-C-0147</t>
        </is>
      </c>
      <c r="B4240" s="12" t="inlineStr">
        <is>
          <t>I</t>
        </is>
      </c>
      <c r="C4240" s="12" t="inlineStr">
        <is>
          <t>Modular / portable power</t>
        </is>
      </c>
      <c r="D4240" s="12" t="inlineStr">
        <is>
          <t>Motor 2 of 10: control / local station</t>
        </is>
      </c>
      <c r="E4240" s="12" t="inlineStr"/>
      <c r="F4240" s="12" t="inlineStr">
        <is>
          <t>PCM: power control module</t>
        </is>
      </c>
      <c r="G4240" s="12" t="inlineStr">
        <is>
          <t>SC-1</t>
        </is>
      </c>
      <c r="H4240" s="12" t="inlineStr">
        <is>
          <t>SC-1: aeroderivative simple-cycle unit (LM6000 class)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40</v>
      </c>
      <c r="U4240" s="15" t="n">
        <v>52</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I-C-0148</t>
        </is>
      </c>
      <c r="B4241" s="12" t="inlineStr">
        <is>
          <t>I</t>
        </is>
      </c>
      <c r="C4241" s="12" t="inlineStr">
        <is>
          <t>Modular / portable power</t>
        </is>
      </c>
      <c r="D4241" s="12" t="inlineStr">
        <is>
          <t>Motor 3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40</v>
      </c>
      <c r="U4241" s="15" t="n">
        <v>52</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I-C-0149</t>
        </is>
      </c>
      <c r="B4242" s="12" t="inlineStr">
        <is>
          <t>I</t>
        </is>
      </c>
      <c r="C4242" s="12" t="inlineStr">
        <is>
          <t>Modular / portable power</t>
        </is>
      </c>
      <c r="D4242" s="12" t="inlineStr">
        <is>
          <t>Motor 4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5" t="n">
        <v>40</v>
      </c>
      <c r="U4242" s="15" t="n">
        <v>52</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I-C-0150</t>
        </is>
      </c>
      <c r="B4243" s="12" t="inlineStr">
        <is>
          <t>I</t>
        </is>
      </c>
      <c r="C4243" s="12" t="inlineStr">
        <is>
          <t>Modular / portable power</t>
        </is>
      </c>
      <c r="D4243" s="12" t="inlineStr">
        <is>
          <t>Motor 5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5" t="n">
        <v>40</v>
      </c>
      <c r="U4243" s="15" t="n">
        <v>52</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I-C-0151</t>
        </is>
      </c>
      <c r="B4244" s="12" t="inlineStr">
        <is>
          <t>I</t>
        </is>
      </c>
      <c r="C4244" s="12" t="inlineStr">
        <is>
          <t>Modular / portable power</t>
        </is>
      </c>
      <c r="D4244" s="12" t="inlineStr">
        <is>
          <t>Motor 6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5" t="n">
        <v>40</v>
      </c>
      <c r="U4244" s="15" t="n">
        <v>52</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I-C-0152</t>
        </is>
      </c>
      <c r="B4245" s="12" t="inlineStr">
        <is>
          <t>I</t>
        </is>
      </c>
      <c r="C4245" s="12" t="inlineStr">
        <is>
          <t>Modular / portable power</t>
        </is>
      </c>
      <c r="D4245" s="12" t="inlineStr">
        <is>
          <t>Motor 7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5" t="n">
        <v>40</v>
      </c>
      <c r="U4245" s="15" t="n">
        <v>52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I-C-0153</t>
        </is>
      </c>
      <c r="B4246" s="12" t="inlineStr">
        <is>
          <t>I</t>
        </is>
      </c>
      <c r="C4246" s="12" t="inlineStr">
        <is>
          <t>Modular / portable power</t>
        </is>
      </c>
      <c r="D4246" s="12" t="inlineStr">
        <is>
          <t>Motor 8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5" t="n">
        <v>40</v>
      </c>
      <c r="U4246" s="15" t="n">
        <v>52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I-C-0154</t>
        </is>
      </c>
      <c r="B4247" s="12" t="inlineStr">
        <is>
          <t>I</t>
        </is>
      </c>
      <c r="C4247" s="12" t="inlineStr">
        <is>
          <t>Modular / portable power</t>
        </is>
      </c>
      <c r="D4247" s="12" t="inlineStr">
        <is>
          <t>Motor 9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5" t="n">
        <v>40</v>
      </c>
      <c r="U4247" s="15" t="n">
        <v>52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I-C-0155</t>
        </is>
      </c>
      <c r="B4248" s="12" t="inlineStr">
        <is>
          <t>I</t>
        </is>
      </c>
      <c r="C4248" s="12" t="inlineStr">
        <is>
          <t>Modular / portable power</t>
        </is>
      </c>
      <c r="D4248" s="12" t="inlineStr">
        <is>
          <t>Motor 10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5" t="n">
        <v>40</v>
      </c>
      <c r="U4248" s="15" t="n">
        <v>52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I-C-0156</t>
        </is>
      </c>
      <c r="B4249" s="12" t="inlineStr">
        <is>
          <t>I</t>
        </is>
      </c>
      <c r="C4249" s="12" t="inlineStr">
        <is>
          <t>Modular / portable power</t>
        </is>
      </c>
      <c r="D4249" s="12" t="inlineStr">
        <is>
          <t>Motor 1 of 2: control / local station</t>
        </is>
      </c>
      <c r="E4249" s="12" t="inlineStr"/>
      <c r="F4249" s="12" t="inlineStr">
        <is>
          <t>MOD-LV 480 V board + 480 V : 13.8 kV step-up</t>
        </is>
      </c>
      <c r="G4249" s="12" t="inlineStr"/>
      <c r="H4249" s="12" t="inlineStr">
        <is>
          <t>SC-2 SCR / CO catalyst</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5" t="n">
        <v>379</v>
      </c>
      <c r="U4249" s="15" t="n">
        <v>122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I-C-0157</t>
        </is>
      </c>
      <c r="B4250" s="12" t="inlineStr">
        <is>
          <t>I</t>
        </is>
      </c>
      <c r="C4250" s="12" t="inlineStr">
        <is>
          <t>Modular / portable power</t>
        </is>
      </c>
      <c r="D4250" s="12" t="inlineStr">
        <is>
          <t>Motor 2 of 2: control / local station</t>
        </is>
      </c>
      <c r="E4250" s="12" t="inlineStr"/>
      <c r="F4250" s="12" t="inlineStr">
        <is>
          <t>MOD-LV 480 V board + 480 V : 13.8 kV step-up</t>
        </is>
      </c>
      <c r="G4250" s="12" t="inlineStr"/>
      <c r="H4250" s="12" t="inlineStr">
        <is>
          <t>SC-2 SCR / CO catalyst</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5" t="n">
        <v>379</v>
      </c>
      <c r="U4250" s="15" t="n">
        <v>122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I-C-0158</t>
        </is>
      </c>
      <c r="B4251" s="12" t="inlineStr">
        <is>
          <t>I</t>
        </is>
      </c>
      <c r="C4251" s="12" t="inlineStr">
        <is>
          <t>Modular / portable power</t>
        </is>
      </c>
      <c r="D4251" s="12" t="inlineStr">
        <is>
          <t>Motor 1 of 4: control / local station</t>
        </is>
      </c>
      <c r="E4251" s="12" t="inlineStr"/>
      <c r="F4251" s="12" t="inlineStr">
        <is>
          <t>MOD-LV 480 V board + 480 V : 13.8 kV step-up</t>
        </is>
      </c>
      <c r="G4251" s="12" t="inlineStr"/>
      <c r="H4251" s="12" t="inlineStr">
        <is>
          <t>SC-2 lube-oil fin-fan cooler</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5" t="n">
        <v>379</v>
      </c>
      <c r="U4251" s="15" t="n">
        <v>137</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I-C-0159</t>
        </is>
      </c>
      <c r="B4252" s="12" t="inlineStr">
        <is>
          <t>I</t>
        </is>
      </c>
      <c r="C4252" s="12" t="inlineStr">
        <is>
          <t>Modular / portable power</t>
        </is>
      </c>
      <c r="D4252" s="12" t="inlineStr">
        <is>
          <t>Motor 2 of 4: control / local station</t>
        </is>
      </c>
      <c r="E4252" s="12" t="inlineStr"/>
      <c r="F4252" s="12" t="inlineStr">
        <is>
          <t>MOD-LV 480 V board + 480 V : 13.8 kV step-up</t>
        </is>
      </c>
      <c r="G4252" s="12" t="inlineStr"/>
      <c r="H4252" s="12" t="inlineStr">
        <is>
          <t>SC-2 lube-oil fin-fan cooler</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5" t="n">
        <v>379</v>
      </c>
      <c r="U4252" s="15" t="n">
        <v>137</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I-C-0160</t>
        </is>
      </c>
      <c r="B4253" s="12" t="inlineStr">
        <is>
          <t>I</t>
        </is>
      </c>
      <c r="C4253" s="12" t="inlineStr">
        <is>
          <t>Modular / portable power</t>
        </is>
      </c>
      <c r="D4253" s="12" t="inlineStr">
        <is>
          <t>Motor 3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5" t="n">
        <v>379</v>
      </c>
      <c r="U4253" s="15" t="n">
        <v>137</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I-C-0161</t>
        </is>
      </c>
      <c r="B4254" s="12" t="inlineStr">
        <is>
          <t>I</t>
        </is>
      </c>
      <c r="C4254" s="12" t="inlineStr">
        <is>
          <t>Modular / portable power</t>
        </is>
      </c>
      <c r="D4254" s="12" t="inlineStr">
        <is>
          <t>Motor 4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5" t="n">
        <v>379</v>
      </c>
      <c r="U4254" s="15" t="n">
        <v>137</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I-C-0162</t>
        </is>
      </c>
      <c r="B4255" s="12" t="inlineStr">
        <is>
          <t>I</t>
        </is>
      </c>
      <c r="C4255" s="12" t="inlineStr">
        <is>
          <t>Modular / portable power</t>
        </is>
      </c>
      <c r="D4255" s="12" t="inlineStr">
        <is>
          <t>Motor 1 of 10: control / local station</t>
        </is>
      </c>
      <c r="E4255" s="12" t="inlineStr"/>
      <c r="F4255" s="12" t="inlineStr">
        <is>
          <t>MOD-LV 480 V board + 480 V : 13.8 kV step-up</t>
        </is>
      </c>
      <c r="G4255" s="12" t="inlineStr">
        <is>
          <t>SC-2</t>
        </is>
      </c>
      <c r="H4255" s="12" t="inlineStr">
        <is>
          <t>SC-2: aeroderivative simple-cycle unit (LM6000 class)</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5" t="n">
        <v>379</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I-C-0163</t>
        </is>
      </c>
      <c r="B4256" s="12" t="inlineStr">
        <is>
          <t>I</t>
        </is>
      </c>
      <c r="C4256" s="12" t="inlineStr">
        <is>
          <t>Modular / portable power</t>
        </is>
      </c>
      <c r="D4256" s="12" t="inlineStr">
        <is>
          <t>Motor 2 of 10: control / local station</t>
        </is>
      </c>
      <c r="E4256" s="12" t="inlineStr"/>
      <c r="F4256" s="12" t="inlineStr">
        <is>
          <t>MOD-LV 480 V board + 480 V : 13.8 kV step-up</t>
        </is>
      </c>
      <c r="G4256" s="12" t="inlineStr">
        <is>
          <t>SC-2</t>
        </is>
      </c>
      <c r="H4256" s="12" t="inlineStr">
        <is>
          <t>SC-2: aeroderivative simple-cycle unit (LM6000 class)</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5" t="n">
        <v>379</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I-C-0164</t>
        </is>
      </c>
      <c r="B4257" s="12" t="inlineStr">
        <is>
          <t>I</t>
        </is>
      </c>
      <c r="C4257" s="12" t="inlineStr">
        <is>
          <t>Modular / portable power</t>
        </is>
      </c>
      <c r="D4257" s="12" t="inlineStr">
        <is>
          <t>Motor 3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5" t="n">
        <v>379</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I-C-0165</t>
        </is>
      </c>
      <c r="B4258" s="12" t="inlineStr">
        <is>
          <t>I</t>
        </is>
      </c>
      <c r="C4258" s="12" t="inlineStr">
        <is>
          <t>Modular / portable power</t>
        </is>
      </c>
      <c r="D4258" s="12" t="inlineStr">
        <is>
          <t>Motor 4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5" t="n">
        <v>379</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I-C-0166</t>
        </is>
      </c>
      <c r="B4259" s="12" t="inlineStr">
        <is>
          <t>I</t>
        </is>
      </c>
      <c r="C4259" s="12" t="inlineStr">
        <is>
          <t>Modular / portable power</t>
        </is>
      </c>
      <c r="D4259" s="12" t="inlineStr">
        <is>
          <t>Motor 5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5" t="n">
        <v>379</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I-C-0167</t>
        </is>
      </c>
      <c r="B4260" s="12" t="inlineStr">
        <is>
          <t>I</t>
        </is>
      </c>
      <c r="C4260" s="12" t="inlineStr">
        <is>
          <t>Modular / portable power</t>
        </is>
      </c>
      <c r="D4260" s="12" t="inlineStr">
        <is>
          <t>Motor 6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5" t="n">
        <v>379</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I-C-0168</t>
        </is>
      </c>
      <c r="B4261" s="12" t="inlineStr">
        <is>
          <t>I</t>
        </is>
      </c>
      <c r="C4261" s="12" t="inlineStr">
        <is>
          <t>Modular / portable power</t>
        </is>
      </c>
      <c r="D4261" s="12" t="inlineStr">
        <is>
          <t>Motor 7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379</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I-C-0169</t>
        </is>
      </c>
      <c r="B4262" s="12" t="inlineStr">
        <is>
          <t>I</t>
        </is>
      </c>
      <c r="C4262" s="12" t="inlineStr">
        <is>
          <t>Modular / portable power</t>
        </is>
      </c>
      <c r="D4262" s="12" t="inlineStr">
        <is>
          <t>Motor 8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379</v>
      </c>
      <c r="U4262" s="15" t="n">
        <v>32</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I-C-0170</t>
        </is>
      </c>
      <c r="B4263" s="12" t="inlineStr">
        <is>
          <t>I</t>
        </is>
      </c>
      <c r="C4263" s="12" t="inlineStr">
        <is>
          <t>Modular / portable power</t>
        </is>
      </c>
      <c r="D4263" s="12" t="inlineStr">
        <is>
          <t>Motor 9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379</v>
      </c>
      <c r="U4263" s="15" t="n">
        <v>32</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I-C-0171</t>
        </is>
      </c>
      <c r="B4264" s="12" t="inlineStr">
        <is>
          <t>I</t>
        </is>
      </c>
      <c r="C4264" s="12" t="inlineStr">
        <is>
          <t>Modular / portable power</t>
        </is>
      </c>
      <c r="D4264" s="12" t="inlineStr">
        <is>
          <t>Motor 10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5" t="n">
        <v>379</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I-C-0172</t>
        </is>
      </c>
      <c r="B4265" s="12" t="inlineStr">
        <is>
          <t>I</t>
        </is>
      </c>
      <c r="C4265" s="12" t="inlineStr">
        <is>
          <t>Modular / portable power</t>
        </is>
      </c>
      <c r="D4265" s="12" t="inlineStr">
        <is>
          <t>Motor 1 of 6: control / local station</t>
        </is>
      </c>
      <c r="E4265" s="12" t="inlineStr"/>
      <c r="F4265" s="12" t="inlineStr">
        <is>
          <t>MOD-LV 480 V board + 480 V : 13.8 kV step-up</t>
        </is>
      </c>
      <c r="G4265" s="12" t="inlineStr"/>
      <c r="H4265" s="12" t="inlineStr">
        <is>
          <t>T-MOD 230 kV take-off gantry with arresters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Duct bank</t>
        </is>
      </c>
      <c r="T4265" s="15" t="n">
        <v>346</v>
      </c>
      <c r="U4265" s="15" t="n">
        <v>146</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I-C-0173</t>
        </is>
      </c>
      <c r="B4266" s="12" t="inlineStr">
        <is>
          <t>I</t>
        </is>
      </c>
      <c r="C4266" s="12" t="inlineStr">
        <is>
          <t>Modular / portable power</t>
        </is>
      </c>
      <c r="D4266" s="12" t="inlineStr">
        <is>
          <t>Motor 2 of 6: control / local station</t>
        </is>
      </c>
      <c r="E4266" s="12" t="inlineStr"/>
      <c r="F4266" s="12" t="inlineStr">
        <is>
          <t>MOD-LV 480 V board + 480 V : 13.8 kV step-up</t>
        </is>
      </c>
      <c r="G4266" s="12" t="inlineStr"/>
      <c r="H4266" s="12" t="inlineStr">
        <is>
          <t>T-MOD 230 kV take-off gantry with arresters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5" t="n">
        <v>346</v>
      </c>
      <c r="U4266" s="15" t="n">
        <v>146</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I-C-0174</t>
        </is>
      </c>
      <c r="B4267" s="12" t="inlineStr">
        <is>
          <t>I</t>
        </is>
      </c>
      <c r="C4267" s="12" t="inlineStr">
        <is>
          <t>Modular / portable power</t>
        </is>
      </c>
      <c r="D4267" s="12" t="inlineStr">
        <is>
          <t>Motor 3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5" t="n">
        <v>346</v>
      </c>
      <c r="U4267" s="15" t="n">
        <v>146</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I-C-0175</t>
        </is>
      </c>
      <c r="B4268" s="12" t="inlineStr">
        <is>
          <t>I</t>
        </is>
      </c>
      <c r="C4268" s="12" t="inlineStr">
        <is>
          <t>Modular / portable power</t>
        </is>
      </c>
      <c r="D4268" s="12" t="inlineStr">
        <is>
          <t>Motor 4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5" t="n">
        <v>346</v>
      </c>
      <c r="U4268" s="15" t="n">
        <v>146</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I-C-0176</t>
        </is>
      </c>
      <c r="B4269" s="12" t="inlineStr">
        <is>
          <t>I</t>
        </is>
      </c>
      <c r="C4269" s="12" t="inlineStr">
        <is>
          <t>Modular / portable power</t>
        </is>
      </c>
      <c r="D4269" s="12" t="inlineStr">
        <is>
          <t>Motor 5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5" t="n">
        <v>346</v>
      </c>
      <c r="U4269" s="15" t="n">
        <v>146</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I-C-0177</t>
        </is>
      </c>
      <c r="B4270" s="12" t="inlineStr">
        <is>
          <t>I</t>
        </is>
      </c>
      <c r="C4270" s="12" t="inlineStr">
        <is>
          <t>Modular / portable power</t>
        </is>
      </c>
      <c r="D4270" s="12" t="inlineStr">
        <is>
          <t>Motor 6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5" t="n">
        <v>346</v>
      </c>
      <c r="U4270" s="15" t="n">
        <v>146</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I-C-0178</t>
        </is>
      </c>
      <c r="B4271" s="12" t="inlineStr">
        <is>
          <t>I</t>
        </is>
      </c>
      <c r="C4271" s="12" t="inlineStr">
        <is>
          <t>Modular / portable power</t>
        </is>
      </c>
      <c r="D4271" s="12" t="inlineStr">
        <is>
          <t>Motor 1 of 6: control / local station</t>
        </is>
      </c>
      <c r="E4271" s="12" t="inlineStr"/>
      <c r="F4271" s="12" t="inlineStr">
        <is>
          <t>MOD-LV 480 V board + 480 V : 13.8 kV step-up</t>
        </is>
      </c>
      <c r="G4271" s="12" t="inlineStr"/>
      <c r="H4271" s="12" t="inlineStr">
        <is>
          <t>T-MOD-1 / T-MOD-2 firewall</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5" t="n">
        <v>306</v>
      </c>
      <c r="U4271" s="15" t="n">
        <v>171</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I-C-0179</t>
        </is>
      </c>
      <c r="B4272" s="12" t="inlineStr">
        <is>
          <t>I</t>
        </is>
      </c>
      <c r="C4272" s="12" t="inlineStr">
        <is>
          <t>Modular / portable power</t>
        </is>
      </c>
      <c r="D4272" s="12" t="inlineStr">
        <is>
          <t>Motor 2 of 6: control / local station</t>
        </is>
      </c>
      <c r="E4272" s="12" t="inlineStr"/>
      <c r="F4272" s="12" t="inlineStr">
        <is>
          <t>MOD-LV 480 V board + 480 V : 13.8 kV step-up</t>
        </is>
      </c>
      <c r="G4272" s="12" t="inlineStr"/>
      <c r="H4272" s="12" t="inlineStr">
        <is>
          <t>T-MOD-1 / T-MOD-2 firewall</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5" t="n">
        <v>306</v>
      </c>
      <c r="U4272" s="15" t="n">
        <v>171</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I-C-0180</t>
        </is>
      </c>
      <c r="B4273" s="12" t="inlineStr">
        <is>
          <t>I</t>
        </is>
      </c>
      <c r="C4273" s="12" t="inlineStr">
        <is>
          <t>Modular / portable power</t>
        </is>
      </c>
      <c r="D4273" s="12" t="inlineStr">
        <is>
          <t>Motor 3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5" t="n">
        <v>306</v>
      </c>
      <c r="U4273" s="15" t="n">
        <v>171</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I-C-0181</t>
        </is>
      </c>
      <c r="B4274" s="12" t="inlineStr">
        <is>
          <t>I</t>
        </is>
      </c>
      <c r="C4274" s="12" t="inlineStr">
        <is>
          <t>Modular / portable power</t>
        </is>
      </c>
      <c r="D4274" s="12" t="inlineStr">
        <is>
          <t>Motor 4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5" t="n">
        <v>306</v>
      </c>
      <c r="U4274" s="15" t="n">
        <v>171</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I-C-0182</t>
        </is>
      </c>
      <c r="B4275" s="12" t="inlineStr">
        <is>
          <t>I</t>
        </is>
      </c>
      <c r="C4275" s="12" t="inlineStr">
        <is>
          <t>Modular / portable power</t>
        </is>
      </c>
      <c r="D4275" s="12" t="inlineStr">
        <is>
          <t>Motor 5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5" t="n">
        <v>306</v>
      </c>
      <c r="U4275" s="15" t="n">
        <v>171</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I-C-0183</t>
        </is>
      </c>
      <c r="B4276" s="12" t="inlineStr">
        <is>
          <t>I</t>
        </is>
      </c>
      <c r="C4276" s="12" t="inlineStr">
        <is>
          <t>Modular / portable power</t>
        </is>
      </c>
      <c r="D4276" s="12" t="inlineStr">
        <is>
          <t>Motor 6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5" t="n">
        <v>306</v>
      </c>
      <c r="U4276" s="15" t="n">
        <v>171</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I-C-0184</t>
        </is>
      </c>
      <c r="B4277" s="12" t="inlineStr">
        <is>
          <t>I</t>
        </is>
      </c>
      <c r="C4277" s="12" t="inlineStr">
        <is>
          <t>Modular / portable power</t>
        </is>
      </c>
      <c r="D4277" s="12" t="inlineStr">
        <is>
          <t>Motor 1 of 6: control / local station</t>
        </is>
      </c>
      <c r="E4277" s="12" t="inlineStr"/>
      <c r="F4277" s="12" t="inlineStr">
        <is>
          <t>MOD-LV 480 V board + 480 V : 13.8 kV step-up</t>
        </is>
      </c>
      <c r="G4277" s="12" t="inlineStr">
        <is>
          <t>T-MOD-1</t>
        </is>
      </c>
      <c r="H4277" s="12" t="inlineStr">
        <is>
          <t>T-MOD-1: 13.8/230 kV</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5" t="n">
        <v>306</v>
      </c>
      <c r="U4277" s="15" t="n">
        <v>127</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I-C-0185</t>
        </is>
      </c>
      <c r="B4278" s="12" t="inlineStr">
        <is>
          <t>I</t>
        </is>
      </c>
      <c r="C4278" s="12" t="inlineStr">
        <is>
          <t>Modular / portable power</t>
        </is>
      </c>
      <c r="D4278" s="12" t="inlineStr">
        <is>
          <t>Motor 2 of 6: control / local station</t>
        </is>
      </c>
      <c r="E4278" s="12" t="inlineStr"/>
      <c r="F4278" s="12" t="inlineStr">
        <is>
          <t>MOD-LV 480 V board + 480 V : 13.8 kV step-up</t>
        </is>
      </c>
      <c r="G4278" s="12" t="inlineStr">
        <is>
          <t>T-MOD-1</t>
        </is>
      </c>
      <c r="H4278" s="12" t="inlineStr">
        <is>
          <t>T-MOD-1: 13.8/230 kV</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5" t="n">
        <v>306</v>
      </c>
      <c r="U4278" s="15" t="n">
        <v>127</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I-C-0186</t>
        </is>
      </c>
      <c r="B4279" s="12" t="inlineStr">
        <is>
          <t>I</t>
        </is>
      </c>
      <c r="C4279" s="12" t="inlineStr">
        <is>
          <t>Modular / portable power</t>
        </is>
      </c>
      <c r="D4279" s="12" t="inlineStr">
        <is>
          <t>Motor 3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5" t="n">
        <v>306</v>
      </c>
      <c r="U4279" s="15" t="n">
        <v>127</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I-C-0187</t>
        </is>
      </c>
      <c r="B4280" s="12" t="inlineStr">
        <is>
          <t>I</t>
        </is>
      </c>
      <c r="C4280" s="12" t="inlineStr">
        <is>
          <t>Modular / portable power</t>
        </is>
      </c>
      <c r="D4280" s="12" t="inlineStr">
        <is>
          <t>Motor 4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5" t="n">
        <v>306</v>
      </c>
      <c r="U4280" s="15" t="n">
        <v>127</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I-C-0188</t>
        </is>
      </c>
      <c r="B4281" s="12" t="inlineStr">
        <is>
          <t>I</t>
        </is>
      </c>
      <c r="C4281" s="12" t="inlineStr">
        <is>
          <t>Modular / portable power</t>
        </is>
      </c>
      <c r="D4281" s="12" t="inlineStr">
        <is>
          <t>Motor 5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5" t="n">
        <v>306</v>
      </c>
      <c r="U4281" s="15" t="n">
        <v>127</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I-C-0189</t>
        </is>
      </c>
      <c r="B4282" s="12" t="inlineStr">
        <is>
          <t>I</t>
        </is>
      </c>
      <c r="C4282" s="12" t="inlineStr">
        <is>
          <t>Modular / portable power</t>
        </is>
      </c>
      <c r="D4282" s="12" t="inlineStr">
        <is>
          <t>Motor 6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5" t="n">
        <v>306</v>
      </c>
      <c r="U4282" s="15" t="n">
        <v>127</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I-C-0190</t>
        </is>
      </c>
      <c r="B4283" s="12" t="inlineStr">
        <is>
          <t>I</t>
        </is>
      </c>
      <c r="C4283" s="12" t="inlineStr">
        <is>
          <t>Modular / portable power</t>
        </is>
      </c>
      <c r="D4283" s="12" t="inlineStr">
        <is>
          <t>Motor 1 of 6: control / local station</t>
        </is>
      </c>
      <c r="E4283" s="12" t="inlineStr"/>
      <c r="F4283" s="12" t="inlineStr">
        <is>
          <t>MOD-LV 480 V board + 480 V : 13.8 kV step-up</t>
        </is>
      </c>
      <c r="G4283" s="12" t="inlineStr">
        <is>
          <t>T-MOD-2</t>
        </is>
      </c>
      <c r="H4283" s="12" t="inlineStr">
        <is>
          <t>T-MOD-2: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5" t="n">
        <v>161</v>
      </c>
      <c r="U4283" s="15" t="n">
        <v>150</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I-C-0191</t>
        </is>
      </c>
      <c r="B4284" s="12" t="inlineStr">
        <is>
          <t>I</t>
        </is>
      </c>
      <c r="C4284" s="12" t="inlineStr">
        <is>
          <t>Modular / portable power</t>
        </is>
      </c>
      <c r="D4284" s="12" t="inlineStr">
        <is>
          <t>Motor 2 of 6: control / local station</t>
        </is>
      </c>
      <c r="E4284" s="12" t="inlineStr"/>
      <c r="F4284" s="12" t="inlineStr">
        <is>
          <t>MOD-LV 480 V board + 480 V : 13.8 kV step-up</t>
        </is>
      </c>
      <c r="G4284" s="12" t="inlineStr">
        <is>
          <t>T-MOD-2</t>
        </is>
      </c>
      <c r="H4284" s="12" t="inlineStr">
        <is>
          <t>T-MOD-2: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5" t="n">
        <v>161</v>
      </c>
      <c r="U4284" s="15" t="n">
        <v>150</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I-C-0192</t>
        </is>
      </c>
      <c r="B4285" s="12" t="inlineStr">
        <is>
          <t>I</t>
        </is>
      </c>
      <c r="C4285" s="12" t="inlineStr">
        <is>
          <t>Modular / portable power</t>
        </is>
      </c>
      <c r="D4285" s="12" t="inlineStr">
        <is>
          <t>Motor 3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5" t="n">
        <v>161</v>
      </c>
      <c r="U4285" s="15" t="n">
        <v>150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I-C-0193</t>
        </is>
      </c>
      <c r="B4286" s="12" t="inlineStr">
        <is>
          <t>I</t>
        </is>
      </c>
      <c r="C4286" s="12" t="inlineStr">
        <is>
          <t>Modular / portable power</t>
        </is>
      </c>
      <c r="D4286" s="12" t="inlineStr">
        <is>
          <t>Motor 4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5" t="n">
        <v>161</v>
      </c>
      <c r="U4286" s="15" t="n">
        <v>150</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I-C-0194</t>
        </is>
      </c>
      <c r="B4287" s="12" t="inlineStr">
        <is>
          <t>I</t>
        </is>
      </c>
      <c r="C4287" s="12" t="inlineStr">
        <is>
          <t>Modular / portable power</t>
        </is>
      </c>
      <c r="D4287" s="12" t="inlineStr">
        <is>
          <t>Motor 5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5" t="n">
        <v>161</v>
      </c>
      <c r="U4287" s="15" t="n">
        <v>150</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I-C-0195</t>
        </is>
      </c>
      <c r="B4288" s="12" t="inlineStr">
        <is>
          <t>I</t>
        </is>
      </c>
      <c r="C4288" s="12" t="inlineStr">
        <is>
          <t>Modular / portable power</t>
        </is>
      </c>
      <c r="D4288" s="12" t="inlineStr">
        <is>
          <t>Motor 6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5" t="n">
        <v>161</v>
      </c>
      <c r="U4288" s="15" t="n">
        <v>150</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I-C-0196</t>
        </is>
      </c>
      <c r="B4289" s="12" t="inlineStr">
        <is>
          <t>I</t>
        </is>
      </c>
      <c r="C4289" s="12" t="inlineStr">
        <is>
          <t>Modular / portable power</t>
        </is>
      </c>
      <c r="D4289" s="12" t="inlineStr">
        <is>
          <t>Motor 1 of 6: control / local station</t>
        </is>
      </c>
      <c r="E4289" s="12" t="inlineStr">
        <is>
          <t>PAD-LV</t>
        </is>
      </c>
      <c r="F4289" s="12" t="inlineStr">
        <is>
          <t>PAD-LV 480 V paralleling switchboard</t>
        </is>
      </c>
      <c r="G4289" s="12" t="inlineStr">
        <is>
          <t>TM-1</t>
        </is>
      </c>
      <c r="H4289" s="12" t="inlineStr">
        <is>
          <t>TM-1: trailer-mounted aeroderivative GT (TM2500 class, ~35 MW)</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Surface</t>
        </is>
      </c>
      <c r="T4289" s="15" t="n">
        <v>132</v>
      </c>
      <c r="U4289" s="15" t="n">
        <v>61</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I-C-0197</t>
        </is>
      </c>
      <c r="B4290" s="12" t="inlineStr">
        <is>
          <t>I</t>
        </is>
      </c>
      <c r="C4290" s="12" t="inlineStr">
        <is>
          <t>Modular / portable power</t>
        </is>
      </c>
      <c r="D4290" s="12" t="inlineStr">
        <is>
          <t>Motor 2 of 6: control / local station</t>
        </is>
      </c>
      <c r="E4290" s="12" t="inlineStr">
        <is>
          <t>PAD-LV</t>
        </is>
      </c>
      <c r="F4290" s="12" t="inlineStr">
        <is>
          <t>PAD-LV 480 V paralleling switchboard</t>
        </is>
      </c>
      <c r="G4290" s="12" t="inlineStr">
        <is>
          <t>TM-1</t>
        </is>
      </c>
      <c r="H4290" s="12" t="inlineStr">
        <is>
          <t>TM-1: trailer-mounted aeroderivative GT (TM2500 class, ~35 MW)</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Surface</t>
        </is>
      </c>
      <c r="T4290" s="15" t="n">
        <v>132</v>
      </c>
      <c r="U4290" s="15" t="n">
        <v>61</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I-C-0198</t>
        </is>
      </c>
      <c r="B4291" s="12" t="inlineStr">
        <is>
          <t>I</t>
        </is>
      </c>
      <c r="C4291" s="12" t="inlineStr">
        <is>
          <t>Modular / portable power</t>
        </is>
      </c>
      <c r="D4291" s="12" t="inlineStr">
        <is>
          <t>Motor 3 of 6: control / local station</t>
        </is>
      </c>
      <c r="E4291" s="12" t="inlineStr">
        <is>
          <t>PAD-LV</t>
        </is>
      </c>
      <c r="F4291" s="12" t="inlineStr">
        <is>
          <t>PAD-LV 480 V paralleling switchboard</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Surface</t>
        </is>
      </c>
      <c r="T4291" s="15" t="n">
        <v>132</v>
      </c>
      <c r="U4291" s="15" t="n">
        <v>61</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I-C-0199</t>
        </is>
      </c>
      <c r="B4292" s="12" t="inlineStr">
        <is>
          <t>I</t>
        </is>
      </c>
      <c r="C4292" s="12" t="inlineStr">
        <is>
          <t>Modular / portable power</t>
        </is>
      </c>
      <c r="D4292" s="12" t="inlineStr">
        <is>
          <t>Motor 4 of 6: control / local station</t>
        </is>
      </c>
      <c r="E4292" s="12" t="inlineStr">
        <is>
          <t>PAD-LV</t>
        </is>
      </c>
      <c r="F4292" s="12" t="inlineStr">
        <is>
          <t>PAD-LV 480 V paralleling switchboard</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Surface</t>
        </is>
      </c>
      <c r="T4292" s="15" t="n">
        <v>132</v>
      </c>
      <c r="U4292" s="15" t="n">
        <v>61</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I-C-0200</t>
        </is>
      </c>
      <c r="B4293" s="12" t="inlineStr">
        <is>
          <t>I</t>
        </is>
      </c>
      <c r="C4293" s="12" t="inlineStr">
        <is>
          <t>Modular / portable power</t>
        </is>
      </c>
      <c r="D4293" s="12" t="inlineStr">
        <is>
          <t>Motor 5 of 6: control / local station</t>
        </is>
      </c>
      <c r="E4293" s="12" t="inlineStr">
        <is>
          <t>PAD-LV</t>
        </is>
      </c>
      <c r="F4293" s="12" t="inlineStr">
        <is>
          <t>PAD-LV 480 V paralleling switchboard</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Surface</t>
        </is>
      </c>
      <c r="T4293" s="15" t="n">
        <v>132</v>
      </c>
      <c r="U4293" s="15" t="n">
        <v>61</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I-C-0201</t>
        </is>
      </c>
      <c r="B4294" s="12" t="inlineStr">
        <is>
          <t>I</t>
        </is>
      </c>
      <c r="C4294" s="12" t="inlineStr">
        <is>
          <t>Modular / portable power</t>
        </is>
      </c>
      <c r="D4294" s="12" t="inlineStr">
        <is>
          <t>Motor 6 of 6: control / local station</t>
        </is>
      </c>
      <c r="E4294" s="12" t="inlineStr">
        <is>
          <t>PAD-LV</t>
        </is>
      </c>
      <c r="F4294" s="12" t="inlineStr">
        <is>
          <t>PAD-LV 480 V paralleling switchboard</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132</v>
      </c>
      <c r="U4294" s="15" t="n">
        <v>61</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I-C-0202</t>
        </is>
      </c>
      <c r="B4295" s="12" t="inlineStr">
        <is>
          <t>I</t>
        </is>
      </c>
      <c r="C4295" s="12" t="inlineStr">
        <is>
          <t>Modular / portable power</t>
        </is>
      </c>
      <c r="D4295" s="12" t="inlineStr">
        <is>
          <t>Motor 1 of 6: control / local station</t>
        </is>
      </c>
      <c r="E4295" s="12" t="inlineStr">
        <is>
          <t>PAD-LV</t>
        </is>
      </c>
      <c r="F4295" s="12" t="inlineStr">
        <is>
          <t>PAD-LV 480 V paralleling switchboard</t>
        </is>
      </c>
      <c r="G4295" s="12" t="inlineStr">
        <is>
          <t>TM-2</t>
        </is>
      </c>
      <c r="H4295" s="12" t="inlineStr">
        <is>
          <t>TM-2: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Conduit link</t>
        </is>
      </c>
      <c r="T4295" s="15" t="n">
        <v>63</v>
      </c>
      <c r="U4295" s="15" t="n">
        <v>27</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I-C-0203</t>
        </is>
      </c>
      <c r="B4296" s="12" t="inlineStr">
        <is>
          <t>I</t>
        </is>
      </c>
      <c r="C4296" s="12" t="inlineStr">
        <is>
          <t>Modular / portable power</t>
        </is>
      </c>
      <c r="D4296" s="12" t="inlineStr">
        <is>
          <t>Motor 2 of 6: control / local station</t>
        </is>
      </c>
      <c r="E4296" s="12" t="inlineStr">
        <is>
          <t>PAD-LV</t>
        </is>
      </c>
      <c r="F4296" s="12" t="inlineStr">
        <is>
          <t>PAD-LV 480 V paralleling switchboard</t>
        </is>
      </c>
      <c r="G4296" s="12" t="inlineStr">
        <is>
          <t>TM-2</t>
        </is>
      </c>
      <c r="H4296" s="12" t="inlineStr">
        <is>
          <t>TM-2: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Conduit link</t>
        </is>
      </c>
      <c r="T4296" s="15" t="n">
        <v>63</v>
      </c>
      <c r="U4296" s="15" t="n">
        <v>27</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I-C-0204</t>
        </is>
      </c>
      <c r="B4297" s="12" t="inlineStr">
        <is>
          <t>I</t>
        </is>
      </c>
      <c r="C4297" s="12" t="inlineStr">
        <is>
          <t>Modular / portable power</t>
        </is>
      </c>
      <c r="D4297" s="12" t="inlineStr">
        <is>
          <t>Motor 3 of 6: control / local station</t>
        </is>
      </c>
      <c r="E4297" s="12" t="inlineStr">
        <is>
          <t>PAD-LV</t>
        </is>
      </c>
      <c r="F4297" s="12" t="inlineStr">
        <is>
          <t>PAD-LV 480 V paralleling switchboard</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Conduit link</t>
        </is>
      </c>
      <c r="T4297" s="15" t="n">
        <v>63</v>
      </c>
      <c r="U4297" s="15" t="n">
        <v>27</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I-C-0205</t>
        </is>
      </c>
      <c r="B4298" s="12" t="inlineStr">
        <is>
          <t>I</t>
        </is>
      </c>
      <c r="C4298" s="12" t="inlineStr">
        <is>
          <t>Modular / portable power</t>
        </is>
      </c>
      <c r="D4298" s="12" t="inlineStr">
        <is>
          <t>Motor 4 of 6: control / local station</t>
        </is>
      </c>
      <c r="E4298" s="12" t="inlineStr">
        <is>
          <t>PAD-LV</t>
        </is>
      </c>
      <c r="F4298" s="12" t="inlineStr">
        <is>
          <t>PAD-LV 480 V paralleling switchboard</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Conduit link</t>
        </is>
      </c>
      <c r="T4298" s="15" t="n">
        <v>63</v>
      </c>
      <c r="U4298" s="15" t="n">
        <v>27</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I-C-0206</t>
        </is>
      </c>
      <c r="B4299" s="12" t="inlineStr">
        <is>
          <t>I</t>
        </is>
      </c>
      <c r="C4299" s="12" t="inlineStr">
        <is>
          <t>Modular / portable power</t>
        </is>
      </c>
      <c r="D4299" s="12" t="inlineStr">
        <is>
          <t>Motor 5 of 6: control / local station</t>
        </is>
      </c>
      <c r="E4299" s="12" t="inlineStr">
        <is>
          <t>PAD-LV</t>
        </is>
      </c>
      <c r="F4299" s="12" t="inlineStr">
        <is>
          <t>PAD-LV 480 V paralleling switchboard</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Conduit link</t>
        </is>
      </c>
      <c r="T4299" s="15" t="n">
        <v>63</v>
      </c>
      <c r="U4299" s="15" t="n">
        <v>27</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I-C-0207</t>
        </is>
      </c>
      <c r="B4300" s="12" t="inlineStr">
        <is>
          <t>I</t>
        </is>
      </c>
      <c r="C4300" s="12" t="inlineStr">
        <is>
          <t>Modular / portable power</t>
        </is>
      </c>
      <c r="D4300" s="12" t="inlineStr">
        <is>
          <t>Motor 6 of 6: control / local station</t>
        </is>
      </c>
      <c r="E4300" s="12" t="inlineStr">
        <is>
          <t>PAD-LV</t>
        </is>
      </c>
      <c r="F4300" s="12" t="inlineStr">
        <is>
          <t>PAD-LV 480 V paralleling switchboard</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Conduit link</t>
        </is>
      </c>
      <c r="T4300" s="15" t="n">
        <v>63</v>
      </c>
      <c r="U4300" s="15" t="n">
        <v>27</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I-C-0208</t>
        </is>
      </c>
      <c r="B4301" s="12" t="inlineStr">
        <is>
          <t>I</t>
        </is>
      </c>
      <c r="C4301" s="12" t="inlineStr">
        <is>
          <t>Modular / portable power</t>
        </is>
      </c>
      <c r="D4301" s="12" t="inlineStr">
        <is>
          <t>Control</t>
        </is>
      </c>
      <c r="E4301" s="12" t="inlineStr"/>
      <c r="F4301" s="12" t="inlineStr">
        <is>
          <t>PCM: power control module</t>
        </is>
      </c>
      <c r="G4301" s="12" t="inlineStr"/>
      <c r="H4301" s="12" t="inlineStr">
        <is>
          <t>Water-injection skid</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5" t="n">
        <v>400</v>
      </c>
      <c r="U4301" s="15" t="n">
        <v>176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I-F-0001</t>
        </is>
      </c>
      <c r="B4302" s="12" t="inlineStr">
        <is>
          <t>I</t>
        </is>
      </c>
      <c r="C4302" s="12" t="inlineStr">
        <is>
          <t>Modular / portable power</t>
        </is>
      </c>
      <c r="D4302" s="12" t="inlineStr">
        <is>
          <t>Plant network / DCS fibre</t>
        </is>
      </c>
      <c r="E4302" s="12" t="inlineStr">
        <is>
          <t>CR</t>
        </is>
      </c>
      <c r="F4302" s="12" t="inlineStr">
        <is>
          <t>Control / admin building (main control room)</t>
        </is>
      </c>
      <c r="G4302" s="12" t="inlineStr">
        <is>
          <t>CONT-EH</t>
        </is>
      </c>
      <c r="H4302" s="12" t="inlineStr">
        <is>
          <t>CONT paralleling switchgear e-house</t>
        </is>
      </c>
      <c r="I4302" s="12" t="inlineStr">
        <is>
          <t>Fibre / data</t>
        </is>
      </c>
      <c r="J4302" s="12" t="inlineStr">
        <is>
          <t>Fibre optic, single-mode, 12-fibre, armored, orange jacket</t>
        </is>
      </c>
      <c r="K4302" s="12" t="inlineStr">
        <is>
          <t>FO|12 SM|-</t>
        </is>
      </c>
      <c r="L4302" s="12" t="inlineStr">
        <is>
          <t>12 SM</t>
        </is>
      </c>
      <c r="M4302" s="12" t="inlineStr">
        <is>
          <t>-</t>
        </is>
      </c>
      <c r="N4302" s="12" t="n">
        <v>1</v>
      </c>
      <c r="O4302" s="12" t="n">
        <v>1</v>
      </c>
      <c r="P4302" s="12" t="n"/>
      <c r="Q4302" s="12" t="n"/>
      <c r="R4302" s="12" t="n"/>
      <c r="S4302" s="12" t="inlineStr">
        <is>
          <t>Estimated</t>
        </is>
      </c>
      <c r="T4302" s="15" t="n">
        <v>2182</v>
      </c>
      <c r="U4302" s="15" t="n">
        <v>40</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I-F-0002</t>
        </is>
      </c>
      <c r="B4303" s="12" t="inlineStr">
        <is>
          <t>I</t>
        </is>
      </c>
      <c r="C4303" s="12" t="inlineStr">
        <is>
          <t>Modular / portable power</t>
        </is>
      </c>
      <c r="D4303" s="12" t="inlineStr">
        <is>
          <t>Plant network / DCS fibre</t>
        </is>
      </c>
      <c r="E4303" s="12" t="inlineStr">
        <is>
          <t>CR</t>
        </is>
      </c>
      <c r="F4303" s="12" t="inlineStr">
        <is>
          <t>Control / admin building (main control room)</t>
        </is>
      </c>
      <c r="G4303" s="12" t="inlineStr"/>
      <c r="H4303" s="12" t="inlineStr">
        <is>
          <t>Lube oil / starting air / oily water building</t>
        </is>
      </c>
      <c r="I4303" s="12" t="inlineStr">
        <is>
          <t>Fibre / data</t>
        </is>
      </c>
      <c r="J4303" s="12" t="inlineStr">
        <is>
          <t>Fibre optic, single-mode, 12-fibre, armored, orange jacket</t>
        </is>
      </c>
      <c r="K4303" s="12" t="inlineStr">
        <is>
          <t>FO|12 SM|-</t>
        </is>
      </c>
      <c r="L4303" s="12" t="inlineStr">
        <is>
          <t>12 SM</t>
        </is>
      </c>
      <c r="M4303" s="12" t="inlineStr">
        <is>
          <t>-</t>
        </is>
      </c>
      <c r="N4303" s="12" t="n">
        <v>1</v>
      </c>
      <c r="O4303" s="12" t="n">
        <v>1</v>
      </c>
      <c r="P4303" s="12" t="n"/>
      <c r="Q4303" s="12" t="n"/>
      <c r="R4303" s="12" t="n"/>
      <c r="S4303" s="12" t="inlineStr">
        <is>
          <t>Duct bank</t>
        </is>
      </c>
      <c r="T4303" s="15" t="n">
        <v>4898</v>
      </c>
      <c r="U4303" s="15" t="n">
        <v>33</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I-F-0003</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is>
          <t>MOD-EH</t>
        </is>
      </c>
      <c r="H4304" s="12" t="inlineStr">
        <is>
          <t>MOD-EH: 13.8 kV modular collector e-house</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Trench</t>
        </is>
      </c>
      <c r="T4304" s="15" t="n">
        <v>4243</v>
      </c>
      <c r="U4304" s="15" t="n">
        <v>33</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I-F-0004</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PCM: power control module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5" t="n">
        <v>4674</v>
      </c>
      <c r="U4305" s="15" t="n">
        <v>33</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I-F-0005</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RICE CEMS</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5" t="n">
        <v>4414</v>
      </c>
      <c r="U4306" s="15" t="n">
        <v>132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I-F-0006</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is>
          <t>RICE</t>
        </is>
      </c>
      <c r="H4307" s="12" t="inlineStr">
        <is>
          <t>RICE engine hall (8 engines)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Trench</t>
        </is>
      </c>
      <c r="T4307" s="15" t="n">
        <v>4520</v>
      </c>
      <c r="U4307" s="15" t="n">
        <v>96</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I-F-0007</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SC-1</t>
        </is>
      </c>
      <c r="H4308" s="12" t="inlineStr">
        <is>
          <t>SC-1: aeroderivative simple-cycle unit (LM6000 class)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5" t="n">
        <v>4634</v>
      </c>
      <c r="U4308" s="15" t="n">
        <v>53</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I-F-0008</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SC-2</t>
        </is>
      </c>
      <c r="H4309" s="12" t="inlineStr">
        <is>
          <t>SC-2: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5" t="n">
        <v>5047</v>
      </c>
      <c r="U4309" s="15" t="n">
        <v>33</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I-F-0009</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TM-1</t>
        </is>
      </c>
      <c r="H4310" s="12" t="inlineStr">
        <is>
          <t>TM-1: trailer-mounted aeroderivative GT (TM2500 class, ~35 MW)</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Estimated</t>
        </is>
      </c>
      <c r="T4310" s="15" t="n">
        <v>1856</v>
      </c>
      <c r="U4310" s="15" t="n">
        <v>40</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I-F-0010</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TM-2</t>
        </is>
      </c>
      <c r="H4311" s="12" t="inlineStr">
        <is>
          <t>TM-2: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Estimated</t>
        </is>
      </c>
      <c r="T4311" s="15" t="n">
        <v>1976</v>
      </c>
      <c r="U4311" s="15" t="n">
        <v>40</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I-FA-0001</t>
        </is>
      </c>
      <c r="B4312" s="12" t="inlineStr">
        <is>
          <t>I</t>
        </is>
      </c>
      <c r="C4312" s="12" t="inlineStr">
        <is>
          <t>Modular / portable power</t>
        </is>
      </c>
      <c r="D4312" s="12" t="inlineStr">
        <is>
          <t>Fire alarm / F&amp;G loop (to the local FACP / F&amp;G node)</t>
        </is>
      </c>
      <c r="E4312" s="12" t="inlineStr"/>
      <c r="F4312" s="12" t="inlineStr">
        <is>
          <t>PCM: power control module</t>
        </is>
      </c>
      <c r="G4312" s="12" t="inlineStr"/>
      <c r="H4312" s="12" t="inlineStr">
        <is>
          <t>BS black-start switchgear</t>
        </is>
      </c>
      <c r="I4312" s="12" t="inlineStr">
        <is>
          <t>Fire alarm</t>
        </is>
      </c>
      <c r="J4312" s="12" t="inlineStr">
        <is>
          <t>Fire alarm FPLR 2/C #14 shielded, red jacket (NEC 760)</t>
        </is>
      </c>
      <c r="K4312" s="12" t="inlineStr">
        <is>
          <t>FA|2/C|14</t>
        </is>
      </c>
      <c r="L4312" s="12" t="inlineStr">
        <is>
          <t>2/C</t>
        </is>
      </c>
      <c r="M4312" s="12" t="inlineStr">
        <is>
          <t>14</t>
        </is>
      </c>
      <c r="N4312" s="12" t="n">
        <v>1</v>
      </c>
      <c r="O4312" s="12" t="n">
        <v>1</v>
      </c>
      <c r="P4312" s="12" t="n"/>
      <c r="Q4312" s="12" t="n"/>
      <c r="R4312" s="12" t="n"/>
      <c r="S4312" s="12" t="inlineStr">
        <is>
          <t>Duct bank</t>
        </is>
      </c>
      <c r="T4312" s="15" t="n">
        <v>550</v>
      </c>
      <c r="U4312" s="15" t="n">
        <v>77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I-FA-0002</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Black-start genset (proposed; requires study)</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5" t="n">
        <v>624</v>
      </c>
      <c r="U4313" s="15" t="n">
        <v>32</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I-FA-0003</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5" t="n">
        <v>624</v>
      </c>
      <c r="U4314" s="15" t="n">
        <v>40</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I-FA-0004</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CONDITIONAL: BESS black-start alternative</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5" t="n">
        <v>550</v>
      </c>
      <c r="U4315" s="15" t="n">
        <v>32</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I-FA-0005</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SC-1 inlet chiller / evaporative cooler</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5" t="n">
        <v>40</v>
      </c>
      <c r="U4316" s="15" t="n">
        <v>52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I-FA-0006</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SC-2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5" t="n">
        <v>1050</v>
      </c>
      <c r="U4317" s="15" t="n">
        <v>119</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I-FA-0007</t>
        </is>
      </c>
      <c r="B4318" s="12" t="inlineStr">
        <is>
          <t>I</t>
        </is>
      </c>
      <c r="C4318" s="12" t="inlineStr">
        <is>
          <t>Modular / portable power</t>
        </is>
      </c>
      <c r="D4318" s="12" t="inlineStr">
        <is>
          <t>Fire alarm / F&amp;G loop (to the local FACP / F&amp;G node)</t>
        </is>
      </c>
      <c r="E4318" s="12" t="inlineStr">
        <is>
          <t>PAD-EH</t>
        </is>
      </c>
      <c r="F4318" s="12" t="inlineStr">
        <is>
          <t>PAD-EH 13.8 kV switchgear e-house</t>
        </is>
      </c>
      <c r="G4318" s="12" t="inlineStr">
        <is>
          <t>CONT-EH</t>
        </is>
      </c>
      <c r="H4318" s="12" t="inlineStr">
        <is>
          <t>CONT paralleling switchgear e-house</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Conduit link</t>
        </is>
      </c>
      <c r="T4318" s="15" t="n">
        <v>25</v>
      </c>
      <c r="U4318" s="15" t="n">
        <v>58</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I-FA-0008</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5" t="n">
        <v>354</v>
      </c>
      <c r="U4319" s="15" t="n">
        <v>27</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I-FA-0009</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5" t="n">
        <v>359</v>
      </c>
      <c r="U4320" s="15" t="n">
        <v>27</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I-FA-0010</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5" t="n">
        <v>209</v>
      </c>
      <c r="U4321" s="15" t="n">
        <v>27</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I-FA-0011</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Conduit link</t>
        </is>
      </c>
      <c r="T4322" s="15" t="n">
        <v>77</v>
      </c>
      <c r="U4322" s="15" t="n">
        <v>117</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I-FA-0012</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Tray</t>
        </is>
      </c>
      <c r="T4323" s="15" t="n">
        <v>0</v>
      </c>
      <c r="U4323" s="15" t="n">
        <v>77</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I-FA-0013</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5" t="n">
        <v>209</v>
      </c>
      <c r="U4324" s="15" t="n">
        <v>82</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I-FA-0014</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5" t="n">
        <v>280</v>
      </c>
      <c r="U4325" s="15" t="n">
        <v>67</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I-FA-0015</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5" t="n">
        <v>60</v>
      </c>
      <c r="U4326" s="15" t="n">
        <v>91</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I-FA-0016</t>
        </is>
      </c>
      <c r="B4327" s="12" t="inlineStr">
        <is>
          <t>I</t>
        </is>
      </c>
      <c r="C4327" s="12" t="inlineStr">
        <is>
          <t>Modular / portable power</t>
        </is>
      </c>
      <c r="D4327" s="12" t="inlineStr">
        <is>
          <t>Fire alarm / F&amp;G loop (to the local FACP / F&amp;G node)</t>
        </is>
      </c>
      <c r="E4327" s="12" t="inlineStr"/>
      <c r="F4327" s="12" t="inlineStr">
        <is>
          <t>PCM: power control module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5" t="n">
        <v>177</v>
      </c>
      <c r="U4327" s="15" t="n">
        <v>42</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I-FA-0017</t>
        </is>
      </c>
      <c r="B4328" s="12" t="inlineStr">
        <is>
          <t>I</t>
        </is>
      </c>
      <c r="C4328" s="12" t="inlineStr">
        <is>
          <t>Modular / portable power</t>
        </is>
      </c>
      <c r="D4328" s="12" t="inlineStr">
        <is>
          <t>Fire alarm / F&amp;G loop (to the local FACP / F&amp;G node)</t>
        </is>
      </c>
      <c r="E4328" s="12" t="inlineStr"/>
      <c r="F4328" s="12" t="inlineStr">
        <is>
          <t>PCM: power control module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5" t="n">
        <v>191</v>
      </c>
      <c r="U4328" s="15" t="n">
        <v>42</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I-FA-0018</t>
        </is>
      </c>
      <c r="B4329" s="12" t="inlineStr">
        <is>
          <t>I</t>
        </is>
      </c>
      <c r="C4329" s="12" t="inlineStr">
        <is>
          <t>Modular / portable power</t>
        </is>
      </c>
      <c r="D4329" s="12" t="inlineStr">
        <is>
          <t>Fire alarm / F&amp;G loop (to the local FACP / F&amp;G node)</t>
        </is>
      </c>
      <c r="E4329" s="12" t="inlineStr"/>
      <c r="F4329" s="12" t="inlineStr">
        <is>
          <t>PCM: power control module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5" t="n">
        <v>205</v>
      </c>
      <c r="U4329" s="15" t="n">
        <v>42</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I-FA-0019</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5" t="n">
        <v>1074</v>
      </c>
      <c r="U4330" s="15" t="n">
        <v>94</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I-FA-0020</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5" t="n">
        <v>1074</v>
      </c>
      <c r="U4331" s="15" t="n">
        <v>80</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I-FA-0021</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5" t="n">
        <v>1074</v>
      </c>
      <c r="U4332" s="15" t="n">
        <v>66</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I-FA-0022</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5" t="n">
        <v>1050</v>
      </c>
      <c r="U4333" s="15" t="n">
        <v>68</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I-FA-0023</t>
        </is>
      </c>
      <c r="B4334" s="12" t="inlineStr">
        <is>
          <t>I</t>
        </is>
      </c>
      <c r="C4334" s="12" t="inlineStr">
        <is>
          <t>Modular / portable power</t>
        </is>
      </c>
      <c r="D4334" s="12" t="inlineStr">
        <is>
          <t>Fire alarm / F&amp;G loop (to the local FACP / F&amp;G node)</t>
        </is>
      </c>
      <c r="E4334" s="12" t="inlineStr"/>
      <c r="F4334" s="12" t="inlineStr">
        <is>
          <t>PCM: power control module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5" t="n">
        <v>249</v>
      </c>
      <c r="U4334" s="15" t="n">
        <v>32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I-FA-0024</t>
        </is>
      </c>
      <c r="B4335" s="12" t="inlineStr">
        <is>
          <t>I</t>
        </is>
      </c>
      <c r="C4335" s="12" t="inlineStr">
        <is>
          <t>Modular / portable power</t>
        </is>
      </c>
      <c r="D4335" s="12" t="inlineStr">
        <is>
          <t>Fire alarm / F&amp;G loop (to the local FACP / F&amp;G node)</t>
        </is>
      </c>
      <c r="E4335" s="12" t="inlineStr"/>
      <c r="F4335" s="12" t="inlineStr">
        <is>
          <t>PCM: power control module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5" t="n">
        <v>121</v>
      </c>
      <c r="U4335" s="15" t="n">
        <v>32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I-FA-0025</t>
        </is>
      </c>
      <c r="B4336" s="12" t="inlineStr">
        <is>
          <t>I</t>
        </is>
      </c>
      <c r="C4336" s="12" t="inlineStr">
        <is>
          <t>Modular / portable power</t>
        </is>
      </c>
      <c r="D4336" s="12" t="inlineStr">
        <is>
          <t>Fire alarm / F&amp;G loop (to the local FACP / F&amp;G node)</t>
        </is>
      </c>
      <c r="E4336" s="12" t="inlineStr"/>
      <c r="F4336" s="12" t="inlineStr">
        <is>
          <t>PCM: power control module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5" t="n">
        <v>121</v>
      </c>
      <c r="U4336" s="15" t="n">
        <v>42</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I-FA-0026</t>
        </is>
      </c>
      <c r="B4337" s="12" t="inlineStr">
        <is>
          <t>I</t>
        </is>
      </c>
      <c r="C4337" s="12" t="inlineStr">
        <is>
          <t>Modular / portable power</t>
        </is>
      </c>
      <c r="D4337" s="12" t="inlineStr">
        <is>
          <t>Fire alarm / F&amp;G loop (to the local FACP / F&amp;G node)</t>
        </is>
      </c>
      <c r="E4337" s="12" t="inlineStr"/>
      <c r="F4337" s="12" t="inlineStr">
        <is>
          <t>PCM: power control module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5" t="n">
        <v>135</v>
      </c>
      <c r="U4337" s="15" t="n">
        <v>42</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I-FA-0027</t>
        </is>
      </c>
      <c r="B4338" s="12" t="inlineStr">
        <is>
          <t>I</t>
        </is>
      </c>
      <c r="C4338" s="12" t="inlineStr">
        <is>
          <t>Modular / portable power</t>
        </is>
      </c>
      <c r="D4338" s="12" t="inlineStr">
        <is>
          <t>Fire alarm / F&amp;G loop (to the local FACP / F&amp;G node)</t>
        </is>
      </c>
      <c r="E4338" s="12" t="inlineStr"/>
      <c r="F4338" s="12" t="inlineStr">
        <is>
          <t>PCM: power control module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5" t="n">
        <v>149</v>
      </c>
      <c r="U4338" s="15" t="n">
        <v>42</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I-FA-0028</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5" t="n">
        <v>163</v>
      </c>
      <c r="U4339" s="15" t="n">
        <v>42</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I-FA-0029</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5" t="n">
        <v>1050</v>
      </c>
      <c r="U4340" s="15" t="n">
        <v>32</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I-FA-0030</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5" t="n">
        <v>171</v>
      </c>
      <c r="U4341" s="15" t="n">
        <v>27</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I-FA-0031</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5" t="n">
        <v>190</v>
      </c>
      <c r="U4342" s="15" t="n">
        <v>27</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I-FA-0032</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5" t="n">
        <v>32</v>
      </c>
      <c r="U4343" s="15" t="n">
        <v>164</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I-FA-0033</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5" t="n">
        <v>96</v>
      </c>
      <c r="U4344" s="15" t="n">
        <v>150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I-FA-0034</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5" t="n">
        <v>355</v>
      </c>
      <c r="U4345" s="15" t="n">
        <v>32</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I-FA-0035</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5" t="n">
        <v>806</v>
      </c>
      <c r="U4346" s="15" t="n">
        <v>105</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I-FA-0036</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5" t="n">
        <v>841</v>
      </c>
      <c r="U4347" s="15" t="n">
        <v>98</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I-FA-0037</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5" t="n">
        <v>841</v>
      </c>
      <c r="U4348" s="15" t="n">
        <v>98</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I-FA-0038</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Duct bank</t>
        </is>
      </c>
      <c r="T4349" s="15" t="n">
        <v>303</v>
      </c>
      <c r="U4349" s="15" t="n">
        <v>40</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I-FA-0039</t>
        </is>
      </c>
      <c r="B4350" s="12" t="inlineStr">
        <is>
          <t>I</t>
        </is>
      </c>
      <c r="C4350" s="12" t="inlineStr">
        <is>
          <t>Modular / portable power</t>
        </is>
      </c>
      <c r="D4350" s="12" t="inlineStr">
        <is>
          <t>Fire alarm / F&amp;G loop (to the local FACP / F&amp;G node)</t>
        </is>
      </c>
      <c r="E4350" s="12" t="inlineStr"/>
      <c r="F4350" s="12" t="inlineStr">
        <is>
          <t>PCM: power control module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Duct bank</t>
        </is>
      </c>
      <c r="T4350" s="15" t="n">
        <v>303</v>
      </c>
      <c r="U4350" s="15" t="n">
        <v>54</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I-FA-0040</t>
        </is>
      </c>
      <c r="B4351" s="12" t="inlineStr">
        <is>
          <t>I</t>
        </is>
      </c>
      <c r="C4351" s="12" t="inlineStr">
        <is>
          <t>Modular / portable power</t>
        </is>
      </c>
      <c r="D4351" s="12" t="inlineStr">
        <is>
          <t>Fire alarm / F&amp;G loop (to the local FACP / F&amp;G node)</t>
        </is>
      </c>
      <c r="E4351" s="12" t="inlineStr"/>
      <c r="F4351" s="12" t="inlineStr">
        <is>
          <t>PCM: power control module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Duct bank</t>
        </is>
      </c>
      <c r="T4351" s="15" t="n">
        <v>303</v>
      </c>
      <c r="U4351" s="15" t="n">
        <v>68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I-FA-0041</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5" t="n">
        <v>0</v>
      </c>
      <c r="U4352" s="15" t="n">
        <v>32</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I-FA-0042</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5" t="n">
        <v>260</v>
      </c>
      <c r="U4353" s="15" t="n">
        <v>131</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I-FA-0043</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5" t="n">
        <v>367</v>
      </c>
      <c r="U4354" s="15" t="n">
        <v>95</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I-FA-0044</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5" t="n">
        <v>40</v>
      </c>
      <c r="U4355" s="15" t="n">
        <v>52</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I-FA-0045</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Duct bank</t>
        </is>
      </c>
      <c r="T4356" s="15" t="n">
        <v>410</v>
      </c>
      <c r="U4356" s="15" t="n">
        <v>115</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I-FA-0046</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5" t="n">
        <v>185</v>
      </c>
      <c r="U4357" s="15" t="n">
        <v>27</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I-FA-0047</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5" t="n">
        <v>70</v>
      </c>
      <c r="U4358" s="15" t="n">
        <v>47</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Duct bank</t>
        </is>
      </c>
      <c r="T4359" s="15" t="n">
        <v>542</v>
      </c>
      <c r="U4359" s="15" t="n">
        <v>37</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5" t="n">
        <v>59</v>
      </c>
      <c r="U4360" s="15" t="n">
        <v>10</v>
      </c>
      <c r="V4360" s="15">
        <f>ROUNDUP((T4360+U4360+2*'Read Me'!$B$13)*(1+'Read Me'!$B$12),-1)</f>
        <v/>
      </c>
      <c r="W4360" s="15">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5" t="n">
        <v>624</v>
      </c>
      <c r="U4361" s="15" t="n">
        <v>32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5" t="n">
        <v>59</v>
      </c>
      <c r="U4362" s="15" t="n">
        <v>10</v>
      </c>
      <c r="V4362" s="15">
        <f>ROUNDUP((T4362+U4362+2*'Read Me'!$B$13)*(1+'Read Me'!$B$12),-1)</f>
        <v/>
      </c>
      <c r="W4362" s="15">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5" t="n">
        <v>624</v>
      </c>
      <c r="U4363" s="15" t="n">
        <v>32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5" t="n">
        <v>59</v>
      </c>
      <c r="U4364" s="15" t="n">
        <v>10</v>
      </c>
      <c r="V4364" s="15">
        <f>ROUNDUP((T4364+U4364+2*'Read Me'!$B$13)*(1+'Read Me'!$B$12),-1)</f>
        <v/>
      </c>
      <c r="W4364" s="15">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5" t="n">
        <v>624</v>
      </c>
      <c r="U4365" s="15" t="n">
        <v>40</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5" t="n">
        <v>59</v>
      </c>
      <c r="U4366" s="15" t="n">
        <v>10</v>
      </c>
      <c r="V4366" s="15">
        <f>ROUNDUP((T4366+U4366+2*'Read Me'!$B$13)*(1+'Read Me'!$B$12),-1)</f>
        <v/>
      </c>
      <c r="W4366" s="15">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5" t="n">
        <v>624</v>
      </c>
      <c r="U4367" s="15" t="n">
        <v>40</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5" t="n">
        <v>550</v>
      </c>
      <c r="U4368" s="15" t="n">
        <v>32</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5" t="n">
        <v>550</v>
      </c>
      <c r="U4369" s="15" t="n">
        <v>32</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5" t="n">
        <v>550</v>
      </c>
      <c r="U4370" s="15" t="n">
        <v>32</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5" t="n">
        <v>40</v>
      </c>
      <c r="U4371" s="15" t="n">
        <v>52</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5" t="n">
        <v>40</v>
      </c>
      <c r="U4372" s="15" t="n">
        <v>52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5" t="n">
        <v>40</v>
      </c>
      <c r="U4373" s="15" t="n">
        <v>52</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Duct bank</t>
        </is>
      </c>
      <c r="T4374" s="15" t="n">
        <v>1050</v>
      </c>
      <c r="U4374" s="15" t="n">
        <v>119</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Duct bank</t>
        </is>
      </c>
      <c r="T4375" s="15" t="n">
        <v>1050</v>
      </c>
      <c r="U4375" s="15" t="n">
        <v>119</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Duct bank</t>
        </is>
      </c>
      <c r="T4376" s="15" t="n">
        <v>1050</v>
      </c>
      <c r="U4376" s="15" t="n">
        <v>119</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5" t="n">
        <v>54</v>
      </c>
      <c r="U4377" s="15" t="n">
        <v>10</v>
      </c>
      <c r="V4377" s="15">
        <f>ROUNDUP((T4377+U4377+2*'Read Me'!$B$13)*(1+'Read Me'!$B$12),-1)</f>
        <v/>
      </c>
      <c r="W4377" s="15">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5" t="n">
        <v>354</v>
      </c>
      <c r="U4378" s="15" t="n">
        <v>27</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5" t="n">
        <v>54</v>
      </c>
      <c r="U4379" s="15" t="n">
        <v>10</v>
      </c>
      <c r="V4379" s="15">
        <f>ROUNDUP((T4379+U4379+2*'Read Me'!$B$13)*(1+'Read Me'!$B$12),-1)</f>
        <v/>
      </c>
      <c r="W4379" s="15">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5" t="n">
        <v>354</v>
      </c>
      <c r="U4380" s="15" t="n">
        <v>27</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5" t="n">
        <v>54</v>
      </c>
      <c r="U4381" s="15" t="n">
        <v>10</v>
      </c>
      <c r="V4381" s="15">
        <f>ROUNDUP((T4381+U4381+2*'Read Me'!$B$13)*(1+'Read Me'!$B$12),-1)</f>
        <v/>
      </c>
      <c r="W4381" s="15">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5" t="n">
        <v>359</v>
      </c>
      <c r="U4382" s="15" t="n">
        <v>27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5" t="n">
        <v>54</v>
      </c>
      <c r="U4383" s="15" t="n">
        <v>10</v>
      </c>
      <c r="V4383" s="15">
        <f>ROUNDUP((T4383+U4383+2*'Read Me'!$B$13)*(1+'Read Me'!$B$12),-1)</f>
        <v/>
      </c>
      <c r="W4383" s="15">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5" t="n">
        <v>359</v>
      </c>
      <c r="U4384" s="15" t="n">
        <v>27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5" t="n">
        <v>54</v>
      </c>
      <c r="U4385" s="15" t="n">
        <v>10</v>
      </c>
      <c r="V4385" s="15">
        <f>ROUNDUP((T4385+U4385+2*'Read Me'!$B$13)*(1+'Read Me'!$B$12),-1)</f>
        <v/>
      </c>
      <c r="W4385" s="15">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5" t="n">
        <v>209</v>
      </c>
      <c r="U4386" s="15" t="n">
        <v>27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5" t="n">
        <v>54</v>
      </c>
      <c r="U4387" s="15" t="n">
        <v>10</v>
      </c>
      <c r="V4387" s="15">
        <f>ROUNDUP((T4387+U4387+2*'Read Me'!$B$13)*(1+'Read Me'!$B$12),-1)</f>
        <v/>
      </c>
      <c r="W4387" s="15">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5" t="n">
        <v>209</v>
      </c>
      <c r="U4388" s="15" t="n">
        <v>27</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5" t="n">
        <v>54</v>
      </c>
      <c r="U4389" s="15" t="n">
        <v>10</v>
      </c>
      <c r="V4389" s="15">
        <f>ROUNDUP((T4389+U4389+2*'Read Me'!$B$13)*(1+'Read Me'!$B$12),-1)</f>
        <v/>
      </c>
      <c r="W4389" s="15">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Conduit link</t>
        </is>
      </c>
      <c r="T4390" s="15" t="n">
        <v>77</v>
      </c>
      <c r="U4390" s="15" t="n">
        <v>117</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5" t="n">
        <v>54</v>
      </c>
      <c r="U4391" s="15" t="n">
        <v>10</v>
      </c>
      <c r="V4391" s="15">
        <f>ROUNDUP((T4391+U4391+2*'Read Me'!$B$13)*(1+'Read Me'!$B$12),-1)</f>
        <v/>
      </c>
      <c r="W4391" s="15">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Conduit link</t>
        </is>
      </c>
      <c r="T4392" s="15" t="n">
        <v>77</v>
      </c>
      <c r="U4392" s="15" t="n">
        <v>117</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5" t="n">
        <v>54</v>
      </c>
      <c r="U4393" s="15" t="n">
        <v>10</v>
      </c>
      <c r="V4393" s="15">
        <f>ROUNDUP((T4393+U4393+2*'Read Me'!$B$13)*(1+'Read Me'!$B$12),-1)</f>
        <v/>
      </c>
      <c r="W4393" s="15">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Tray</t>
        </is>
      </c>
      <c r="T4394" s="15" t="n">
        <v>0</v>
      </c>
      <c r="U4394" s="15" t="n">
        <v>77</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5" t="n">
        <v>54</v>
      </c>
      <c r="U4395" s="15" t="n">
        <v>10</v>
      </c>
      <c r="V4395" s="15">
        <f>ROUNDUP((T4395+U4395+2*'Read Me'!$B$13)*(1+'Read Me'!$B$12),-1)</f>
        <v/>
      </c>
      <c r="W4395" s="15">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Tray</t>
        </is>
      </c>
      <c r="T4396" s="15" t="n">
        <v>0</v>
      </c>
      <c r="U4396" s="15" t="n">
        <v>77</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5" t="n">
        <v>54</v>
      </c>
      <c r="U4397" s="15" t="n">
        <v>10</v>
      </c>
      <c r="V4397" s="15">
        <f>ROUNDUP((T4397+U4397+2*'Read Me'!$B$13)*(1+'Read Me'!$B$12),-1)</f>
        <v/>
      </c>
      <c r="W4397" s="15">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5" t="n">
        <v>209</v>
      </c>
      <c r="U4398" s="15" t="n">
        <v>82</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5" t="n">
        <v>54</v>
      </c>
      <c r="U4399" s="15" t="n">
        <v>10</v>
      </c>
      <c r="V4399" s="15">
        <f>ROUNDUP((T4399+U4399+2*'Read Me'!$B$13)*(1+'Read Me'!$B$12),-1)</f>
        <v/>
      </c>
      <c r="W4399" s="15">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5" t="n">
        <v>209</v>
      </c>
      <c r="U4400" s="15" t="n">
        <v>82</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5" t="n">
        <v>54</v>
      </c>
      <c r="U4401" s="15" t="n">
        <v>10</v>
      </c>
      <c r="V4401" s="15">
        <f>ROUNDUP((T4401+U4401+2*'Read Me'!$B$13)*(1+'Read Me'!$B$12),-1)</f>
        <v/>
      </c>
      <c r="W4401" s="15">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5" t="n">
        <v>280</v>
      </c>
      <c r="U4402" s="15" t="n">
        <v>67</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5" t="n">
        <v>54</v>
      </c>
      <c r="U4403" s="15" t="n">
        <v>10</v>
      </c>
      <c r="V4403" s="15">
        <f>ROUNDUP((T4403+U4403+2*'Read Me'!$B$13)*(1+'Read Me'!$B$12),-1)</f>
        <v/>
      </c>
      <c r="W4403" s="15">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5" t="n">
        <v>280</v>
      </c>
      <c r="U4404" s="15" t="n">
        <v>67</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5" t="n">
        <v>54</v>
      </c>
      <c r="U4405" s="15" t="n">
        <v>10</v>
      </c>
      <c r="V4405" s="15">
        <f>ROUNDUP((T4405+U4405+2*'Read Me'!$B$13)*(1+'Read Me'!$B$12),-1)</f>
        <v/>
      </c>
      <c r="W4405" s="15">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5" t="n">
        <v>60</v>
      </c>
      <c r="U4406" s="15" t="n">
        <v>91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5" t="n">
        <v>54</v>
      </c>
      <c r="U4407" s="15" t="n">
        <v>10</v>
      </c>
      <c r="V4407" s="15">
        <f>ROUNDUP((T4407+U4407+2*'Read Me'!$B$13)*(1+'Read Me'!$B$12),-1)</f>
        <v/>
      </c>
      <c r="W4407" s="15">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5" t="n">
        <v>60</v>
      </c>
      <c r="U4408" s="15" t="n">
        <v>91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5" t="n">
        <v>78</v>
      </c>
      <c r="U4409" s="15" t="n">
        <v>10</v>
      </c>
      <c r="V4409" s="15">
        <f>ROUNDUP((T4409+U4409+2*'Read Me'!$B$13)*(1+'Read Me'!$B$12),-1)</f>
        <v/>
      </c>
      <c r="W4409" s="15">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5" t="n">
        <v>542</v>
      </c>
      <c r="U4410" s="15" t="n">
        <v>59</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5" t="n">
        <v>78</v>
      </c>
      <c r="U4411" s="15" t="n">
        <v>10</v>
      </c>
      <c r="V4411" s="15">
        <f>ROUNDUP((T4411+U4411+2*'Read Me'!$B$13)*(1+'Read Me'!$B$12),-1)</f>
        <v/>
      </c>
      <c r="W4411" s="15">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5" t="n">
        <v>542</v>
      </c>
      <c r="U4412" s="15" t="n">
        <v>59</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5" t="n">
        <v>45</v>
      </c>
      <c r="U4413" s="15" t="n">
        <v>10</v>
      </c>
      <c r="V4413" s="15">
        <f>ROUNDUP((T4413+U4413+2*'Read Me'!$B$13)*(1+'Read Me'!$B$12),-1)</f>
        <v/>
      </c>
      <c r="W4413" s="15">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c r="F4414" s="12" t="inlineStr">
        <is>
          <t>PCM: power control module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5" t="n">
        <v>177</v>
      </c>
      <c r="U4414" s="15" t="n">
        <v>42</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5" t="n">
        <v>45</v>
      </c>
      <c r="U4415" s="15" t="n">
        <v>10</v>
      </c>
      <c r="V4415" s="15">
        <f>ROUNDUP((T4415+U4415+2*'Read Me'!$B$13)*(1+'Read Me'!$B$12),-1)</f>
        <v/>
      </c>
      <c r="W4415" s="15">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c r="F4416" s="12" t="inlineStr">
        <is>
          <t>PCM: power control module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5" t="n">
        <v>177</v>
      </c>
      <c r="U4416" s="15" t="n">
        <v>42</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5" t="n">
        <v>45</v>
      </c>
      <c r="U4417" s="15" t="n">
        <v>10</v>
      </c>
      <c r="V4417" s="15">
        <f>ROUNDUP((T4417+U4417+2*'Read Me'!$B$13)*(1+'Read Me'!$B$12),-1)</f>
        <v/>
      </c>
      <c r="W4417" s="15">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c r="F4418" s="12" t="inlineStr">
        <is>
          <t>PCM: power control module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5" t="n">
        <v>191</v>
      </c>
      <c r="U4418" s="15" t="n">
        <v>42</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5" t="n">
        <v>45</v>
      </c>
      <c r="U4419" s="15" t="n">
        <v>10</v>
      </c>
      <c r="V4419" s="15">
        <f>ROUNDUP((T4419+U4419+2*'Read Me'!$B$13)*(1+'Read Me'!$B$12),-1)</f>
        <v/>
      </c>
      <c r="W4419" s="15">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c r="F4420" s="12" t="inlineStr">
        <is>
          <t>PCM: power control module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5" t="n">
        <v>191</v>
      </c>
      <c r="U4420" s="15" t="n">
        <v>42</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5" t="n">
        <v>45</v>
      </c>
      <c r="U4421" s="15" t="n">
        <v>10</v>
      </c>
      <c r="V4421" s="15">
        <f>ROUNDUP((T4421+U4421+2*'Read Me'!$B$13)*(1+'Read Me'!$B$12),-1)</f>
        <v/>
      </c>
      <c r="W4421" s="15">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c r="F4422" s="12" t="inlineStr">
        <is>
          <t>PCM: power control module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5" t="n">
        <v>205</v>
      </c>
      <c r="U4422" s="15" t="n">
        <v>42</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5" t="n">
        <v>45</v>
      </c>
      <c r="U4423" s="15" t="n">
        <v>10</v>
      </c>
      <c r="V4423" s="15">
        <f>ROUNDUP((T4423+U4423+2*'Read Me'!$B$13)*(1+'Read Me'!$B$12),-1)</f>
        <v/>
      </c>
      <c r="W4423" s="15">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c r="F4424" s="12" t="inlineStr">
        <is>
          <t>PCM: power control module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5" t="n">
        <v>205</v>
      </c>
      <c r="U4424" s="15" t="n">
        <v>42</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5" t="n">
        <v>45</v>
      </c>
      <c r="U4425" s="15" t="n">
        <v>10</v>
      </c>
      <c r="V4425" s="15">
        <f>ROUNDUP((T4425+U4425+2*'Read Me'!$B$13)*(1+'Read Me'!$B$12),-1)</f>
        <v/>
      </c>
      <c r="W4425" s="15">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5" t="n">
        <v>1074</v>
      </c>
      <c r="U4426" s="15" t="n">
        <v>94</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5" t="n">
        <v>45</v>
      </c>
      <c r="U4427" s="15" t="n">
        <v>10</v>
      </c>
      <c r="V4427" s="15">
        <f>ROUNDUP((T4427+U4427+2*'Read Me'!$B$13)*(1+'Read Me'!$B$12),-1)</f>
        <v/>
      </c>
      <c r="W4427" s="15">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5" t="n">
        <v>1074</v>
      </c>
      <c r="U4428" s="15" t="n">
        <v>94</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5" t="n">
        <v>45</v>
      </c>
      <c r="U4429" s="15" t="n">
        <v>10</v>
      </c>
      <c r="V4429" s="15">
        <f>ROUNDUP((T4429+U4429+2*'Read Me'!$B$13)*(1+'Read Me'!$B$12),-1)</f>
        <v/>
      </c>
      <c r="W4429" s="15">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5" t="n">
        <v>1074</v>
      </c>
      <c r="U4430" s="15" t="n">
        <v>80</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5" t="n">
        <v>45</v>
      </c>
      <c r="U4431" s="15" t="n">
        <v>10</v>
      </c>
      <c r="V4431" s="15">
        <f>ROUNDUP((T4431+U4431+2*'Read Me'!$B$13)*(1+'Read Me'!$B$12),-1)</f>
        <v/>
      </c>
      <c r="W4431" s="15">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5" t="n">
        <v>1074</v>
      </c>
      <c r="U4432" s="15" t="n">
        <v>80</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5" t="n">
        <v>45</v>
      </c>
      <c r="U4433" s="15" t="n">
        <v>10</v>
      </c>
      <c r="V4433" s="15">
        <f>ROUNDUP((T4433+U4433+2*'Read Me'!$B$13)*(1+'Read Me'!$B$12),-1)</f>
        <v/>
      </c>
      <c r="W4433" s="15">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5" t="n">
        <v>1074</v>
      </c>
      <c r="U4434" s="15" t="n">
        <v>66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5" t="n">
        <v>45</v>
      </c>
      <c r="U4435" s="15" t="n">
        <v>10</v>
      </c>
      <c r="V4435" s="15">
        <f>ROUNDUP((T4435+U4435+2*'Read Me'!$B$13)*(1+'Read Me'!$B$12),-1)</f>
        <v/>
      </c>
      <c r="W4435" s="15">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5" t="n">
        <v>1074</v>
      </c>
      <c r="U4436" s="15" t="n">
        <v>66</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5" t="n">
        <v>45</v>
      </c>
      <c r="U4437" s="15" t="n">
        <v>10</v>
      </c>
      <c r="V4437" s="15">
        <f>ROUNDUP((T4437+U4437+2*'Read Me'!$B$13)*(1+'Read Me'!$B$12),-1)</f>
        <v/>
      </c>
      <c r="W4437" s="15">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5" t="n">
        <v>1050</v>
      </c>
      <c r="U4438" s="15" t="n">
        <v>68</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5" t="n">
        <v>45</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5" t="n">
        <v>1050</v>
      </c>
      <c r="U4440" s="15" t="n">
        <v>68</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c r="F4441" s="12" t="inlineStr">
        <is>
          <t>PCM: power control module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Duct bank</t>
        </is>
      </c>
      <c r="T4441" s="15" t="n">
        <v>249</v>
      </c>
      <c r="U4441" s="15" t="n">
        <v>32</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c r="F4442" s="12" t="inlineStr">
        <is>
          <t>PCM: power control module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Duct bank</t>
        </is>
      </c>
      <c r="T4442" s="15" t="n">
        <v>249</v>
      </c>
      <c r="U4442" s="15" t="n">
        <v>32</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c r="F4443" s="12" t="inlineStr">
        <is>
          <t>PCM: power control module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Duct bank</t>
        </is>
      </c>
      <c r="T4443" s="15" t="n">
        <v>249</v>
      </c>
      <c r="U4443" s="15" t="n">
        <v>32</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5" t="n">
        <v>45</v>
      </c>
      <c r="U4444" s="15" t="n">
        <v>10</v>
      </c>
      <c r="V4444" s="15">
        <f>ROUNDUP((T4444+U4444+2*'Read Me'!$B$13)*(1+'Read Me'!$B$12),-1)</f>
        <v/>
      </c>
      <c r="W4444" s="15">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c r="F4445" s="12" t="inlineStr">
        <is>
          <t>PCM: power control module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5" t="n">
        <v>121</v>
      </c>
      <c r="U4445" s="15" t="n">
        <v>32</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5" t="n">
        <v>45</v>
      </c>
      <c r="U4446" s="15" t="n">
        <v>10</v>
      </c>
      <c r="V4446" s="15">
        <f>ROUNDUP((T4446+U4446+2*'Read Me'!$B$13)*(1+'Read Me'!$B$12),-1)</f>
        <v/>
      </c>
      <c r="W4446" s="15">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c r="F4447" s="12" t="inlineStr">
        <is>
          <t>PCM: power control module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5" t="n">
        <v>121</v>
      </c>
      <c r="U4447" s="15" t="n">
        <v>32</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5" t="n">
        <v>45</v>
      </c>
      <c r="U4448" s="15" t="n">
        <v>10</v>
      </c>
      <c r="V4448" s="15">
        <f>ROUNDUP((T4448+U4448+2*'Read Me'!$B$13)*(1+'Read Me'!$B$12),-1)</f>
        <v/>
      </c>
      <c r="W4448" s="15">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c r="F4449" s="12" t="inlineStr">
        <is>
          <t>PCM: power control module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5" t="n">
        <v>121</v>
      </c>
      <c r="U4449" s="15" t="n">
        <v>42</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5" t="n">
        <v>45</v>
      </c>
      <c r="U4450" s="15" t="n">
        <v>10</v>
      </c>
      <c r="V4450" s="15">
        <f>ROUNDUP((T4450+U4450+2*'Read Me'!$B$13)*(1+'Read Me'!$B$12),-1)</f>
        <v/>
      </c>
      <c r="W4450" s="15">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c r="F4451" s="12" t="inlineStr">
        <is>
          <t>PCM: power control module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5" t="n">
        <v>121</v>
      </c>
      <c r="U4451" s="15" t="n">
        <v>42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5" t="n">
        <v>45</v>
      </c>
      <c r="U4452" s="15" t="n">
        <v>10</v>
      </c>
      <c r="V4452" s="15">
        <f>ROUNDUP((T4452+U4452+2*'Read Me'!$B$13)*(1+'Read Me'!$B$12),-1)</f>
        <v/>
      </c>
      <c r="W4452" s="15">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c r="F4453" s="12" t="inlineStr">
        <is>
          <t>PCM: power control module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5" t="n">
        <v>135</v>
      </c>
      <c r="U4453" s="15" t="n">
        <v>42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5" t="n">
        <v>45</v>
      </c>
      <c r="U4454" s="15" t="n">
        <v>10</v>
      </c>
      <c r="V4454" s="15">
        <f>ROUNDUP((T4454+U4454+2*'Read Me'!$B$13)*(1+'Read Me'!$B$12),-1)</f>
        <v/>
      </c>
      <c r="W4454" s="15">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c r="F4455" s="12" t="inlineStr">
        <is>
          <t>PCM: power control module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5" t="n">
        <v>135</v>
      </c>
      <c r="U4455" s="15" t="n">
        <v>42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5" t="n">
        <v>45</v>
      </c>
      <c r="U4456" s="15" t="n">
        <v>10</v>
      </c>
      <c r="V4456" s="15">
        <f>ROUNDUP((T4456+U4456+2*'Read Me'!$B$13)*(1+'Read Me'!$B$12),-1)</f>
        <v/>
      </c>
      <c r="W4456" s="15">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c r="F4457" s="12" t="inlineStr">
        <is>
          <t>PCM: power control module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5" t="n">
        <v>149</v>
      </c>
      <c r="U4457" s="15" t="n">
        <v>42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5" t="n">
        <v>45</v>
      </c>
      <c r="U4458" s="15" t="n">
        <v>10</v>
      </c>
      <c r="V4458" s="15">
        <f>ROUNDUP((T4458+U4458+2*'Read Me'!$B$13)*(1+'Read Me'!$B$12),-1)</f>
        <v/>
      </c>
      <c r="W4458" s="15">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c r="F4459" s="12" t="inlineStr">
        <is>
          <t>PCM: power control module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5" t="n">
        <v>149</v>
      </c>
      <c r="U4459" s="15" t="n">
        <v>42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5" t="n">
        <v>45</v>
      </c>
      <c r="U4460" s="15" t="n">
        <v>10</v>
      </c>
      <c r="V4460" s="15">
        <f>ROUNDUP((T4460+U4460+2*'Read Me'!$B$13)*(1+'Read Me'!$B$12),-1)</f>
        <v/>
      </c>
      <c r="W4460" s="15">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c r="F4461" s="12" t="inlineStr">
        <is>
          <t>PCM: power control module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5" t="n">
        <v>163</v>
      </c>
      <c r="U4461" s="15" t="n">
        <v>42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5" t="n">
        <v>45</v>
      </c>
      <c r="U4462" s="15" t="n">
        <v>10</v>
      </c>
      <c r="V4462" s="15">
        <f>ROUNDUP((T4462+U4462+2*'Read Me'!$B$13)*(1+'Read Me'!$B$12),-1)</f>
        <v/>
      </c>
      <c r="W4462" s="15">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c r="F4463" s="12" t="inlineStr">
        <is>
          <t>PCM: power control module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5" t="n">
        <v>163</v>
      </c>
      <c r="U4463" s="15" t="n">
        <v>42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5" t="n">
        <v>1050</v>
      </c>
      <c r="U4464" s="15" t="n">
        <v>32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5" t="n">
        <v>1050</v>
      </c>
      <c r="U4465" s="15" t="n">
        <v>32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5" t="n">
        <v>1050</v>
      </c>
      <c r="U4466" s="15" t="n">
        <v>32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5" t="n">
        <v>103</v>
      </c>
      <c r="U4467" s="15" t="n">
        <v>10</v>
      </c>
      <c r="V4467" s="15">
        <f>ROUNDUP((T4467+U4467+2*'Read Me'!$B$13)*(1+'Read Me'!$B$12),-1)</f>
        <v/>
      </c>
      <c r="W4467" s="15">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Duct bank</t>
        </is>
      </c>
      <c r="T4468" s="15" t="n">
        <v>542</v>
      </c>
      <c r="U4468" s="15" t="n">
        <v>119</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5" t="n">
        <v>103</v>
      </c>
      <c r="U4469" s="15" t="n">
        <v>10</v>
      </c>
      <c r="V4469" s="15">
        <f>ROUNDUP((T4469+U4469+2*'Read Me'!$B$13)*(1+'Read Me'!$B$12),-1)</f>
        <v/>
      </c>
      <c r="W4469" s="15">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Duct bank</t>
        </is>
      </c>
      <c r="T4470" s="15" t="n">
        <v>542</v>
      </c>
      <c r="U4470" s="15" t="n">
        <v>119</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5" t="n">
        <v>103</v>
      </c>
      <c r="U4471" s="15" t="n">
        <v>10</v>
      </c>
      <c r="V4471" s="15">
        <f>ROUNDUP((T4471+U4471+2*'Read Me'!$B$13)*(1+'Read Me'!$B$12),-1)</f>
        <v/>
      </c>
      <c r="W4471" s="15">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Duct bank</t>
        </is>
      </c>
      <c r="T4472" s="15" t="n">
        <v>542</v>
      </c>
      <c r="U4472" s="15" t="n">
        <v>119</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5" t="n">
        <v>103</v>
      </c>
      <c r="U4473" s="15" t="n">
        <v>10</v>
      </c>
      <c r="V4473" s="15">
        <f>ROUNDUP((T4473+U4473+2*'Read Me'!$B$13)*(1+'Read Me'!$B$12),-1)</f>
        <v/>
      </c>
      <c r="W4473" s="15">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Duct bank</t>
        </is>
      </c>
      <c r="T4474" s="15" t="n">
        <v>542</v>
      </c>
      <c r="U4474" s="15" t="n">
        <v>119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5" t="n">
        <v>103</v>
      </c>
      <c r="U4475" s="15" t="n">
        <v>10</v>
      </c>
      <c r="V4475" s="15">
        <f>ROUNDUP((T4475+U4475+2*'Read Me'!$B$13)*(1+'Read Me'!$B$12),-1)</f>
        <v/>
      </c>
      <c r="W4475" s="15">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Duct bank</t>
        </is>
      </c>
      <c r="T4476" s="15" t="n">
        <v>542</v>
      </c>
      <c r="U4476" s="15" t="n">
        <v>119</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5" t="n">
        <v>60</v>
      </c>
      <c r="U4477" s="15" t="n">
        <v>10</v>
      </c>
      <c r="V4477" s="15">
        <f>ROUNDUP((T4477+U4477+2*'Read Me'!$B$13)*(1+'Read Me'!$B$12),-1)</f>
        <v/>
      </c>
      <c r="W4477" s="15">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5" t="n">
        <v>171</v>
      </c>
      <c r="U4478" s="15" t="n">
        <v>27</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5" t="n">
        <v>60</v>
      </c>
      <c r="U4479" s="15" t="n">
        <v>10</v>
      </c>
      <c r="V4479" s="15">
        <f>ROUNDUP((T4479+U4479+2*'Read Me'!$B$13)*(1+'Read Me'!$B$12),-1)</f>
        <v/>
      </c>
      <c r="W4479" s="15">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5" t="n">
        <v>171</v>
      </c>
      <c r="U4480" s="15" t="n">
        <v>27</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5" t="n">
        <v>45</v>
      </c>
      <c r="U4481" s="15" t="n">
        <v>10</v>
      </c>
      <c r="V4481" s="15">
        <f>ROUNDUP((T4481+U4481+2*'Read Me'!$B$13)*(1+'Read Me'!$B$12),-1)</f>
        <v/>
      </c>
      <c r="W4481" s="15">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5" t="n">
        <v>190</v>
      </c>
      <c r="U4482" s="15" t="n">
        <v>27</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5" t="n">
        <v>45</v>
      </c>
      <c r="U4483" s="15" t="n">
        <v>10</v>
      </c>
      <c r="V4483" s="15">
        <f>ROUNDUP((T4483+U4483+2*'Read Me'!$B$13)*(1+'Read Me'!$B$12),-1)</f>
        <v/>
      </c>
      <c r="W4483" s="15">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5" t="n">
        <v>190</v>
      </c>
      <c r="U4484" s="15" t="n">
        <v>27</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5" t="n">
        <v>32</v>
      </c>
      <c r="U4485" s="15" t="n">
        <v>94</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5" t="n">
        <v>32</v>
      </c>
      <c r="U4486" s="15" t="n">
        <v>94</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5" t="n">
        <v>61</v>
      </c>
      <c r="U4487" s="15" t="n">
        <v>10</v>
      </c>
      <c r="V4487" s="15">
        <f>ROUNDUP((T4487+U4487+2*'Read Me'!$B$13)*(1+'Read Me'!$B$12),-1)</f>
        <v/>
      </c>
      <c r="W4487" s="15">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5" t="n">
        <v>96</v>
      </c>
      <c r="U4488" s="15" t="n">
        <v>150</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5" t="n">
        <v>61</v>
      </c>
      <c r="U4489" s="15" t="n">
        <v>10</v>
      </c>
      <c r="V4489" s="15">
        <f>ROUNDUP((T4489+U4489+2*'Read Me'!$B$13)*(1+'Read Me'!$B$12),-1)</f>
        <v/>
      </c>
      <c r="W4489" s="15">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5" t="n">
        <v>96</v>
      </c>
      <c r="U4490" s="15" t="n">
        <v>150</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5" t="n">
        <v>755</v>
      </c>
      <c r="U4491" s="15" t="n">
        <v>32</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5" t="n">
        <v>47</v>
      </c>
      <c r="U4492" s="15" t="n">
        <v>10</v>
      </c>
      <c r="V4492" s="15">
        <f>ROUNDUP((T4492+U4492+2*'Read Me'!$B$13)*(1+'Read Me'!$B$12),-1)</f>
        <v/>
      </c>
      <c r="W4492" s="15">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5" t="n">
        <v>806</v>
      </c>
      <c r="U4493" s="15" t="n">
        <v>105</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5" t="n">
        <v>47</v>
      </c>
      <c r="U4494" s="15" t="n">
        <v>10</v>
      </c>
      <c r="V4494" s="15">
        <f>ROUNDUP((T4494+U4494+2*'Read Me'!$B$13)*(1+'Read Me'!$B$12),-1)</f>
        <v/>
      </c>
      <c r="W4494" s="15">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5" t="n">
        <v>806</v>
      </c>
      <c r="U4495" s="15" t="n">
        <v>105</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5" t="n">
        <v>47</v>
      </c>
      <c r="U4496" s="15" t="n">
        <v>10</v>
      </c>
      <c r="V4496" s="15">
        <f>ROUNDUP((T4496+U4496+2*'Read Me'!$B$13)*(1+'Read Me'!$B$12),-1)</f>
        <v/>
      </c>
      <c r="W4496" s="15">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5" t="n">
        <v>841</v>
      </c>
      <c r="U4497" s="15" t="n">
        <v>98</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5" t="n">
        <v>47</v>
      </c>
      <c r="U4498" s="15" t="n">
        <v>10</v>
      </c>
      <c r="V4498" s="15">
        <f>ROUNDUP((T4498+U4498+2*'Read Me'!$B$13)*(1+'Read Me'!$B$12),-1)</f>
        <v/>
      </c>
      <c r="W4498" s="15">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5" t="n">
        <v>841</v>
      </c>
      <c r="U4499" s="15" t="n">
        <v>98</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5" t="n">
        <v>47</v>
      </c>
      <c r="U4500" s="15" t="n">
        <v>10</v>
      </c>
      <c r="V4500" s="15">
        <f>ROUNDUP((T4500+U4500+2*'Read Me'!$B$13)*(1+'Read Me'!$B$12),-1)</f>
        <v/>
      </c>
      <c r="W4500" s="15">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5" t="n">
        <v>841</v>
      </c>
      <c r="U4501" s="15" t="n">
        <v>98</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5" t="n">
        <v>47</v>
      </c>
      <c r="U4502" s="15" t="n">
        <v>10</v>
      </c>
      <c r="V4502" s="15">
        <f>ROUNDUP((T4502+U4502+2*'Read Me'!$B$13)*(1+'Read Me'!$B$12),-1)</f>
        <v/>
      </c>
      <c r="W4502" s="15">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5" t="n">
        <v>841</v>
      </c>
      <c r="U4503" s="15" t="n">
        <v>98</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5" t="n">
        <v>47</v>
      </c>
      <c r="U4504" s="15" t="n">
        <v>10</v>
      </c>
      <c r="V4504" s="15">
        <f>ROUNDUP((T4504+U4504+2*'Read Me'!$B$13)*(1+'Read Me'!$B$12),-1)</f>
        <v/>
      </c>
      <c r="W4504" s="15">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c r="F4505" s="12" t="inlineStr">
        <is>
          <t>PCM: power control module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5" t="n">
        <v>303</v>
      </c>
      <c r="U4505" s="15" t="n">
        <v>40</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5" t="n">
        <v>47</v>
      </c>
      <c r="U4506" s="15" t="n">
        <v>10</v>
      </c>
      <c r="V4506" s="15">
        <f>ROUNDUP((T4506+U4506+2*'Read Me'!$B$13)*(1+'Read Me'!$B$12),-1)</f>
        <v/>
      </c>
      <c r="W4506" s="15">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c r="F4507" s="12" t="inlineStr">
        <is>
          <t>PCM: power control module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5" t="n">
        <v>303</v>
      </c>
      <c r="U4507" s="15" t="n">
        <v>40</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5" t="n">
        <v>47</v>
      </c>
      <c r="U4508" s="15" t="n">
        <v>10</v>
      </c>
      <c r="V4508" s="15">
        <f>ROUNDUP((T4508+U4508+2*'Read Me'!$B$13)*(1+'Read Me'!$B$12),-1)</f>
        <v/>
      </c>
      <c r="W4508" s="15">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c r="F4509" s="12" t="inlineStr">
        <is>
          <t>PCM: power control module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Duct bank</t>
        </is>
      </c>
      <c r="T4509" s="15" t="n">
        <v>303</v>
      </c>
      <c r="U4509" s="15" t="n">
        <v>54</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5" t="n">
        <v>47</v>
      </c>
      <c r="U4510" s="15" t="n">
        <v>10</v>
      </c>
      <c r="V4510" s="15">
        <f>ROUNDUP((T4510+U4510+2*'Read Me'!$B$13)*(1+'Read Me'!$B$12),-1)</f>
        <v/>
      </c>
      <c r="W4510" s="15">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c r="F4511" s="12" t="inlineStr">
        <is>
          <t>PCM: power control module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5" t="n">
        <v>303</v>
      </c>
      <c r="U4511" s="15" t="n">
        <v>54</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5" t="n">
        <v>47</v>
      </c>
      <c r="U4512" s="15" t="n">
        <v>10</v>
      </c>
      <c r="V4512" s="15">
        <f>ROUNDUP((T4512+U4512+2*'Read Me'!$B$13)*(1+'Read Me'!$B$12),-1)</f>
        <v/>
      </c>
      <c r="W4512" s="15">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c r="F4513" s="12" t="inlineStr">
        <is>
          <t>PCM: power control module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5" t="n">
        <v>303</v>
      </c>
      <c r="U4513" s="15" t="n">
        <v>68</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5" t="n">
        <v>47</v>
      </c>
      <c r="U4514" s="15" t="n">
        <v>10</v>
      </c>
      <c r="V4514" s="15">
        <f>ROUNDUP((T4514+U4514+2*'Read Me'!$B$13)*(1+'Read Me'!$B$12),-1)</f>
        <v/>
      </c>
      <c r="W4514" s="15">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c r="F4515" s="12" t="inlineStr">
        <is>
          <t>PCM: power control module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Duct bank</t>
        </is>
      </c>
      <c r="T4515" s="15" t="n">
        <v>303</v>
      </c>
      <c r="U4515" s="15" t="n">
        <v>68</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5" t="n">
        <v>92</v>
      </c>
      <c r="U4516" s="15" t="n">
        <v>10</v>
      </c>
      <c r="V4516" s="15">
        <f>ROUNDUP((T4516+U4516+2*'Read Me'!$B$13)*(1+'Read Me'!$B$12),-1)</f>
        <v/>
      </c>
      <c r="W4516" s="15">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5" t="n">
        <v>470</v>
      </c>
      <c r="U4517" s="15" t="n">
        <v>160</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5" t="n">
        <v>92</v>
      </c>
      <c r="U4518" s="15" t="n">
        <v>10</v>
      </c>
      <c r="V4518" s="15">
        <f>ROUNDUP((T4518+U4518+2*'Read Me'!$B$13)*(1+'Read Me'!$B$12),-1)</f>
        <v/>
      </c>
      <c r="W4518" s="15">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5" t="n">
        <v>470</v>
      </c>
      <c r="U4519" s="15" t="n">
        <v>160</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5" t="n">
        <v>80</v>
      </c>
      <c r="U4520" s="15" t="n">
        <v>10</v>
      </c>
      <c r="V4520" s="15">
        <f>ROUNDUP((T4520+U4520+2*'Read Me'!$B$13)*(1+'Read Me'!$B$12),-1)</f>
        <v/>
      </c>
      <c r="W4520" s="15">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5" t="n">
        <v>745</v>
      </c>
      <c r="U4521" s="15" t="n">
        <v>139</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5" t="n">
        <v>80</v>
      </c>
      <c r="U4522" s="15" t="n">
        <v>10</v>
      </c>
      <c r="V4522" s="15">
        <f>ROUNDUP((T4522+U4522+2*'Read Me'!$B$13)*(1+'Read Me'!$B$12),-1)</f>
        <v/>
      </c>
      <c r="W4522" s="15">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5" t="n">
        <v>745</v>
      </c>
      <c r="U4523" s="15" t="n">
        <v>139</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5" t="n">
        <v>92</v>
      </c>
      <c r="U4524" s="15" t="n">
        <v>10</v>
      </c>
      <c r="V4524" s="15">
        <f>ROUNDUP((T4524+U4524+2*'Read Me'!$B$13)*(1+'Read Me'!$B$12),-1)</f>
        <v/>
      </c>
      <c r="W4524" s="15">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5" t="n">
        <v>470</v>
      </c>
      <c r="U4525" s="15" t="n">
        <v>132</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5" t="n">
        <v>92</v>
      </c>
      <c r="U4526" s="15" t="n">
        <v>10</v>
      </c>
      <c r="V4526" s="15">
        <f>ROUNDUP((T4526+U4526+2*'Read Me'!$B$13)*(1+'Read Me'!$B$12),-1)</f>
        <v/>
      </c>
      <c r="W4526" s="15">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5" t="n">
        <v>470</v>
      </c>
      <c r="U4527" s="15" t="n">
        <v>132</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5" t="n">
        <v>80</v>
      </c>
      <c r="U4528" s="15" t="n">
        <v>10</v>
      </c>
      <c r="V4528" s="15">
        <f>ROUNDUP((T4528+U4528+2*'Read Me'!$B$13)*(1+'Read Me'!$B$12),-1)</f>
        <v/>
      </c>
      <c r="W4528" s="15">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5" t="n">
        <v>550</v>
      </c>
      <c r="U4529" s="15" t="n">
        <v>192</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5" t="n">
        <v>80</v>
      </c>
      <c r="U4530" s="15" t="n">
        <v>10</v>
      </c>
      <c r="V4530" s="15">
        <f>ROUNDUP((T4530+U4530+2*'Read Me'!$B$13)*(1+'Read Me'!$B$12),-1)</f>
        <v/>
      </c>
      <c r="W4530" s="15">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5" t="n">
        <v>550</v>
      </c>
      <c r="U4531" s="15" t="n">
        <v>192</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5" t="n">
        <v>92</v>
      </c>
      <c r="U4532" s="15" t="n">
        <v>10</v>
      </c>
      <c r="V4532" s="15">
        <f>ROUNDUP((T4532+U4532+2*'Read Me'!$B$13)*(1+'Read Me'!$B$12),-1)</f>
        <v/>
      </c>
      <c r="W4532" s="15">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5" t="n">
        <v>470</v>
      </c>
      <c r="U4533" s="15" t="n">
        <v>104</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5" t="n">
        <v>92</v>
      </c>
      <c r="U4534" s="15" t="n">
        <v>10</v>
      </c>
      <c r="V4534" s="15">
        <f>ROUNDUP((T4534+U4534+2*'Read Me'!$B$13)*(1+'Read Me'!$B$12),-1)</f>
        <v/>
      </c>
      <c r="W4534" s="15">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5" t="n">
        <v>470</v>
      </c>
      <c r="U4535" s="15" t="n">
        <v>104</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5" t="n">
        <v>80</v>
      </c>
      <c r="U4536" s="15" t="n">
        <v>10</v>
      </c>
      <c r="V4536" s="15">
        <f>ROUNDUP((T4536+U4536+2*'Read Me'!$B$13)*(1+'Read Me'!$B$12),-1)</f>
        <v/>
      </c>
      <c r="W4536" s="15">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5" t="n">
        <v>32</v>
      </c>
      <c r="U4537" s="15" t="n">
        <v>232</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5" t="n">
        <v>80</v>
      </c>
      <c r="U4538" s="15" t="n">
        <v>10</v>
      </c>
      <c r="V4538" s="15">
        <f>ROUNDUP((T4538+U4538+2*'Read Me'!$B$13)*(1+'Read Me'!$B$12),-1)</f>
        <v/>
      </c>
      <c r="W4538" s="15">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5" t="n">
        <v>32</v>
      </c>
      <c r="U4539" s="15" t="n">
        <v>232</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5" t="n">
        <v>92</v>
      </c>
      <c r="U4540" s="15" t="n">
        <v>10</v>
      </c>
      <c r="V4540" s="15">
        <f>ROUNDUP((T4540+U4540+2*'Read Me'!$B$13)*(1+'Read Me'!$B$12),-1)</f>
        <v/>
      </c>
      <c r="W4540" s="15">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5" t="n">
        <v>470</v>
      </c>
      <c r="U4541" s="15" t="n">
        <v>76</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5" t="n">
        <v>92</v>
      </c>
      <c r="U4542" s="15" t="n">
        <v>10</v>
      </c>
      <c r="V4542" s="15">
        <f>ROUNDUP((T4542+U4542+2*'Read Me'!$B$13)*(1+'Read Me'!$B$12),-1)</f>
        <v/>
      </c>
      <c r="W4542" s="15">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5" t="n">
        <v>470</v>
      </c>
      <c r="U4543" s="15" t="n">
        <v>76</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5" t="n">
        <v>80</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5" t="n">
        <v>0</v>
      </c>
      <c r="U4545" s="15" t="n">
        <v>206</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5" t="n">
        <v>80</v>
      </c>
      <c r="U4546" s="15" t="n">
        <v>10</v>
      </c>
      <c r="V4546" s="15">
        <f>ROUNDUP((T4546+U4546+2*'Read Me'!$B$13)*(1+'Read Me'!$B$12),-1)</f>
        <v/>
      </c>
      <c r="W4546" s="15">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5" t="n">
        <v>0</v>
      </c>
      <c r="U4547" s="15" t="n">
        <v>206</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5" t="n">
        <v>92</v>
      </c>
      <c r="U4548" s="15" t="n">
        <v>10</v>
      </c>
      <c r="V4548" s="15">
        <f>ROUNDUP((T4548+U4548+2*'Read Me'!$B$13)*(1+'Read Me'!$B$12),-1)</f>
        <v/>
      </c>
      <c r="W4548" s="15">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5" t="n">
        <v>322</v>
      </c>
      <c r="U4549" s="15" t="n">
        <v>196</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5" t="n">
        <v>92</v>
      </c>
      <c r="U4550" s="15" t="n">
        <v>10</v>
      </c>
      <c r="V4550" s="15">
        <f>ROUNDUP((T4550+U4550+2*'Read Me'!$B$13)*(1+'Read Me'!$B$12),-1)</f>
        <v/>
      </c>
      <c r="W4550" s="15">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5" t="n">
        <v>322</v>
      </c>
      <c r="U4551" s="15" t="n">
        <v>196</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5" t="n">
        <v>80</v>
      </c>
      <c r="U4552" s="15" t="n">
        <v>10</v>
      </c>
      <c r="V4552" s="15">
        <f>ROUNDUP((T4552+U4552+2*'Read Me'!$B$13)*(1+'Read Me'!$B$12),-1)</f>
        <v/>
      </c>
      <c r="W4552" s="15">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5" t="n">
        <v>0</v>
      </c>
      <c r="U4553" s="15" t="n">
        <v>178</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5" t="n">
        <v>80</v>
      </c>
      <c r="U4554" s="15" t="n">
        <v>10</v>
      </c>
      <c r="V4554" s="15">
        <f>ROUNDUP((T4554+U4554+2*'Read Me'!$B$13)*(1+'Read Me'!$B$12),-1)</f>
        <v/>
      </c>
      <c r="W4554" s="15">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5" t="n">
        <v>0</v>
      </c>
      <c r="U4555" s="15" t="n">
        <v>178</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5" t="n">
        <v>92</v>
      </c>
      <c r="U4556" s="15" t="n">
        <v>10</v>
      </c>
      <c r="V4556" s="15">
        <f>ROUNDUP((T4556+U4556+2*'Read Me'!$B$13)*(1+'Read Me'!$B$12),-1)</f>
        <v/>
      </c>
      <c r="W4556" s="15">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5" t="n">
        <v>322</v>
      </c>
      <c r="U4557" s="15" t="n">
        <v>168</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5" t="n">
        <v>92</v>
      </c>
      <c r="U4558" s="15" t="n">
        <v>10</v>
      </c>
      <c r="V4558" s="15">
        <f>ROUNDUP((T4558+U4558+2*'Read Me'!$B$13)*(1+'Read Me'!$B$12),-1)</f>
        <v/>
      </c>
      <c r="W4558" s="15">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5" t="n">
        <v>322</v>
      </c>
      <c r="U4559" s="15" t="n">
        <v>168</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5" t="n">
        <v>80</v>
      </c>
      <c r="U4560" s="15" t="n">
        <v>10</v>
      </c>
      <c r="V4560" s="15">
        <f>ROUNDUP((T4560+U4560+2*'Read Me'!$B$13)*(1+'Read Me'!$B$12),-1)</f>
        <v/>
      </c>
      <c r="W4560" s="15">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5" t="n">
        <v>0</v>
      </c>
      <c r="U4561" s="15" t="n">
        <v>150</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5" t="n">
        <v>80</v>
      </c>
      <c r="U4562" s="15" t="n">
        <v>10</v>
      </c>
      <c r="V4562" s="15">
        <f>ROUNDUP((T4562+U4562+2*'Read Me'!$B$13)*(1+'Read Me'!$B$12),-1)</f>
        <v/>
      </c>
      <c r="W4562" s="15">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5" t="n">
        <v>0</v>
      </c>
      <c r="U4563" s="15" t="n">
        <v>150</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5" t="n">
        <v>92</v>
      </c>
      <c r="U4564" s="15" t="n">
        <v>10</v>
      </c>
      <c r="V4564" s="15">
        <f>ROUNDUP((T4564+U4564+2*'Read Me'!$B$13)*(1+'Read Me'!$B$12),-1)</f>
        <v/>
      </c>
      <c r="W4564" s="15">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5" t="n">
        <v>322</v>
      </c>
      <c r="U4565" s="15" t="n">
        <v>140</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5" t="n">
        <v>92</v>
      </c>
      <c r="U4566" s="15" t="n">
        <v>10</v>
      </c>
      <c r="V4566" s="15">
        <f>ROUNDUP((T4566+U4566+2*'Read Me'!$B$13)*(1+'Read Me'!$B$12),-1)</f>
        <v/>
      </c>
      <c r="W4566" s="15">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5" t="n">
        <v>322</v>
      </c>
      <c r="U4567" s="15" t="n">
        <v>140</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5" t="n">
        <v>80</v>
      </c>
      <c r="U4568" s="15" t="n">
        <v>10</v>
      </c>
      <c r="V4568" s="15">
        <f>ROUNDUP((T4568+U4568+2*'Read Me'!$B$13)*(1+'Read Me'!$B$12),-1)</f>
        <v/>
      </c>
      <c r="W4568" s="15">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5" t="n">
        <v>0</v>
      </c>
      <c r="U4569" s="15" t="n">
        <v>122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5" t="n">
        <v>80</v>
      </c>
      <c r="U4570" s="15" t="n">
        <v>10</v>
      </c>
      <c r="V4570" s="15">
        <f>ROUNDUP((T4570+U4570+2*'Read Me'!$B$13)*(1+'Read Me'!$B$12),-1)</f>
        <v/>
      </c>
      <c r="W4570" s="15">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5" t="n">
        <v>0</v>
      </c>
      <c r="U4571" s="15" t="n">
        <v>122</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5" t="n">
        <v>92</v>
      </c>
      <c r="U4572" s="15" t="n">
        <v>10</v>
      </c>
      <c r="V4572" s="15">
        <f>ROUNDUP((T4572+U4572+2*'Read Me'!$B$13)*(1+'Read Me'!$B$12),-1)</f>
        <v/>
      </c>
      <c r="W4572" s="15">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5" t="n">
        <v>322</v>
      </c>
      <c r="U4573" s="15" t="n">
        <v>112</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5" t="n">
        <v>92</v>
      </c>
      <c r="U4574" s="15" t="n">
        <v>10</v>
      </c>
      <c r="V4574" s="15">
        <f>ROUNDUP((T4574+U4574+2*'Read Me'!$B$13)*(1+'Read Me'!$B$12),-1)</f>
        <v/>
      </c>
      <c r="W4574" s="15">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5" t="n">
        <v>322</v>
      </c>
      <c r="U4575" s="15" t="n">
        <v>112</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5" t="n">
        <v>80</v>
      </c>
      <c r="U4576" s="15" t="n">
        <v>10</v>
      </c>
      <c r="V4576" s="15">
        <f>ROUNDUP((T4576+U4576+2*'Read Me'!$B$13)*(1+'Read Me'!$B$12),-1)</f>
        <v/>
      </c>
      <c r="W4576" s="15">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5" t="n">
        <v>0</v>
      </c>
      <c r="U4577" s="15" t="n">
        <v>94</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5" t="n">
        <v>80</v>
      </c>
      <c r="U4578" s="15" t="n">
        <v>10</v>
      </c>
      <c r="V4578" s="15">
        <f>ROUNDUP((T4578+U4578+2*'Read Me'!$B$13)*(1+'Read Me'!$B$12),-1)</f>
        <v/>
      </c>
      <c r="W4578" s="15">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5" t="n">
        <v>0</v>
      </c>
      <c r="U4579" s="15" t="n">
        <v>94</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5" t="n">
        <v>367</v>
      </c>
      <c r="U4580" s="15" t="n">
        <v>95</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5" t="n">
        <v>367</v>
      </c>
      <c r="U4581" s="15" t="n">
        <v>95</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5" t="n">
        <v>367</v>
      </c>
      <c r="U4582" s="15" t="n">
        <v>95</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5" t="n">
        <v>367</v>
      </c>
      <c r="U4583" s="15" t="n">
        <v>95</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5" t="n">
        <v>367</v>
      </c>
      <c r="U4584" s="15" t="n">
        <v>95</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5" t="n">
        <v>367</v>
      </c>
      <c r="U4585" s="15" t="n">
        <v>95</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5" t="n">
        <v>367</v>
      </c>
      <c r="U4586" s="15" t="n">
        <v>95</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5" t="n">
        <v>367</v>
      </c>
      <c r="U4587" s="15" t="n">
        <v>95</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5" t="n">
        <v>367</v>
      </c>
      <c r="U4588" s="15" t="n">
        <v>95</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5" t="n">
        <v>367</v>
      </c>
      <c r="U4589" s="15" t="n">
        <v>95</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5" t="n">
        <v>367</v>
      </c>
      <c r="U4590" s="15" t="n">
        <v>95</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5" t="n">
        <v>367</v>
      </c>
      <c r="U4591" s="15" t="n">
        <v>95</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5" t="n">
        <v>367</v>
      </c>
      <c r="U4592" s="15" t="n">
        <v>95</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5" t="n">
        <v>367</v>
      </c>
      <c r="U4593" s="15" t="n">
        <v>95</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5" t="n">
        <v>367</v>
      </c>
      <c r="U4594" s="15" t="n">
        <v>95</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5" t="n">
        <v>367</v>
      </c>
      <c r="U4595" s="15" t="n">
        <v>95</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5" t="n">
        <v>72</v>
      </c>
      <c r="U4596" s="15" t="n">
        <v>10</v>
      </c>
      <c r="V4596" s="15">
        <f>ROUNDUP((T4596+U4596+2*'Read Me'!$B$13)*(1+'Read Me'!$B$12),-1)</f>
        <v/>
      </c>
      <c r="W4596" s="15">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5" t="n">
        <v>550</v>
      </c>
      <c r="U4597" s="15" t="n">
        <v>137</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5" t="n">
        <v>72</v>
      </c>
      <c r="U4598" s="15" t="n">
        <v>10</v>
      </c>
      <c r="V4598" s="15">
        <f>ROUNDUP((T4598+U4598+2*'Read Me'!$B$13)*(1+'Read Me'!$B$12),-1)</f>
        <v/>
      </c>
      <c r="W4598" s="15">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5" t="n">
        <v>550</v>
      </c>
      <c r="U4599" s="15" t="n">
        <v>137</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5" t="n">
        <v>72</v>
      </c>
      <c r="U4600" s="15" t="n">
        <v>10</v>
      </c>
      <c r="V4600" s="15">
        <f>ROUNDUP((T4600+U4600+2*'Read Me'!$B$13)*(1+'Read Me'!$B$12),-1)</f>
        <v/>
      </c>
      <c r="W4600" s="15">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5" t="n">
        <v>550</v>
      </c>
      <c r="U4601" s="15" t="n">
        <v>137</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5" t="n">
        <v>72</v>
      </c>
      <c r="U4602" s="15" t="n">
        <v>10</v>
      </c>
      <c r="V4602" s="15">
        <f>ROUNDUP((T4602+U4602+2*'Read Me'!$B$13)*(1+'Read Me'!$B$12),-1)</f>
        <v/>
      </c>
      <c r="W4602" s="15">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5" t="n">
        <v>550</v>
      </c>
      <c r="U4603" s="15" t="n">
        <v>137</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5" t="n">
        <v>72</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550</v>
      </c>
      <c r="U4605" s="15" t="n">
        <v>137</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5" t="n">
        <v>72</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550</v>
      </c>
      <c r="U4607" s="15" t="n">
        <v>137</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72</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550</v>
      </c>
      <c r="U4609" s="15" t="n">
        <v>137</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5" t="n">
        <v>72</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5" t="n">
        <v>550</v>
      </c>
      <c r="U4611" s="15" t="n">
        <v>137</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5" t="n">
        <v>72</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5" t="n">
        <v>550</v>
      </c>
      <c r="U4613" s="15" t="n">
        <v>137</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5" t="n">
        <v>72</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5" t="n">
        <v>550</v>
      </c>
      <c r="U4615" s="15" t="n">
        <v>137</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5" t="n">
        <v>72</v>
      </c>
      <c r="U4616" s="15" t="n">
        <v>10</v>
      </c>
      <c r="V4616" s="15">
        <f>ROUNDUP((T4616+U4616+2*'Read Me'!$B$13)*(1+'Read Me'!$B$12),-1)</f>
        <v/>
      </c>
      <c r="W4616" s="15">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5" t="n">
        <v>550</v>
      </c>
      <c r="U4617" s="15" t="n">
        <v>137</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5" t="n">
        <v>72</v>
      </c>
      <c r="U4618" s="15" t="n">
        <v>10</v>
      </c>
      <c r="V4618" s="15">
        <f>ROUNDUP((T4618+U4618+2*'Read Me'!$B$13)*(1+'Read Me'!$B$12),-1)</f>
        <v/>
      </c>
      <c r="W4618" s="15">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5" t="n">
        <v>550</v>
      </c>
      <c r="U4619" s="15" t="n">
        <v>109</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5" t="n">
        <v>72</v>
      </c>
      <c r="U4620" s="15" t="n">
        <v>10</v>
      </c>
      <c r="V4620" s="15">
        <f>ROUNDUP((T4620+U4620+2*'Read Me'!$B$13)*(1+'Read Me'!$B$12),-1)</f>
        <v/>
      </c>
      <c r="W4620" s="15">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5" t="n">
        <v>550</v>
      </c>
      <c r="U4621" s="15" t="n">
        <v>109</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5" t="n">
        <v>72</v>
      </c>
      <c r="U4622" s="15" t="n">
        <v>10</v>
      </c>
      <c r="V4622" s="15">
        <f>ROUNDUP((T4622+U4622+2*'Read Me'!$B$13)*(1+'Read Me'!$B$12),-1)</f>
        <v/>
      </c>
      <c r="W4622" s="15">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5" t="n">
        <v>550</v>
      </c>
      <c r="U4623" s="15" t="n">
        <v>109</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5" t="n">
        <v>72</v>
      </c>
      <c r="U4624" s="15" t="n">
        <v>10</v>
      </c>
      <c r="V4624" s="15">
        <f>ROUNDUP((T4624+U4624+2*'Read Me'!$B$13)*(1+'Read Me'!$B$12),-1)</f>
        <v/>
      </c>
      <c r="W4624" s="15">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5" t="n">
        <v>550</v>
      </c>
      <c r="U4625" s="15" t="n">
        <v>109</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5" t="n">
        <v>72</v>
      </c>
      <c r="U4626" s="15" t="n">
        <v>10</v>
      </c>
      <c r="V4626" s="15">
        <f>ROUNDUP((T4626+U4626+2*'Read Me'!$B$13)*(1+'Read Me'!$B$12),-1)</f>
        <v/>
      </c>
      <c r="W4626" s="15">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5" t="n">
        <v>550</v>
      </c>
      <c r="U4627" s="15" t="n">
        <v>109</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5" t="n">
        <v>72</v>
      </c>
      <c r="U4628" s="15" t="n">
        <v>10</v>
      </c>
      <c r="V4628" s="15">
        <f>ROUNDUP((T4628+U4628+2*'Read Me'!$B$13)*(1+'Read Me'!$B$12),-1)</f>
        <v/>
      </c>
      <c r="W4628" s="15">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5" t="n">
        <v>550</v>
      </c>
      <c r="U4629" s="15" t="n">
        <v>109</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5" t="n">
        <v>72</v>
      </c>
      <c r="U4630" s="15" t="n">
        <v>10</v>
      </c>
      <c r="V4630" s="15">
        <f>ROUNDUP((T4630+U4630+2*'Read Me'!$B$13)*(1+'Read Me'!$B$12),-1)</f>
        <v/>
      </c>
      <c r="W4630" s="15">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5" t="n">
        <v>550</v>
      </c>
      <c r="U4631" s="15" t="n">
        <v>109</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5" t="n">
        <v>72</v>
      </c>
      <c r="U4632" s="15" t="n">
        <v>10</v>
      </c>
      <c r="V4632" s="15">
        <f>ROUNDUP((T4632+U4632+2*'Read Me'!$B$13)*(1+'Read Me'!$B$12),-1)</f>
        <v/>
      </c>
      <c r="W4632" s="15">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5" t="n">
        <v>550</v>
      </c>
      <c r="U4633" s="15" t="n">
        <v>109</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5" t="n">
        <v>72</v>
      </c>
      <c r="U4634" s="15" t="n">
        <v>10</v>
      </c>
      <c r="V4634" s="15">
        <f>ROUNDUP((T4634+U4634+2*'Read Me'!$B$13)*(1+'Read Me'!$B$12),-1)</f>
        <v/>
      </c>
      <c r="W4634" s="15">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5" t="n">
        <v>550</v>
      </c>
      <c r="U4635" s="15" t="n">
        <v>109</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5" t="n">
        <v>72</v>
      </c>
      <c r="U4636" s="15" t="n">
        <v>10</v>
      </c>
      <c r="V4636" s="15">
        <f>ROUNDUP((T4636+U4636+2*'Read Me'!$B$13)*(1+'Read Me'!$B$12),-1)</f>
        <v/>
      </c>
      <c r="W4636" s="15">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5" t="n">
        <v>550</v>
      </c>
      <c r="U4637" s="15" t="n">
        <v>109</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5" t="n">
        <v>72</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5" t="n">
        <v>550</v>
      </c>
      <c r="U4639" s="15" t="n">
        <v>109</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5" t="n">
        <v>72</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550</v>
      </c>
      <c r="U4641" s="15" t="n">
        <v>81</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5" t="n">
        <v>72</v>
      </c>
      <c r="U4642" s="15" t="n">
        <v>10</v>
      </c>
      <c r="V4642" s="15">
        <f>ROUNDUP((T4642+U4642+2*'Read Me'!$B$13)*(1+'Read Me'!$B$12),-1)</f>
        <v/>
      </c>
      <c r="W4642" s="15">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5" t="n">
        <v>550</v>
      </c>
      <c r="U4643" s="15" t="n">
        <v>81</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5" t="n">
        <v>72</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5" t="n">
        <v>550</v>
      </c>
      <c r="U4645" s="15" t="n">
        <v>81</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5" t="n">
        <v>72</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5" t="n">
        <v>550</v>
      </c>
      <c r="U4647" s="15" t="n">
        <v>81</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5" t="n">
        <v>72</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5" t="n">
        <v>550</v>
      </c>
      <c r="U4649" s="15" t="n">
        <v>81</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5" t="n">
        <v>72</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5" t="n">
        <v>550</v>
      </c>
      <c r="U4651" s="15" t="n">
        <v>81</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5" t="n">
        <v>72</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5" t="n">
        <v>550</v>
      </c>
      <c r="U4653" s="15" t="n">
        <v>81</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5" t="n">
        <v>72</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5" t="n">
        <v>550</v>
      </c>
      <c r="U4655" s="15" t="n">
        <v>81</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5" t="n">
        <v>72</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5" t="n">
        <v>550</v>
      </c>
      <c r="U4657" s="15" t="n">
        <v>81</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5" t="n">
        <v>72</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5" t="n">
        <v>550</v>
      </c>
      <c r="U4659" s="15" t="n">
        <v>81</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5" t="n">
        <v>72</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5" t="n">
        <v>550</v>
      </c>
      <c r="U4661" s="15" t="n">
        <v>81</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5" t="n">
        <v>72</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5" t="n">
        <v>550</v>
      </c>
      <c r="U4663" s="15" t="n">
        <v>53</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5" t="n">
        <v>72</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5" t="n">
        <v>550</v>
      </c>
      <c r="U4665" s="15" t="n">
        <v>53</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5" t="n">
        <v>72</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5" t="n">
        <v>550</v>
      </c>
      <c r="U4667" s="15" t="n">
        <v>53</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5" t="n">
        <v>72</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5" t="n">
        <v>550</v>
      </c>
      <c r="U4669" s="15" t="n">
        <v>53</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5" t="n">
        <v>72</v>
      </c>
      <c r="U4670" s="15" t="n">
        <v>10</v>
      </c>
      <c r="V4670" s="15">
        <f>ROUNDUP((T4670+U4670+2*'Read Me'!$B$13)*(1+'Read Me'!$B$12),-1)</f>
        <v/>
      </c>
      <c r="W4670" s="15">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5" t="n">
        <v>550</v>
      </c>
      <c r="U4671" s="15" t="n">
        <v>53</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5" t="n">
        <v>72</v>
      </c>
      <c r="U4672" s="15" t="n">
        <v>10</v>
      </c>
      <c r="V4672" s="15">
        <f>ROUNDUP((T4672+U4672+2*'Read Me'!$B$13)*(1+'Read Me'!$B$12),-1)</f>
        <v/>
      </c>
      <c r="W4672" s="15">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5" t="n">
        <v>550</v>
      </c>
      <c r="U4673" s="15" t="n">
        <v>53</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5" t="n">
        <v>72</v>
      </c>
      <c r="U4674" s="15" t="n">
        <v>10</v>
      </c>
      <c r="V4674" s="15">
        <f>ROUNDUP((T4674+U4674+2*'Read Me'!$B$13)*(1+'Read Me'!$B$12),-1)</f>
        <v/>
      </c>
      <c r="W4674" s="15">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5" t="n">
        <v>550</v>
      </c>
      <c r="U4675" s="15" t="n">
        <v>53</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5" t="n">
        <v>72</v>
      </c>
      <c r="U4676" s="15" t="n">
        <v>10</v>
      </c>
      <c r="V4676" s="15">
        <f>ROUNDUP((T4676+U4676+2*'Read Me'!$B$13)*(1+'Read Me'!$B$12),-1)</f>
        <v/>
      </c>
      <c r="W4676" s="15">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5" t="n">
        <v>550</v>
      </c>
      <c r="U4677" s="15" t="n">
        <v>53</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5" t="n">
        <v>72</v>
      </c>
      <c r="U4678" s="15" t="n">
        <v>10</v>
      </c>
      <c r="V4678" s="15">
        <f>ROUNDUP((T4678+U4678+2*'Read Me'!$B$13)*(1+'Read Me'!$B$12),-1)</f>
        <v/>
      </c>
      <c r="W4678" s="15">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5" t="n">
        <v>550</v>
      </c>
      <c r="U4679" s="15" t="n">
        <v>53</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5" t="n">
        <v>72</v>
      </c>
      <c r="U4680" s="15" t="n">
        <v>10</v>
      </c>
      <c r="V4680" s="15">
        <f>ROUNDUP((T4680+U4680+2*'Read Me'!$B$13)*(1+'Read Me'!$B$12),-1)</f>
        <v/>
      </c>
      <c r="W4680" s="15">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5" t="n">
        <v>550</v>
      </c>
      <c r="U4681" s="15" t="n">
        <v>53</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5" t="n">
        <v>72</v>
      </c>
      <c r="U4682" s="15" t="n">
        <v>10</v>
      </c>
      <c r="V4682" s="15">
        <f>ROUNDUP((T4682+U4682+2*'Read Me'!$B$13)*(1+'Read Me'!$B$12),-1)</f>
        <v/>
      </c>
      <c r="W4682" s="15">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5" t="n">
        <v>550</v>
      </c>
      <c r="U4683" s="15" t="n">
        <v>53</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5" t="n">
        <v>72</v>
      </c>
      <c r="U4684" s="15" t="n">
        <v>10</v>
      </c>
      <c r="V4684" s="15">
        <f>ROUNDUP((T4684+U4684+2*'Read Me'!$B$13)*(1+'Read Me'!$B$12),-1)</f>
        <v/>
      </c>
      <c r="W4684" s="15">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5" t="n">
        <v>367</v>
      </c>
      <c r="U4685" s="15" t="n">
        <v>208</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5" t="n">
        <v>72</v>
      </c>
      <c r="U4686" s="15" t="n">
        <v>10</v>
      </c>
      <c r="V4686" s="15">
        <f>ROUNDUP((T4686+U4686+2*'Read Me'!$B$13)*(1+'Read Me'!$B$12),-1)</f>
        <v/>
      </c>
      <c r="W4686" s="15">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5" t="n">
        <v>367</v>
      </c>
      <c r="U4687" s="15" t="n">
        <v>208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5" t="n">
        <v>72</v>
      </c>
      <c r="U4688" s="15" t="n">
        <v>10</v>
      </c>
      <c r="V4688" s="15">
        <f>ROUNDUP((T4688+U4688+2*'Read Me'!$B$13)*(1+'Read Me'!$B$12),-1)</f>
        <v/>
      </c>
      <c r="W4688" s="15">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5" t="n">
        <v>367</v>
      </c>
      <c r="U4689" s="15" t="n">
        <v>208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5" t="n">
        <v>72</v>
      </c>
      <c r="U4690" s="15" t="n">
        <v>10</v>
      </c>
      <c r="V4690" s="15">
        <f>ROUNDUP((T4690+U4690+2*'Read Me'!$B$13)*(1+'Read Me'!$B$12),-1)</f>
        <v/>
      </c>
      <c r="W4690" s="15">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5" t="n">
        <v>367</v>
      </c>
      <c r="U4691" s="15" t="n">
        <v>208</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5" t="n">
        <v>72</v>
      </c>
      <c r="U4692" s="15" t="n">
        <v>10</v>
      </c>
      <c r="V4692" s="15">
        <f>ROUNDUP((T4692+U4692+2*'Read Me'!$B$13)*(1+'Read Me'!$B$12),-1)</f>
        <v/>
      </c>
      <c r="W4692" s="15">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5" t="n">
        <v>367</v>
      </c>
      <c r="U4693" s="15" t="n">
        <v>208</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5" t="n">
        <v>72</v>
      </c>
      <c r="U4694" s="15" t="n">
        <v>10</v>
      </c>
      <c r="V4694" s="15">
        <f>ROUNDUP((T4694+U4694+2*'Read Me'!$B$13)*(1+'Read Me'!$B$12),-1)</f>
        <v/>
      </c>
      <c r="W4694" s="15">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5" t="n">
        <v>367</v>
      </c>
      <c r="U4695" s="15" t="n">
        <v>208</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5" t="n">
        <v>72</v>
      </c>
      <c r="U4696" s="15" t="n">
        <v>10</v>
      </c>
      <c r="V4696" s="15">
        <f>ROUNDUP((T4696+U4696+2*'Read Me'!$B$13)*(1+'Read Me'!$B$12),-1)</f>
        <v/>
      </c>
      <c r="W4696" s="15">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5" t="n">
        <v>367</v>
      </c>
      <c r="U4697" s="15" t="n">
        <v>208</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5" t="n">
        <v>72</v>
      </c>
      <c r="U4698" s="15" t="n">
        <v>10</v>
      </c>
      <c r="V4698" s="15">
        <f>ROUNDUP((T4698+U4698+2*'Read Me'!$B$13)*(1+'Read Me'!$B$12),-1)</f>
        <v/>
      </c>
      <c r="W4698" s="15">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5" t="n">
        <v>367</v>
      </c>
      <c r="U4699" s="15" t="n">
        <v>208</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5" t="n">
        <v>72</v>
      </c>
      <c r="U4700" s="15" t="n">
        <v>10</v>
      </c>
      <c r="V4700" s="15">
        <f>ROUNDUP((T4700+U4700+2*'Read Me'!$B$13)*(1+'Read Me'!$B$12),-1)</f>
        <v/>
      </c>
      <c r="W4700" s="15">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5" t="n">
        <v>367</v>
      </c>
      <c r="U4701" s="15" t="n">
        <v>208</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5" t="n">
        <v>72</v>
      </c>
      <c r="U4702" s="15" t="n">
        <v>10</v>
      </c>
      <c r="V4702" s="15">
        <f>ROUNDUP((T4702+U4702+2*'Read Me'!$B$13)*(1+'Read Me'!$B$12),-1)</f>
        <v/>
      </c>
      <c r="W4702" s="15">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5" t="n">
        <v>367</v>
      </c>
      <c r="U4703" s="15" t="n">
        <v>208</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5" t="n">
        <v>72</v>
      </c>
      <c r="U4704" s="15" t="n">
        <v>10</v>
      </c>
      <c r="V4704" s="15">
        <f>ROUNDUP((T4704+U4704+2*'Read Me'!$B$13)*(1+'Read Me'!$B$12),-1)</f>
        <v/>
      </c>
      <c r="W4704" s="15">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5" t="n">
        <v>367</v>
      </c>
      <c r="U4705" s="15" t="n">
        <v>208</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5" t="n">
        <v>72</v>
      </c>
      <c r="U4706" s="15" t="n">
        <v>10</v>
      </c>
      <c r="V4706" s="15">
        <f>ROUNDUP((T4706+U4706+2*'Read Me'!$B$13)*(1+'Read Me'!$B$12),-1)</f>
        <v/>
      </c>
      <c r="W4706" s="15">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5" t="n">
        <v>367</v>
      </c>
      <c r="U4707" s="15" t="n">
        <v>180</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5" t="n">
        <v>72</v>
      </c>
      <c r="U4708" s="15" t="n">
        <v>10</v>
      </c>
      <c r="V4708" s="15">
        <f>ROUNDUP((T4708+U4708+2*'Read Me'!$B$13)*(1+'Read Me'!$B$12),-1)</f>
        <v/>
      </c>
      <c r="W4708" s="15">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5" t="n">
        <v>367</v>
      </c>
      <c r="U4709" s="15" t="n">
        <v>180</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5" t="n">
        <v>72</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5" t="n">
        <v>367</v>
      </c>
      <c r="U4711" s="15" t="n">
        <v>180</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5" t="n">
        <v>72</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367</v>
      </c>
      <c r="U4713" s="15" t="n">
        <v>180</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5" t="n">
        <v>72</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367</v>
      </c>
      <c r="U4715" s="15" t="n">
        <v>180</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5" t="n">
        <v>72</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367</v>
      </c>
      <c r="U4717" s="15" t="n">
        <v>180</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5" t="n">
        <v>72</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367</v>
      </c>
      <c r="U4719" s="15" t="n">
        <v>180</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5" t="n">
        <v>72</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5" t="n">
        <v>367</v>
      </c>
      <c r="U4721" s="15" t="n">
        <v>180</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5" t="n">
        <v>72</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5" t="n">
        <v>367</v>
      </c>
      <c r="U4723" s="15" t="n">
        <v>180</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5" t="n">
        <v>72</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5" t="n">
        <v>367</v>
      </c>
      <c r="U4725" s="15" t="n">
        <v>180</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5" t="n">
        <v>72</v>
      </c>
      <c r="U4726" s="15" t="n">
        <v>10</v>
      </c>
      <c r="V4726" s="15">
        <f>ROUNDUP((T4726+U4726+2*'Read Me'!$B$13)*(1+'Read Me'!$B$12),-1)</f>
        <v/>
      </c>
      <c r="W4726" s="15">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5" t="n">
        <v>367</v>
      </c>
      <c r="U4727" s="15" t="n">
        <v>180</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5" t="n">
        <v>72</v>
      </c>
      <c r="U4728" s="15" t="n">
        <v>10</v>
      </c>
      <c r="V4728" s="15">
        <f>ROUNDUP((T4728+U4728+2*'Read Me'!$B$13)*(1+'Read Me'!$B$12),-1)</f>
        <v/>
      </c>
      <c r="W4728" s="15">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5" t="n">
        <v>0</v>
      </c>
      <c r="U4729" s="15" t="n">
        <v>189</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5" t="n">
        <v>72</v>
      </c>
      <c r="U4730" s="15" t="n">
        <v>10</v>
      </c>
      <c r="V4730" s="15">
        <f>ROUNDUP((T4730+U4730+2*'Read Me'!$B$13)*(1+'Read Me'!$B$12),-1)</f>
        <v/>
      </c>
      <c r="W4730" s="15">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5" t="n">
        <v>0</v>
      </c>
      <c r="U4731" s="15" t="n">
        <v>189</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5" t="n">
        <v>72</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5" t="n">
        <v>0</v>
      </c>
      <c r="U4733" s="15" t="n">
        <v>189</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5" t="n">
        <v>72</v>
      </c>
      <c r="U4734" s="15" t="n">
        <v>10</v>
      </c>
      <c r="V4734" s="15">
        <f>ROUNDUP((T4734+U4734+2*'Read Me'!$B$13)*(1+'Read Me'!$B$12),-1)</f>
        <v/>
      </c>
      <c r="W4734" s="15">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5" t="n">
        <v>0</v>
      </c>
      <c r="U4735" s="15" t="n">
        <v>189</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5" t="n">
        <v>72</v>
      </c>
      <c r="U4736" s="15" t="n">
        <v>10</v>
      </c>
      <c r="V4736" s="15">
        <f>ROUNDUP((T4736+U4736+2*'Read Me'!$B$13)*(1+'Read Me'!$B$12),-1)</f>
        <v/>
      </c>
      <c r="W4736" s="15">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5" t="n">
        <v>0</v>
      </c>
      <c r="U4737" s="15" t="n">
        <v>189</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5" t="n">
        <v>72</v>
      </c>
      <c r="U4738" s="15" t="n">
        <v>10</v>
      </c>
      <c r="V4738" s="15">
        <f>ROUNDUP((T4738+U4738+2*'Read Me'!$B$13)*(1+'Read Me'!$B$12),-1)</f>
        <v/>
      </c>
      <c r="W4738" s="15">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5" t="n">
        <v>0</v>
      </c>
      <c r="U4739" s="15" t="n">
        <v>189</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5" t="n">
        <v>72</v>
      </c>
      <c r="U4740" s="15" t="n">
        <v>10</v>
      </c>
      <c r="V4740" s="15">
        <f>ROUNDUP((T4740+U4740+2*'Read Me'!$B$13)*(1+'Read Me'!$B$12),-1)</f>
        <v/>
      </c>
      <c r="W4740" s="15">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5" t="n">
        <v>0</v>
      </c>
      <c r="U4741" s="15" t="n">
        <v>189</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5" t="n">
        <v>72</v>
      </c>
      <c r="U4742" s="15" t="n">
        <v>10</v>
      </c>
      <c r="V4742" s="15">
        <f>ROUNDUP((T4742+U4742+2*'Read Me'!$B$13)*(1+'Read Me'!$B$12),-1)</f>
        <v/>
      </c>
      <c r="W4742" s="15">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5" t="n">
        <v>0</v>
      </c>
      <c r="U4743" s="15" t="n">
        <v>189</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5" t="n">
        <v>72</v>
      </c>
      <c r="U4744" s="15" t="n">
        <v>10</v>
      </c>
      <c r="V4744" s="15">
        <f>ROUNDUP((T4744+U4744+2*'Read Me'!$B$13)*(1+'Read Me'!$B$12),-1)</f>
        <v/>
      </c>
      <c r="W4744" s="15">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5" t="n">
        <v>0</v>
      </c>
      <c r="U4745" s="15" t="n">
        <v>189</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5" t="n">
        <v>72</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5" t="n">
        <v>0</v>
      </c>
      <c r="U4747" s="15" t="n">
        <v>189</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5" t="n">
        <v>72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5" t="n">
        <v>0</v>
      </c>
      <c r="U4749" s="15" t="n">
        <v>189</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5" t="n">
        <v>72</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5" t="n">
        <v>0</v>
      </c>
      <c r="U4751" s="15" t="n">
        <v>161</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5" t="n">
        <v>72</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5" t="n">
        <v>0</v>
      </c>
      <c r="U4753" s="15" t="n">
        <v>161</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5" t="n">
        <v>72</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5" t="n">
        <v>0</v>
      </c>
      <c r="U4755" s="15" t="n">
        <v>161</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5" t="n">
        <v>72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5" t="n">
        <v>0</v>
      </c>
      <c r="U4757" s="15" t="n">
        <v>161</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5" t="n">
        <v>72</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5" t="n">
        <v>0</v>
      </c>
      <c r="U4759" s="15" t="n">
        <v>161</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5" t="n">
        <v>72</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5" t="n">
        <v>0</v>
      </c>
      <c r="U4761" s="15" t="n">
        <v>161</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5" t="n">
        <v>72</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5" t="n">
        <v>0</v>
      </c>
      <c r="U4763" s="15" t="n">
        <v>161</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5" t="n">
        <v>72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5" t="n">
        <v>0</v>
      </c>
      <c r="U4765" s="15" t="n">
        <v>161</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5" t="n">
        <v>72</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5" t="n">
        <v>0</v>
      </c>
      <c r="U4767" s="15" t="n">
        <v>161</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5" t="n">
        <v>72</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5" t="n">
        <v>0</v>
      </c>
      <c r="U4769" s="15" t="n">
        <v>161</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5" t="n">
        <v>72</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5" t="n">
        <v>0</v>
      </c>
      <c r="U4771" s="15" t="n">
        <v>161</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5" t="n">
        <v>32</v>
      </c>
      <c r="U4772" s="15" t="n">
        <v>32</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5" t="n">
        <v>74</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5" t="n">
        <v>214</v>
      </c>
      <c r="U4774" s="15" t="n">
        <v>97</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5" t="n">
        <v>74</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5" t="n">
        <v>214</v>
      </c>
      <c r="U4776" s="15" t="n">
        <v>97</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5" t="n">
        <v>46</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172</v>
      </c>
      <c r="U4778" s="15" t="n">
        <v>58</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5" t="n">
        <v>46</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172</v>
      </c>
      <c r="U4780" s="15" t="n">
        <v>58</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5" t="n">
        <v>99</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5" t="n">
        <v>40</v>
      </c>
      <c r="U4782" s="15" t="n">
        <v>52</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5" t="n">
        <v>99</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5" t="n">
        <v>40</v>
      </c>
      <c r="U4784" s="15" t="n">
        <v>52</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5" t="n">
        <v>99</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40</v>
      </c>
      <c r="U4786" s="15" t="n">
        <v>52</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5" t="n">
        <v>99</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40</v>
      </c>
      <c r="U4788" s="15" t="n">
        <v>52</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5" t="n">
        <v>99</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5" t="n">
        <v>40</v>
      </c>
      <c r="U4790" s="15" t="n">
        <v>52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5" t="n">
        <v>99</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5" t="n">
        <v>40</v>
      </c>
      <c r="U4792" s="15" t="n">
        <v>52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5" t="n">
        <v>99</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40</v>
      </c>
      <c r="U4794" s="15" t="n">
        <v>52</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5" t="n">
        <v>99</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40</v>
      </c>
      <c r="U4796" s="15" t="n">
        <v>52</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5" t="n">
        <v>99</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5" t="n">
        <v>40</v>
      </c>
      <c r="U4798" s="15" t="n">
        <v>52</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5" t="n">
        <v>99</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5" t="n">
        <v>40</v>
      </c>
      <c r="U4800" s="15" t="n">
        <v>52</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5" t="n">
        <v>99</v>
      </c>
      <c r="U4801" s="15" t="n">
        <v>10</v>
      </c>
      <c r="V4801" s="15">
        <f>ROUNDUP((T4801+U4801+2*'Read Me'!$B$13)*(1+'Read Me'!$B$12),-1)</f>
        <v/>
      </c>
      <c r="W4801" s="15">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5" t="n">
        <v>40</v>
      </c>
      <c r="U4802" s="15" t="n">
        <v>52</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5" t="n">
        <v>99</v>
      </c>
      <c r="U4803" s="15" t="n">
        <v>10</v>
      </c>
      <c r="V4803" s="15">
        <f>ROUNDUP((T4803+U4803+2*'Read Me'!$B$13)*(1+'Read Me'!$B$12),-1)</f>
        <v/>
      </c>
      <c r="W4803" s="15">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5" t="n">
        <v>40</v>
      </c>
      <c r="U4804" s="15" t="n">
        <v>52</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5" t="n">
        <v>99</v>
      </c>
      <c r="U4805" s="15" t="n">
        <v>10</v>
      </c>
      <c r="V4805" s="15">
        <f>ROUNDUP((T4805+U4805+2*'Read Me'!$B$13)*(1+'Read Me'!$B$12),-1)</f>
        <v/>
      </c>
      <c r="W4805" s="15">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5" t="n">
        <v>40</v>
      </c>
      <c r="U4806" s="15" t="n">
        <v>52</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5" t="n">
        <v>99</v>
      </c>
      <c r="U4807" s="15" t="n">
        <v>10</v>
      </c>
      <c r="V4807" s="15">
        <f>ROUNDUP((T4807+U4807+2*'Read Me'!$B$13)*(1+'Read Me'!$B$12),-1)</f>
        <v/>
      </c>
      <c r="W4807" s="15">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5" t="n">
        <v>40</v>
      </c>
      <c r="U4808" s="15" t="n">
        <v>52</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5" t="n">
        <v>99</v>
      </c>
      <c r="U4809" s="15" t="n">
        <v>10</v>
      </c>
      <c r="V4809" s="15">
        <f>ROUNDUP((T4809+U4809+2*'Read Me'!$B$13)*(1+'Read Me'!$B$12),-1)</f>
        <v/>
      </c>
      <c r="W4809" s="15">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5" t="n">
        <v>40</v>
      </c>
      <c r="U4810" s="15" t="n">
        <v>52</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5" t="n">
        <v>74</v>
      </c>
      <c r="U4811" s="15" t="n">
        <v>10</v>
      </c>
      <c r="V4811" s="15">
        <f>ROUNDUP((T4811+U4811+2*'Read Me'!$B$13)*(1+'Read Me'!$B$12),-1)</f>
        <v/>
      </c>
      <c r="W4811" s="15">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5" t="n">
        <v>400</v>
      </c>
      <c r="U4812" s="15" t="n">
        <v>191</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5" t="n">
        <v>74</v>
      </c>
      <c r="U4813" s="15" t="n">
        <v>10</v>
      </c>
      <c r="V4813" s="15">
        <f>ROUNDUP((T4813+U4813+2*'Read Me'!$B$13)*(1+'Read Me'!$B$12),-1)</f>
        <v/>
      </c>
      <c r="W4813" s="15">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5" t="n">
        <v>400</v>
      </c>
      <c r="U4814" s="15" t="n">
        <v>191</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5" t="n">
        <v>46</v>
      </c>
      <c r="U4815" s="15" t="n">
        <v>10</v>
      </c>
      <c r="V4815" s="15">
        <f>ROUNDUP((T4815+U4815+2*'Read Me'!$B$13)*(1+'Read Me'!$B$12),-1)</f>
        <v/>
      </c>
      <c r="W4815" s="15">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5" t="n">
        <v>400</v>
      </c>
      <c r="U4816" s="15" t="n">
        <v>112</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5" t="n">
        <v>46</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400</v>
      </c>
      <c r="U4818" s="15" t="n">
        <v>112</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99</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410</v>
      </c>
      <c r="U4820" s="15" t="n">
        <v>115</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99</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410</v>
      </c>
      <c r="U4822" s="15" t="n">
        <v>115</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99</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410</v>
      </c>
      <c r="U4824" s="15" t="n">
        <v>115</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99</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410</v>
      </c>
      <c r="U4826" s="15" t="n">
        <v>115</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99</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410</v>
      </c>
      <c r="U4828" s="15" t="n">
        <v>115</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99</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410</v>
      </c>
      <c r="U4830" s="15" t="n">
        <v>115</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5" t="n">
        <v>99</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5" t="n">
        <v>410</v>
      </c>
      <c r="U4832" s="15" t="n">
        <v>115</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5" t="n">
        <v>99</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5" t="n">
        <v>410</v>
      </c>
      <c r="U4834" s="15" t="n">
        <v>115</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5" t="n">
        <v>99</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5" t="n">
        <v>410</v>
      </c>
      <c r="U4836" s="15" t="n">
        <v>115</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5" t="n">
        <v>99</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5" t="n">
        <v>410</v>
      </c>
      <c r="U4838" s="15" t="n">
        <v>115</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99</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410</v>
      </c>
      <c r="U4840" s="15" t="n">
        <v>115</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99</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410</v>
      </c>
      <c r="U4842" s="15" t="n">
        <v>115</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99</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410</v>
      </c>
      <c r="U4844" s="15" t="n">
        <v>115</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5" t="n">
        <v>99</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Duct bank</t>
        </is>
      </c>
      <c r="T4846" s="15" t="n">
        <v>410</v>
      </c>
      <c r="U4846" s="15" t="n">
        <v>115</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5" t="n">
        <v>99</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5" t="n">
        <v>410</v>
      </c>
      <c r="U4848" s="15" t="n">
        <v>115</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5" t="n">
        <v>88</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Estimated</t>
        </is>
      </c>
      <c r="T4850" s="15" t="n">
        <v>459</v>
      </c>
      <c r="U4850" s="15" t="n">
        <v>40</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5" t="n">
        <v>88</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Estimated</t>
        </is>
      </c>
      <c r="T4852" s="15" t="n">
        <v>459</v>
      </c>
      <c r="U4852" s="15" t="n">
        <v>40</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5" t="n">
        <v>64</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5" t="n">
        <v>385</v>
      </c>
      <c r="U4854" s="15" t="n">
        <v>160</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5" t="n">
        <v>64</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5" t="n">
        <v>385</v>
      </c>
      <c r="U4856" s="15" t="n">
        <v>160</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5" t="n">
        <v>77</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5" t="n">
        <v>385</v>
      </c>
      <c r="U4858" s="15" t="n">
        <v>112</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5" t="n">
        <v>77</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5" t="n">
        <v>385</v>
      </c>
      <c r="U4860" s="15" t="n">
        <v>112</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5" t="n">
        <v>77</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385</v>
      </c>
      <c r="U4862" s="15" t="n">
        <v>172</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5" t="n">
        <v>77</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385</v>
      </c>
      <c r="U4864" s="15" t="n">
        <v>172</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108</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5" t="n">
        <v>185</v>
      </c>
      <c r="U4866" s="15" t="n">
        <v>27</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108</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5" t="n">
        <v>185</v>
      </c>
      <c r="U4868" s="15" t="n">
        <v>27</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108</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5" t="n">
        <v>185</v>
      </c>
      <c r="U4870" s="15" t="n">
        <v>27</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108</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5" t="n">
        <v>185</v>
      </c>
      <c r="U4872" s="15" t="n">
        <v>27</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108</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5" t="n">
        <v>185</v>
      </c>
      <c r="U4874" s="15" t="n">
        <v>27</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5" t="n">
        <v>108</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5" t="n">
        <v>185</v>
      </c>
      <c r="U4876" s="15" t="n">
        <v>27</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5" t="n">
        <v>108</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5" t="n">
        <v>185</v>
      </c>
      <c r="U4878" s="15" t="n">
        <v>27</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5" t="n">
        <v>108</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5" t="n">
        <v>185</v>
      </c>
      <c r="U4880" s="15" t="n">
        <v>27</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5" t="n">
        <v>108</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5" t="n">
        <v>185</v>
      </c>
      <c r="U4882" s="15" t="n">
        <v>27</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108</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5" t="n">
        <v>70</v>
      </c>
      <c r="U4884" s="15" t="n">
        <v>47</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108</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5" t="n">
        <v>70</v>
      </c>
      <c r="U4886" s="15" t="n">
        <v>47</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108</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5" t="n">
        <v>70</v>
      </c>
      <c r="U4888" s="15" t="n">
        <v>47</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108</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5" t="n">
        <v>70</v>
      </c>
      <c r="U4890" s="15" t="n">
        <v>47</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108</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5" t="n">
        <v>70</v>
      </c>
      <c r="U4892" s="15" t="n">
        <v>47</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108</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5" t="n">
        <v>70</v>
      </c>
      <c r="U4894" s="15" t="n">
        <v>47</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108</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5" t="n">
        <v>70</v>
      </c>
      <c r="U4896" s="15" t="n">
        <v>47</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5" t="n">
        <v>108</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5" t="n">
        <v>70</v>
      </c>
      <c r="U4898" s="15" t="n">
        <v>47</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5" t="n">
        <v>108</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5" t="n">
        <v>70</v>
      </c>
      <c r="U4900" s="15" t="n">
        <v>47</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Duct bank</t>
        </is>
      </c>
      <c r="T4901" s="15" t="n">
        <v>400</v>
      </c>
      <c r="U4901" s="15" t="n">
        <v>176</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Duct bank</t>
        </is>
      </c>
      <c r="T4902" s="15" t="n">
        <v>400</v>
      </c>
      <c r="U4902" s="15" t="n">
        <v>176</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Duct bank</t>
        </is>
      </c>
      <c r="T4903" s="15" t="n">
        <v>375</v>
      </c>
      <c r="U4903" s="15" t="n">
        <v>37</v>
      </c>
      <c r="V4903" s="15">
        <f>ROUNDUP((T4903+U4903+2*'Read Me'!$B$13)*(1+'Read Me'!$B$12),-1)</f>
        <v/>
      </c>
      <c r="W4903" s="15">
        <f>V4903*N4903*O4903</f>
        <v/>
      </c>
      <c r="X4903" s="12">
        <f>IF(LEFT(I4903,2)="MV",2*N4903*IF(L4903="1/C",O4903,1),0)</f>
        <v/>
      </c>
      <c r="Y4903" s="12">
        <f>IF(OR(LEFT(K4903,4)="LVAX",LEFT(K4903,6)="MV15AX",LEFT(K4903,4)="CTAX",LEFT(K4903,2)="W|"),2*N4903*O4903,0)</f>
        <v/>
      </c>
      <c r="Z4903" s="12" t="inlineStr">
        <is>
          <t>VD 2.8 %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5" t="n">
        <v>0</v>
      </c>
      <c r="U4904" s="15" t="n">
        <v>41</v>
      </c>
      <c r="V4904" s="15">
        <f>ROUNDUP((T4904+U4904+2*'Read Me'!$B$13)*(1+'Read Me'!$B$12),-1)</f>
        <v/>
      </c>
      <c r="W4904" s="15">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5" t="n">
        <v>0</v>
      </c>
      <c r="U4905" s="15" t="n">
        <v>49</v>
      </c>
      <c r="V4905" s="15">
        <f>ROUNDUP((T4905+U4905+2*'Read Me'!$B$13)*(1+'Read Me'!$B$12),-1)</f>
        <v/>
      </c>
      <c r="W4905" s="15">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5" t="n">
        <v>550</v>
      </c>
      <c r="U4906" s="15" t="n">
        <v>77</v>
      </c>
      <c r="V4906" s="15">
        <f>ROUNDUP((T4906+U4906+2*'Read Me'!$B$13)*(1+'Read Me'!$B$12),-1)</f>
        <v/>
      </c>
      <c r="W4906" s="15">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5" t="n">
        <v>550</v>
      </c>
      <c r="U4907" s="15" t="n">
        <v>32</v>
      </c>
      <c r="V4907" s="15">
        <f>ROUNDUP((T4907+U4907+2*'Read Me'!$B$13)*(1+'Read Me'!$B$12),-1)</f>
        <v/>
      </c>
      <c r="W4907" s="15">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5" t="n">
        <v>40</v>
      </c>
      <c r="U4908" s="15" t="n">
        <v>52</v>
      </c>
      <c r="V4908" s="15">
        <f>ROUNDUP((T4908+U4908+2*'Read Me'!$B$13)*(1+'Read Me'!$B$12),-1)</f>
        <v/>
      </c>
      <c r="W4908" s="15">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LV|3/C+G|350</t>
        </is>
      </c>
      <c r="L4909" s="12" t="inlineStr">
        <is>
          <t>3/C+G</t>
        </is>
      </c>
      <c r="M4909" s="12" t="inlineStr">
        <is>
          <t>350 kcmil</t>
        </is>
      </c>
      <c r="N4909" s="12" t="n">
        <v>3</v>
      </c>
      <c r="O4909" s="12" t="n">
        <v>1</v>
      </c>
      <c r="P4909" s="12" t="n">
        <v>480</v>
      </c>
      <c r="Q4909" s="12" t="n">
        <v>500</v>
      </c>
      <c r="R4909" s="12" t="n">
        <v>707.6</v>
      </c>
      <c r="S4909" s="12" t="inlineStr">
        <is>
          <t>Duct bank</t>
        </is>
      </c>
      <c r="T4909" s="15" t="n">
        <v>237</v>
      </c>
      <c r="U4909" s="15" t="n">
        <v>119</v>
      </c>
      <c r="V4909" s="15">
        <f>ROUNDUP((T4909+U4909+2*'Read Me'!$B$13)*(1+'Read Me'!$B$12),-1)</f>
        <v/>
      </c>
      <c r="W4909" s="15">
        <f>V4909*N4909*O4909</f>
        <v/>
      </c>
      <c r="X4909" s="12">
        <f>IF(LEFT(I4909,2)="MV",2*N4909*IF(L4909="1/C",O4909,1),0)</f>
        <v/>
      </c>
      <c r="Y4909" s="12">
        <f>IF(OR(LEFT(K4909,4)="LVAX",LEFT(K4909,6)="MV15AX",LEFT(K4909,4)="CTAX",LEFT(K4909,2)="W|"),2*N4909*O4909,0)</f>
        <v/>
      </c>
      <c r="Z4909" s="12" t="inlineStr">
        <is>
          <t>VD 1.2 %</t>
        </is>
      </c>
      <c r="AA4909" s="12">
        <f>N4909*O4909</f>
        <v/>
      </c>
    </row>
    <row r="4910">
      <c r="A4910" s="12" t="inlineStr">
        <is>
          <t>I-P-0008</t>
        </is>
      </c>
      <c r="B4910" s="12" t="inlineStr">
        <is>
          <t>I</t>
        </is>
      </c>
      <c r="C4910" s="12" t="inlineStr">
        <is>
          <t>Modular / portable power</t>
        </is>
      </c>
      <c r="D4910" s="12" t="inlineStr">
        <is>
          <t>LV panel / distribution feeder</t>
        </is>
      </c>
      <c r="E4910" s="12" t="inlineStr">
        <is>
          <t>PAD-LV</t>
        </is>
      </c>
      <c r="F4910" s="12" t="inlineStr">
        <is>
          <t>PAD-LV 480 V paralleling switchboard</t>
        </is>
      </c>
      <c r="G4910" s="12" t="inlineStr">
        <is>
          <t>CONT-EH</t>
        </is>
      </c>
      <c r="H4910" s="12" t="inlineStr">
        <is>
          <t>CONT paralleling switchgear e-house</t>
        </is>
      </c>
      <c r="I4910" s="12" t="inlineStr">
        <is>
          <t>LV 600 V</t>
        </is>
      </c>
      <c r="J4910" s="12" t="inlineStr">
        <is>
          <t>Type TC-ER 600 V 3/C Cu XHHW-2 + ground, PVC jacket</t>
        </is>
      </c>
      <c r="K4910" s="12" t="inlineStr">
        <is>
          <t>LV|3/C+G|6</t>
        </is>
      </c>
      <c r="L4910" s="12" t="inlineStr">
        <is>
          <t>3/C+G</t>
        </is>
      </c>
      <c r="M4910" s="12" t="inlineStr">
        <is>
          <t>6</t>
        </is>
      </c>
      <c r="N4910" s="12" t="n">
        <v>1</v>
      </c>
      <c r="O4910" s="12" t="n">
        <v>1</v>
      </c>
      <c r="P4910" s="12" t="n">
        <v>480</v>
      </c>
      <c r="Q4910" s="12" t="n">
        <v>30</v>
      </c>
      <c r="R4910" s="12" t="n">
        <v>42.5</v>
      </c>
      <c r="S4910" s="12" t="inlineStr">
        <is>
          <t>Conduit link</t>
        </is>
      </c>
      <c r="T4910" s="15" t="n">
        <v>73</v>
      </c>
      <c r="U4910" s="15" t="n">
        <v>58</v>
      </c>
      <c r="V4910" s="15">
        <f>ROUNDUP((T4910+U4910+2*'Read Me'!$B$13)*(1+'Read Me'!$B$12),-1)</f>
        <v/>
      </c>
      <c r="W4910" s="15">
        <f>V4910*N4910*O4910</f>
        <v/>
      </c>
      <c r="X4910" s="12">
        <f>IF(LEFT(I4910,2)="MV",2*N4910*IF(L4910="1/C",O4910,1),0)</f>
        <v/>
      </c>
      <c r="Y4910" s="12">
        <f>IF(OR(LEFT(K4910,4)="LVAX",LEFT(K4910,6)="MV15AX",LEFT(K4910,4)="CTAX",LEFT(K4910,2)="W|"),2*N4910*O4910,0)</f>
        <v/>
      </c>
      <c r="Z4910" s="12" t="inlineStr">
        <is>
          <t>VD 1.1 %</t>
        </is>
      </c>
      <c r="AA4910" s="12">
        <f>N4910*O4910</f>
        <v/>
      </c>
    </row>
    <row r="4911">
      <c r="A4911" s="12" t="inlineStr">
        <is>
          <t>I-P-0009</t>
        </is>
      </c>
      <c r="B4911" s="12" t="inlineStr">
        <is>
          <t>I</t>
        </is>
      </c>
      <c r="C4911" s="12" t="inlineStr">
        <is>
          <t>Modular / portable power</t>
        </is>
      </c>
      <c r="D4911" s="12" t="inlineStr">
        <is>
          <t>FC-5 SOFC output to inverter / AC cabinet</t>
        </is>
      </c>
      <c r="E4911" s="12" t="inlineStr">
        <is>
          <t>FC-5</t>
        </is>
      </c>
      <c r="F4911" s="12" t="inlineStr">
        <is>
          <t>FC-5: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5" t="n">
        <v>133</v>
      </c>
      <c r="U4911" s="15" t="n">
        <v>32</v>
      </c>
      <c r="V4911" s="15">
        <f>ROUNDUP((T4911+U4911+2*'Read Me'!$B$13)*(1+'Read Me'!$B$12),-1)</f>
        <v/>
      </c>
      <c r="W4911" s="15">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FC-6 SOFC output to inverter / AC cabinet</t>
        </is>
      </c>
      <c r="E4912" s="12" t="inlineStr">
        <is>
          <t>FC-6</t>
        </is>
      </c>
      <c r="F4912" s="12" t="inlineStr">
        <is>
          <t>FC-6: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5" t="n">
        <v>119</v>
      </c>
      <c r="U4912" s="15" t="n">
        <v>32</v>
      </c>
      <c r="V4912" s="15">
        <f>ROUNDUP((T4912+U4912+2*'Read Me'!$B$13)*(1+'Read Me'!$B$12),-1)</f>
        <v/>
      </c>
      <c r="W4912" s="15">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FC-7 SOFC output to inverter / AC cabinet</t>
        </is>
      </c>
      <c r="E4913" s="12" t="inlineStr">
        <is>
          <t>FC-7</t>
        </is>
      </c>
      <c r="F4913" s="12" t="inlineStr">
        <is>
          <t>FC-7: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5" t="n">
        <v>105</v>
      </c>
      <c r="U4913" s="15" t="n">
        <v>32</v>
      </c>
      <c r="V4913" s="15">
        <f>ROUNDUP((T4913+U4913+2*'Read Me'!$B$13)*(1+'Read Me'!$B$12),-1)</f>
        <v/>
      </c>
      <c r="W4913" s="15">
        <f>V4913*N4913*O4913</f>
        <v/>
      </c>
      <c r="X4913" s="12">
        <f>IF(LEFT(I4913,2)="MV",2*N4913*IF(L4913="1/C",O4913,1),0)</f>
        <v/>
      </c>
      <c r="Y4913" s="12">
        <f>IF(OR(LEFT(K4913,4)="LVAX",LEFT(K4913,6)="MV15AX",LEFT(K4913,4)="CTAX",LEFT(K4913,2)="W|"),2*N4913*O4913,0)</f>
        <v/>
      </c>
      <c r="Z4913" s="12" t="inlineStr">
        <is>
          <t>VD 0.7 %</t>
        </is>
      </c>
      <c r="AA4913" s="12">
        <f>N4913*O4913</f>
        <v/>
      </c>
    </row>
    <row r="4914">
      <c r="A4914" s="12" t="inlineStr">
        <is>
          <t>I-P-0012</t>
        </is>
      </c>
      <c r="B4914" s="12" t="inlineStr">
        <is>
          <t>I</t>
        </is>
      </c>
      <c r="C4914" s="12" t="inlineStr">
        <is>
          <t>Modular / portable power</t>
        </is>
      </c>
      <c r="D4914" s="12" t="inlineStr">
        <is>
          <t>FC-8 SOFC output to inverter / AC cabinet</t>
        </is>
      </c>
      <c r="E4914" s="12" t="inlineStr">
        <is>
          <t>FC-8</t>
        </is>
      </c>
      <c r="F4914" s="12" t="inlineStr">
        <is>
          <t>FC-8: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5" t="n">
        <v>91</v>
      </c>
      <c r="U4914" s="15" t="n">
        <v>32</v>
      </c>
      <c r="V4914" s="15">
        <f>ROUNDUP((T4914+U4914+2*'Read Me'!$B$13)*(1+'Read Me'!$B$12),-1)</f>
        <v/>
      </c>
      <c r="W4914" s="15">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FC-9 SOFC output to inverter / AC cabinet</t>
        </is>
      </c>
      <c r="E4915" s="12" t="inlineStr">
        <is>
          <t>FC-9</t>
        </is>
      </c>
      <c r="F4915" s="12" t="inlineStr">
        <is>
          <t>FC-9: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5" t="n">
        <v>77</v>
      </c>
      <c r="U4915" s="15" t="n">
        <v>32</v>
      </c>
      <c r="V4915" s="15">
        <f>ROUNDUP((T4915+U4915+2*'Read Me'!$B$13)*(1+'Read Me'!$B$12),-1)</f>
        <v/>
      </c>
      <c r="W4915" s="15">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FC-10 SOFC output to inverter / AC cabinet</t>
        </is>
      </c>
      <c r="E4916" s="12" t="inlineStr">
        <is>
          <t>FC-10</t>
        </is>
      </c>
      <c r="F4916" s="12" t="inlineStr">
        <is>
          <t>FC-10: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5" t="n">
        <v>63</v>
      </c>
      <c r="U4916" s="15" t="n">
        <v>32</v>
      </c>
      <c r="V4916" s="15">
        <f>ROUNDUP((T4916+U4916+2*'Read Me'!$B$13)*(1+'Read Me'!$B$12),-1)</f>
        <v/>
      </c>
      <c r="W4916" s="15">
        <f>V4916*N4916*O4916</f>
        <v/>
      </c>
      <c r="X4916" s="12">
        <f>IF(LEFT(I4916,2)="MV",2*N4916*IF(L4916="1/C",O4916,1),0)</f>
        <v/>
      </c>
      <c r="Y4916" s="12">
        <f>IF(OR(LEFT(K4916,4)="LVAX",LEFT(K4916,6)="MV15AX",LEFT(K4916,4)="CTAX",LEFT(K4916,2)="W|"),2*N4916*O4916,0)</f>
        <v/>
      </c>
      <c r="Z4916" s="12" t="inlineStr">
        <is>
          <t>VD 0.5 %</t>
        </is>
      </c>
      <c r="AA4916" s="12">
        <f>N4916*O4916</f>
        <v/>
      </c>
    </row>
    <row r="4917">
      <c r="A4917" s="12" t="inlineStr">
        <is>
          <t>I-P-0015</t>
        </is>
      </c>
      <c r="B4917" s="12" t="inlineStr">
        <is>
          <t>I</t>
        </is>
      </c>
      <c r="C4917" s="12" t="inlineStr">
        <is>
          <t>Modular / portable power</t>
        </is>
      </c>
      <c r="D4917" s="12" t="inlineStr">
        <is>
          <t>FC-11 SOFC output to inverter / AC cabinet</t>
        </is>
      </c>
      <c r="E4917" s="12" t="inlineStr">
        <is>
          <t>FC-11</t>
        </is>
      </c>
      <c r="F4917" s="12" t="inlineStr">
        <is>
          <t>FC-11: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5" t="n">
        <v>49</v>
      </c>
      <c r="U4917" s="15" t="n">
        <v>32</v>
      </c>
      <c r="V4917" s="15">
        <f>ROUNDUP((T4917+U4917+2*'Read Me'!$B$13)*(1+'Read Me'!$B$12),-1)</f>
        <v/>
      </c>
      <c r="W4917" s="15">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FC-12 SOFC output to inverter / AC cabinet</t>
        </is>
      </c>
      <c r="E4918" s="12" t="inlineStr">
        <is>
          <t>FC-12</t>
        </is>
      </c>
      <c r="F4918" s="12" t="inlineStr">
        <is>
          <t>FC-12: SOFC module (Bloom ES5 class, 200-300 kW)</t>
        </is>
      </c>
      <c r="G4918" s="12" t="inlineStr"/>
      <c r="H4918" s="12" t="inlineStr">
        <is>
          <t>FC-5..12 inverter / AC cabinet / desulfurizer</t>
        </is>
      </c>
      <c r="I4918" s="12" t="inlineStr">
        <is>
          <t>LV 600 V</t>
        </is>
      </c>
      <c r="J4918" s="12" t="inlineStr">
        <is>
          <t>Type TC-ER 600 V 3/C Cu XHHW-2 + ground, PVC jacket</t>
        </is>
      </c>
      <c r="K4918" s="12" t="inlineStr">
        <is>
          <t>LV|3/C+G|3/0</t>
        </is>
      </c>
      <c r="L4918" s="12" t="inlineStr">
        <is>
          <t>3/C+G</t>
        </is>
      </c>
      <c r="M4918" s="12" t="inlineStr">
        <is>
          <t>3/0</t>
        </is>
      </c>
      <c r="N4918" s="12" t="n">
        <v>2</v>
      </c>
      <c r="O4918" s="12" t="n">
        <v>1</v>
      </c>
      <c r="P4918" s="12" t="n">
        <v>480</v>
      </c>
      <c r="Q4918" s="12" t="n">
        <v>250</v>
      </c>
      <c r="R4918" s="12" t="n">
        <v>316.5</v>
      </c>
      <c r="S4918" s="12" t="inlineStr">
        <is>
          <t>Duct bank</t>
        </is>
      </c>
      <c r="T4918" s="15" t="n">
        <v>40</v>
      </c>
      <c r="U4918" s="15" t="n">
        <v>32</v>
      </c>
      <c r="V4918" s="15">
        <f>ROUNDUP((T4918+U4918+2*'Read Me'!$B$13)*(1+'Read Me'!$B$12),-1)</f>
        <v/>
      </c>
      <c r="W4918" s="15">
        <f>V4918*N4918*O4918</f>
        <v/>
      </c>
      <c r="X4918" s="12">
        <f>IF(LEFT(I4918,2)="MV",2*N4918*IF(L4918="1/C",O4918,1),0)</f>
        <v/>
      </c>
      <c r="Y4918" s="12">
        <f>IF(OR(LEFT(K4918,4)="LVAX",LEFT(K4918,6)="MV15AX",LEFT(K4918,4)="CTAX",LEFT(K4918,2)="W|"),2*N4918*O4918,0)</f>
        <v/>
      </c>
      <c r="Z4918" s="12" t="inlineStr">
        <is>
          <t>VD 0.3 %</t>
        </is>
      </c>
      <c r="AA4918" s="12">
        <f>N4918*O4918</f>
        <v/>
      </c>
    </row>
    <row r="4919">
      <c r="A4919" s="12" t="inlineStr">
        <is>
          <t>I-P-0017</t>
        </is>
      </c>
      <c r="B4919" s="12" t="inlineStr">
        <is>
          <t>I</t>
        </is>
      </c>
      <c r="C4919" s="12" t="inlineStr">
        <is>
          <t>Modular / portable power</t>
        </is>
      </c>
      <c r="D4919" s="12" t="inlineStr">
        <is>
          <t>FC-1 SOFC output to inverter / AC cabinet</t>
        </is>
      </c>
      <c r="E4919" s="12" t="inlineStr"/>
      <c r="F4919" s="12" t="inlineStr">
        <is>
          <t>FC-1: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5" t="n">
        <v>62</v>
      </c>
      <c r="U4919" s="15" t="n">
        <v>32</v>
      </c>
      <c r="V4919" s="15">
        <f>ROUNDUP((T4919+U4919+2*'Read Me'!$B$13)*(1+'Read Me'!$B$12),-1)</f>
        <v/>
      </c>
      <c r="W4919" s="15">
        <f>V4919*N4919*O4919</f>
        <v/>
      </c>
      <c r="X4919" s="12">
        <f>IF(LEFT(I4919,2)="MV",2*N4919*IF(L4919="1/C",O4919,1),0)</f>
        <v/>
      </c>
      <c r="Y4919" s="12">
        <f>IF(OR(LEFT(K4919,4)="LVAX",LEFT(K4919,6)="MV15AX",LEFT(K4919,4)="CTAX",LEFT(K4919,2)="W|"),2*N4919*O4919,0)</f>
        <v/>
      </c>
      <c r="Z4919" s="12" t="inlineStr">
        <is>
          <t>VD 0.5 %</t>
        </is>
      </c>
      <c r="AA4919" s="12">
        <f>N4919*O4919</f>
        <v/>
      </c>
    </row>
    <row r="4920">
      <c r="A4920" s="12" t="inlineStr">
        <is>
          <t>I-P-0018</t>
        </is>
      </c>
      <c r="B4920" s="12" t="inlineStr">
        <is>
          <t>I</t>
        </is>
      </c>
      <c r="C4920" s="12" t="inlineStr">
        <is>
          <t>Modular / portable power</t>
        </is>
      </c>
      <c r="D4920" s="12" t="inlineStr">
        <is>
          <t>FC-2 SOFC output to inverter / AC cabinet</t>
        </is>
      </c>
      <c r="E4920" s="12" t="inlineStr"/>
      <c r="F4920" s="12" t="inlineStr">
        <is>
          <t>FC-2: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5" t="n">
        <v>39</v>
      </c>
      <c r="U4920" s="15" t="n">
        <v>41</v>
      </c>
      <c r="V4920" s="15">
        <f>ROUNDUP((T4920+U4920+2*'Read Me'!$B$13)*(1+'Read Me'!$B$12),-1)</f>
        <v/>
      </c>
      <c r="W4920" s="15">
        <f>V4920*N4920*O4920</f>
        <v/>
      </c>
      <c r="X4920" s="12">
        <f>IF(LEFT(I4920,2)="MV",2*N4920*IF(L4920="1/C",O4920,1),0)</f>
        <v/>
      </c>
      <c r="Y4920" s="12">
        <f>IF(OR(LEFT(K4920,4)="LVAX",LEFT(K4920,6)="MV15AX",LEFT(K4920,4)="CTAX",LEFT(K4920,2)="W|"),2*N4920*O4920,0)</f>
        <v/>
      </c>
      <c r="Z4920" s="12" t="inlineStr">
        <is>
          <t>VD 0.4 %</t>
        </is>
      </c>
      <c r="AA4920" s="12">
        <f>N4920*O4920</f>
        <v/>
      </c>
    </row>
    <row r="4921">
      <c r="A4921" s="12" t="inlineStr">
        <is>
          <t>I-P-0019</t>
        </is>
      </c>
      <c r="B4921" s="12" t="inlineStr">
        <is>
          <t>I</t>
        </is>
      </c>
      <c r="C4921" s="12" t="inlineStr">
        <is>
          <t>Modular / portable power</t>
        </is>
      </c>
      <c r="D4921" s="12" t="inlineStr">
        <is>
          <t>FC-3 SOFC output to inverter / AC cabinet</t>
        </is>
      </c>
      <c r="E4921" s="12" t="inlineStr"/>
      <c r="F4921" s="12" t="inlineStr">
        <is>
          <t>FC-3: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5" t="n">
        <v>11</v>
      </c>
      <c r="U4921" s="15" t="n">
        <v>55</v>
      </c>
      <c r="V4921" s="15">
        <f>ROUNDUP((T4921+U4921+2*'Read Me'!$B$13)*(1+'Read Me'!$B$12),-1)</f>
        <v/>
      </c>
      <c r="W4921" s="15">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FC-4 SOFC output to inverter / AC cabinet</t>
        </is>
      </c>
      <c r="E4922" s="12" t="inlineStr"/>
      <c r="F4922" s="12" t="inlineStr">
        <is>
          <t>FC-4: SOFC module (Bloom ES5 class, 200-300 kW)</t>
        </is>
      </c>
      <c r="G4922" s="12" t="inlineStr"/>
      <c r="H4922" s="12" t="inlineStr">
        <is>
          <t>Fuel-cell inverter / AC cabinet / desulfurizer</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2</v>
      </c>
      <c r="O4922" s="12" t="n">
        <v>1</v>
      </c>
      <c r="P4922" s="12" t="n">
        <v>480</v>
      </c>
      <c r="Q4922" s="12" t="n">
        <v>250</v>
      </c>
      <c r="R4922" s="12" t="n">
        <v>316.5</v>
      </c>
      <c r="S4922" s="12" t="inlineStr">
        <is>
          <t>Tray</t>
        </is>
      </c>
      <c r="T4922" s="15" t="n">
        <v>0</v>
      </c>
      <c r="U4922" s="15" t="n">
        <v>52</v>
      </c>
      <c r="V4922" s="15">
        <f>ROUNDUP((T4922+U4922+2*'Read Me'!$B$13)*(1+'Read Me'!$B$12),-1)</f>
        <v/>
      </c>
      <c r="W4922" s="15">
        <f>V4922*N4922*O4922</f>
        <v/>
      </c>
      <c r="X4922" s="12">
        <f>IF(LEFT(I4922,2)="MV",2*N4922*IF(L4922="1/C",O4922,1),0)</f>
        <v/>
      </c>
      <c r="Y4922" s="12">
        <f>IF(OR(LEFT(K4922,4)="LVAX",LEFT(K4922,6)="MV15AX",LEFT(K4922,4)="CTAX",LEFT(K4922,2)="W|"),2*N4922*O4922,0)</f>
        <v/>
      </c>
      <c r="Z4922" s="12" t="inlineStr">
        <is>
          <t>VD 0.3 %</t>
        </is>
      </c>
      <c r="AA4922" s="12">
        <f>N4922*O4922</f>
        <v/>
      </c>
    </row>
    <row r="4923">
      <c r="A4923" s="12" t="inlineStr">
        <is>
          <t>I-P-0021</t>
        </is>
      </c>
      <c r="B4923" s="12" t="inlineStr">
        <is>
          <t>I</t>
        </is>
      </c>
      <c r="C4923" s="12" t="inlineStr">
        <is>
          <t>Modular / portable power</t>
        </is>
      </c>
      <c r="D4923" s="12" t="inlineStr">
        <is>
          <t>Motor 1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LVAX|3/C+G|10</t>
        </is>
      </c>
      <c r="L4923" s="12" t="inlineStr">
        <is>
          <t>3/C+G</t>
        </is>
      </c>
      <c r="M4923" s="12" t="inlineStr">
        <is>
          <t>10</t>
        </is>
      </c>
      <c r="N4923" s="12" t="n">
        <v>1</v>
      </c>
      <c r="O4923" s="12" t="n">
        <v>1</v>
      </c>
      <c r="P4923" s="12" t="n">
        <v>480</v>
      </c>
      <c r="Q4923" s="12" t="n">
        <v>15</v>
      </c>
      <c r="R4923" s="12" t="n">
        <v>21.2</v>
      </c>
      <c r="S4923" s="12" t="inlineStr">
        <is>
          <t>Duct bank</t>
        </is>
      </c>
      <c r="T4923" s="15" t="n">
        <v>153</v>
      </c>
      <c r="U4923" s="15" t="n">
        <v>136</v>
      </c>
      <c r="V4923" s="15">
        <f>ROUNDUP((T4923+U4923+2*'Read Me'!$B$13)*(1+'Read Me'!$B$12),-1)</f>
        <v/>
      </c>
      <c r="W4923" s="15">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2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LVAX|3/C+G|10</t>
        </is>
      </c>
      <c r="L4924" s="12" t="inlineStr">
        <is>
          <t>3/C+G</t>
        </is>
      </c>
      <c r="M4924" s="12" t="inlineStr">
        <is>
          <t>10</t>
        </is>
      </c>
      <c r="N4924" s="12" t="n">
        <v>1</v>
      </c>
      <c r="O4924" s="12" t="n">
        <v>1</v>
      </c>
      <c r="P4924" s="12" t="n">
        <v>480</v>
      </c>
      <c r="Q4924" s="12" t="n">
        <v>15</v>
      </c>
      <c r="R4924" s="12" t="n">
        <v>21.2</v>
      </c>
      <c r="S4924" s="12" t="inlineStr">
        <is>
          <t>Duct bank</t>
        </is>
      </c>
      <c r="T4924" s="15" t="n">
        <v>153</v>
      </c>
      <c r="U4924" s="15" t="n">
        <v>136</v>
      </c>
      <c r="V4924" s="15">
        <f>ROUNDUP((T4924+U4924+2*'Read Me'!$B$13)*(1+'Read Me'!$B$12),-1)</f>
        <v/>
      </c>
      <c r="W4924" s="15">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3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LVAX|3/C+G|10</t>
        </is>
      </c>
      <c r="L4925" s="12" t="inlineStr">
        <is>
          <t>3/C+G</t>
        </is>
      </c>
      <c r="M4925" s="12" t="inlineStr">
        <is>
          <t>10</t>
        </is>
      </c>
      <c r="N4925" s="12" t="n">
        <v>1</v>
      </c>
      <c r="O4925" s="12" t="n">
        <v>1</v>
      </c>
      <c r="P4925" s="12" t="n">
        <v>480</v>
      </c>
      <c r="Q4925" s="12" t="n">
        <v>15</v>
      </c>
      <c r="R4925" s="12" t="n">
        <v>21.2</v>
      </c>
      <c r="S4925" s="12" t="inlineStr">
        <is>
          <t>Duct bank</t>
        </is>
      </c>
      <c r="T4925" s="15" t="n">
        <v>153</v>
      </c>
      <c r="U4925" s="15" t="n">
        <v>136</v>
      </c>
      <c r="V4925" s="15">
        <f>ROUNDUP((T4925+U4925+2*'Read Me'!$B$13)*(1+'Read Me'!$B$12),-1)</f>
        <v/>
      </c>
      <c r="W4925" s="15">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4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LVAX|3/C+G|10</t>
        </is>
      </c>
      <c r="L4926" s="12" t="inlineStr">
        <is>
          <t>3/C+G</t>
        </is>
      </c>
      <c r="M4926" s="12" t="inlineStr">
        <is>
          <t>10</t>
        </is>
      </c>
      <c r="N4926" s="12" t="n">
        <v>1</v>
      </c>
      <c r="O4926" s="12" t="n">
        <v>1</v>
      </c>
      <c r="P4926" s="12" t="n">
        <v>480</v>
      </c>
      <c r="Q4926" s="12" t="n">
        <v>15</v>
      </c>
      <c r="R4926" s="12" t="n">
        <v>21.2</v>
      </c>
      <c r="S4926" s="12" t="inlineStr">
        <is>
          <t>Duct bank</t>
        </is>
      </c>
      <c r="T4926" s="15" t="n">
        <v>153</v>
      </c>
      <c r="U4926" s="15" t="n">
        <v>136</v>
      </c>
      <c r="V4926" s="15">
        <f>ROUNDUP((T4926+U4926+2*'Read Me'!$B$13)*(1+'Read Me'!$B$12),-1)</f>
        <v/>
      </c>
      <c r="W4926" s="15">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5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LVAX|3/C+G|10</t>
        </is>
      </c>
      <c r="L4927" s="12" t="inlineStr">
        <is>
          <t>3/C+G</t>
        </is>
      </c>
      <c r="M4927" s="12" t="inlineStr">
        <is>
          <t>10</t>
        </is>
      </c>
      <c r="N4927" s="12" t="n">
        <v>1</v>
      </c>
      <c r="O4927" s="12" t="n">
        <v>1</v>
      </c>
      <c r="P4927" s="12" t="n">
        <v>480</v>
      </c>
      <c r="Q4927" s="12" t="n">
        <v>15</v>
      </c>
      <c r="R4927" s="12" t="n">
        <v>21.2</v>
      </c>
      <c r="S4927" s="12" t="inlineStr">
        <is>
          <t>Duct bank</t>
        </is>
      </c>
      <c r="T4927" s="15" t="n">
        <v>153</v>
      </c>
      <c r="U4927" s="15" t="n">
        <v>136</v>
      </c>
      <c r="V4927" s="15">
        <f>ROUNDUP((T4927+U4927+2*'Read Me'!$B$13)*(1+'Read Me'!$B$12),-1)</f>
        <v/>
      </c>
      <c r="W4927" s="15">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Motor 6 of 6, 15 kW</t>
        </is>
      </c>
      <c r="E4928" s="12" t="inlineStr"/>
      <c r="F4928" s="12" t="inlineStr">
        <is>
          <t>MOD-LV 480 V board + 480 V : 13.8 kV step-up</t>
        </is>
      </c>
      <c r="G4928" s="12" t="inlineStr"/>
      <c r="H4928" s="12" t="inlineStr">
        <is>
          <t>Fuel-gas compressors 3 x 100% electric</t>
        </is>
      </c>
      <c r="I4928" s="12" t="inlineStr">
        <is>
          <t>LV 600 V</t>
        </is>
      </c>
      <c r="J4928" s="12" t="inlineStr">
        <is>
          <t>ARMOR-X MC-HL 600 V 3/C Cu XHHW-2 + ground, CWA, black PVC (Class I Div 2)</t>
        </is>
      </c>
      <c r="K4928" s="12" t="inlineStr">
        <is>
          <t>LVAX|3/C+G|10</t>
        </is>
      </c>
      <c r="L4928" s="12" t="inlineStr">
        <is>
          <t>3/C+G</t>
        </is>
      </c>
      <c r="M4928" s="12" t="inlineStr">
        <is>
          <t>10</t>
        </is>
      </c>
      <c r="N4928" s="12" t="n">
        <v>1</v>
      </c>
      <c r="O4928" s="12" t="n">
        <v>1</v>
      </c>
      <c r="P4928" s="12" t="n">
        <v>480</v>
      </c>
      <c r="Q4928" s="12" t="n">
        <v>15</v>
      </c>
      <c r="R4928" s="12" t="n">
        <v>21.2</v>
      </c>
      <c r="S4928" s="12" t="inlineStr">
        <is>
          <t>Duct bank</t>
        </is>
      </c>
      <c r="T4928" s="15" t="n">
        <v>153</v>
      </c>
      <c r="U4928" s="15" t="n">
        <v>136</v>
      </c>
      <c r="V4928" s="15">
        <f>ROUNDUP((T4928+U4928+2*'Read Me'!$B$13)*(1+'Read Me'!$B$12),-1)</f>
        <v/>
      </c>
      <c r="W4928" s="15">
        <f>V4928*N4928*O4928</f>
        <v/>
      </c>
      <c r="X4928" s="12">
        <f>IF(LEFT(I4928,2)="MV",2*N4928*IF(L4928="1/C",O4928,1),0)</f>
        <v/>
      </c>
      <c r="Y4928" s="12">
        <f>IF(OR(LEFT(K4928,4)="LVAX",LEFT(K4928,6)="MV15AX",LEFT(K4928,4)="CTAX",LEFT(K4928,2)="W|"),2*N4928*O4928,0)</f>
        <v/>
      </c>
      <c r="Z4928" s="12" t="inlineStr">
        <is>
          <t>VD 2.9 %</t>
        </is>
      </c>
      <c r="AA4928" s="12">
        <f>N4928*O4928</f>
        <v/>
      </c>
    </row>
    <row r="4929">
      <c r="A4929" s="12" t="inlineStr">
        <is>
          <t>I-P-0027</t>
        </is>
      </c>
      <c r="B4929" s="12" t="inlineStr">
        <is>
          <t>I</t>
        </is>
      </c>
      <c r="C4929" s="12" t="inlineStr">
        <is>
          <t>Modular / portable power</t>
        </is>
      </c>
      <c r="D4929" s="12" t="inlineStr">
        <is>
          <t>LV power feeder</t>
        </is>
      </c>
      <c r="E4929" s="12" t="inlineStr"/>
      <c r="F4929" s="12" t="inlineStr">
        <is>
          <t>PCM: power control module</t>
        </is>
      </c>
      <c r="G4929" s="12" t="inlineStr"/>
      <c r="H4929" s="12" t="inlineStr">
        <is>
          <t>Gas conditioning skid</t>
        </is>
      </c>
      <c r="I4929" s="12" t="inlineStr">
        <is>
          <t>LV 600 V</t>
        </is>
      </c>
      <c r="J4929" s="12" t="inlineStr">
        <is>
          <t>ARMOR-X MC-HL 600 V 3/C Cu XHHW-2 + ground, CWA, black PVC (Class I Div 2)</t>
        </is>
      </c>
      <c r="K4929" s="12" t="inlineStr">
        <is>
          <t>LVAX|3/C+G|6</t>
        </is>
      </c>
      <c r="L4929" s="12" t="inlineStr">
        <is>
          <t>3/C+G</t>
        </is>
      </c>
      <c r="M4929" s="12" t="inlineStr">
        <is>
          <t>6</t>
        </is>
      </c>
      <c r="N4929" s="12" t="n">
        <v>1</v>
      </c>
      <c r="O4929" s="12" t="n">
        <v>1</v>
      </c>
      <c r="P4929" s="12" t="n">
        <v>480</v>
      </c>
      <c r="Q4929" s="12" t="n">
        <v>30</v>
      </c>
      <c r="R4929" s="12" t="n">
        <v>42.5</v>
      </c>
      <c r="S4929" s="12" t="inlineStr">
        <is>
          <t>Tray</t>
        </is>
      </c>
      <c r="T4929" s="15" t="n">
        <v>32</v>
      </c>
      <c r="U4929" s="15" t="n">
        <v>94</v>
      </c>
      <c r="V4929" s="15">
        <f>ROUNDUP((T4929+U4929+2*'Read Me'!$B$13)*(1+'Read Me'!$B$12),-1)</f>
        <v/>
      </c>
      <c r="W4929" s="15">
        <f>V4929*N4929*O4929</f>
        <v/>
      </c>
      <c r="X4929" s="12">
        <f>IF(LEFT(I4929,2)="MV",2*N4929*IF(L4929="1/C",O4929,1),0)</f>
        <v/>
      </c>
      <c r="Y4929" s="12">
        <f>IF(OR(LEFT(K4929,4)="LVAX",LEFT(K4929,6)="MV15AX",LEFT(K4929,4)="CTAX",LEFT(K4929,2)="W|"),2*N4929*O4929,0)</f>
        <v/>
      </c>
      <c r="Z4929" s="12" t="inlineStr">
        <is>
          <t>VD 1.0 %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PCM: power control module</t>
        </is>
      </c>
      <c r="G4930" s="12" t="inlineStr"/>
      <c r="H4930" s="12" t="inlineStr">
        <is>
          <t>Lube oil / starting air / oily water building</t>
        </is>
      </c>
      <c r="I4930" s="12" t="inlineStr">
        <is>
          <t>LV 600 V</t>
        </is>
      </c>
      <c r="J4930" s="12" t="inlineStr">
        <is>
          <t>Type TC-ER 600 V 3/C Cu XHHW-2 + ground, PVC jacket</t>
        </is>
      </c>
      <c r="K4930" s="12" t="inlineStr">
        <is>
          <t>LV|3/C+G|1/0</t>
        </is>
      </c>
      <c r="L4930" s="12" t="inlineStr">
        <is>
          <t>3/C+G</t>
        </is>
      </c>
      <c r="M4930" s="12" t="inlineStr">
        <is>
          <t>1/0</t>
        </is>
      </c>
      <c r="N4930" s="12" t="n">
        <v>1</v>
      </c>
      <c r="O4930" s="12" t="n">
        <v>1</v>
      </c>
      <c r="P4930" s="12" t="n">
        <v>480</v>
      </c>
      <c r="Q4930" s="12" t="n">
        <v>79</v>
      </c>
      <c r="R4930" s="12" t="n">
        <v>111.8</v>
      </c>
      <c r="S4930" s="12" t="inlineStr">
        <is>
          <t>Tray</t>
        </is>
      </c>
      <c r="T4930" s="15" t="n">
        <v>32</v>
      </c>
      <c r="U4930" s="15" t="n">
        <v>164</v>
      </c>
      <c r="V4930" s="15">
        <f>ROUNDUP((T4930+U4930+2*'Read Me'!$B$13)*(1+'Read Me'!$B$12),-1)</f>
        <v/>
      </c>
      <c r="W4930" s="15">
        <f>V4930*N4930*O4930</f>
        <v/>
      </c>
      <c r="X4930" s="12">
        <f>IF(LEFT(I4930,2)="MV",2*N4930*IF(L4930="1/C",O4930,1),0)</f>
        <v/>
      </c>
      <c r="Y4930" s="12">
        <f>IF(OR(LEFT(K4930,4)="LVAX",LEFT(K4930,6)="MV15AX",LEFT(K4930,4)="CTAX",LEFT(K4930,2)="W|"),2*N4930*O4930,0)</f>
        <v/>
      </c>
      <c r="Z4930" s="12" t="inlineStr">
        <is>
          <t>VD 1.1 %</t>
        </is>
      </c>
      <c r="AA4930" s="12">
        <f>N4930*O4930</f>
        <v/>
      </c>
    </row>
    <row r="4931">
      <c r="A4931" s="12" t="inlineStr">
        <is>
          <t>I-P-0029</t>
        </is>
      </c>
      <c r="B4931" s="12" t="inlineStr">
        <is>
          <t>I</t>
        </is>
      </c>
      <c r="C4931" s="12" t="inlineStr">
        <is>
          <t>Modular / portable power</t>
        </is>
      </c>
      <c r="D4931" s="12" t="inlineStr">
        <is>
          <t>LV panel / distribution feeder</t>
        </is>
      </c>
      <c r="E4931" s="12" t="inlineStr"/>
      <c r="F4931" s="12" t="inlineStr">
        <is>
          <t>MOD-LV 480 V board + 480 V : 13.8 kV step-up</t>
        </is>
      </c>
      <c r="G4931" s="12" t="inlineStr">
        <is>
          <t>MOD-EH</t>
        </is>
      </c>
      <c r="H4931" s="12" t="inlineStr">
        <is>
          <t>MOD-EH: 13.8 kV modular collector e-house</t>
        </is>
      </c>
      <c r="I4931" s="12" t="inlineStr">
        <is>
          <t>LV 600 V</t>
        </is>
      </c>
      <c r="J4931" s="12" t="inlineStr">
        <is>
          <t>Type TC-ER 600 V 3/C Cu XHHW-2 + ground, PVC jacket</t>
        </is>
      </c>
      <c r="K4931" s="12" t="inlineStr">
        <is>
          <t>LV|3/C+G|4</t>
        </is>
      </c>
      <c r="L4931" s="12" t="inlineStr">
        <is>
          <t>3/C+G</t>
        </is>
      </c>
      <c r="M4931" s="12" t="inlineStr">
        <is>
          <t>4</t>
        </is>
      </c>
      <c r="N4931" s="12" t="n">
        <v>1</v>
      </c>
      <c r="O4931" s="12" t="n">
        <v>1</v>
      </c>
      <c r="P4931" s="12" t="n">
        <v>480</v>
      </c>
      <c r="Q4931" s="12" t="n">
        <v>30</v>
      </c>
      <c r="R4931" s="12" t="n">
        <v>42.5</v>
      </c>
      <c r="S4931" s="12" t="inlineStr">
        <is>
          <t>Duct bank</t>
        </is>
      </c>
      <c r="T4931" s="15" t="n">
        <v>346</v>
      </c>
      <c r="U4931" s="15" t="n">
        <v>32</v>
      </c>
      <c r="V4931" s="15">
        <f>ROUNDUP((T4931+U4931+2*'Read Me'!$B$13)*(1+'Read Me'!$B$12),-1)</f>
        <v/>
      </c>
      <c r="W4931" s="15">
        <f>V4931*N4931*O4931</f>
        <v/>
      </c>
      <c r="X4931" s="12">
        <f>IF(LEFT(I4931,2)="MV",2*N4931*IF(L4931="1/C",O4931,1),0)</f>
        <v/>
      </c>
      <c r="Y4931" s="12">
        <f>IF(OR(LEFT(K4931,4)="LVAX",LEFT(K4931,6)="MV15AX",LEFT(K4931,4)="CTAX",LEFT(K4931,2)="W|"),2*N4931*O4931,0)</f>
        <v/>
      </c>
      <c r="Z4931" s="12" t="inlineStr">
        <is>
          <t>VD 2.0 %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Fuel-cell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LV|3/C+G|350</t>
        </is>
      </c>
      <c r="L4932" s="12" t="inlineStr">
        <is>
          <t>3/C+G</t>
        </is>
      </c>
      <c r="M4932" s="12" t="inlineStr">
        <is>
          <t>350 kcmil</t>
        </is>
      </c>
      <c r="N4932" s="12" t="n">
        <v>6</v>
      </c>
      <c r="O4932" s="12" t="n">
        <v>1</v>
      </c>
      <c r="P4932" s="12" t="n">
        <v>480</v>
      </c>
      <c r="Q4932" s="12" t="n">
        <v>1000</v>
      </c>
      <c r="R4932" s="12" t="n">
        <v>1266.2</v>
      </c>
      <c r="S4932" s="12" t="inlineStr">
        <is>
          <t>Duct bank</t>
        </is>
      </c>
      <c r="T4932" s="15" t="n">
        <v>237</v>
      </c>
      <c r="U4932" s="15" t="n">
        <v>32</v>
      </c>
      <c r="V4932" s="15">
        <f>ROUNDUP((T4932+U4932+2*'Read Me'!$B$13)*(1+'Read Me'!$B$12),-1)</f>
        <v/>
      </c>
      <c r="W4932" s="15">
        <f>V4932*N4932*O4932</f>
        <v/>
      </c>
      <c r="X4932" s="12">
        <f>IF(LEFT(I4932,2)="MV",2*N4932*IF(L4932="1/C",O4932,1),0)</f>
        <v/>
      </c>
      <c r="Y4932" s="12">
        <f>IF(OR(LEFT(K4932,4)="LVAX",LEFT(K4932,6)="MV15AX",LEFT(K4932,4)="CTAX",LEFT(K4932,2)="W|"),2*N4932*O4932,0)</f>
        <v/>
      </c>
      <c r="Z4932" s="12" t="inlineStr">
        <is>
          <t>VD 0.8 %</t>
        </is>
      </c>
      <c r="AA4932" s="12">
        <f>N4932*O4932</f>
        <v/>
      </c>
    </row>
    <row r="4933">
      <c r="A4933" s="12" t="inlineStr">
        <is>
          <t>I-P-0031</t>
        </is>
      </c>
      <c r="B4933" s="12" t="inlineStr">
        <is>
          <t>I</t>
        </is>
      </c>
      <c r="C4933" s="12" t="inlineStr">
        <is>
          <t>Modular / portable power</t>
        </is>
      </c>
      <c r="D4933" s="12" t="inlineStr">
        <is>
          <t>Fuel-cell AC cabinet to MOD-LV</t>
        </is>
      </c>
      <c r="E4933" s="12" t="inlineStr"/>
      <c r="F4933" s="12" t="inlineStr">
        <is>
          <t>FC-5..12 inverter / AC cabinet / desulfurizer</t>
        </is>
      </c>
      <c r="G4933" s="12" t="inlineStr"/>
      <c r="H4933" s="12" t="inlineStr">
        <is>
          <t>MOD-LV 480 V board + 480 V : 13.8 kV step-up</t>
        </is>
      </c>
      <c r="I4933" s="12" t="inlineStr">
        <is>
          <t>LV 600 V</t>
        </is>
      </c>
      <c r="J4933" s="12" t="inlineStr">
        <is>
          <t>Type TC-ER 600 V 3/C Cu XHHW-2 + ground, PVC jacket</t>
        </is>
      </c>
      <c r="K4933" s="12" t="inlineStr">
        <is>
          <t>LV|3/C+G|500</t>
        </is>
      </c>
      <c r="L4933" s="12" t="inlineStr">
        <is>
          <t>3/C+G</t>
        </is>
      </c>
      <c r="M4933" s="12" t="inlineStr">
        <is>
          <t>500 kcmil</t>
        </is>
      </c>
      <c r="N4933" s="12" t="n">
        <v>10</v>
      </c>
      <c r="O4933" s="12" t="n">
        <v>1</v>
      </c>
      <c r="P4933" s="12" t="n">
        <v>480</v>
      </c>
      <c r="Q4933" s="12" t="n">
        <v>2000</v>
      </c>
      <c r="R4933" s="12" t="n">
        <v>2532.3</v>
      </c>
      <c r="S4933" s="12" t="inlineStr">
        <is>
          <t>Duct bank</t>
        </is>
      </c>
      <c r="T4933" s="15" t="n">
        <v>622</v>
      </c>
      <c r="U4933" s="15" t="n">
        <v>32</v>
      </c>
      <c r="V4933" s="15">
        <f>ROUNDUP((T4933+U4933+2*'Read Me'!$B$13)*(1+'Read Me'!$B$12),-1)</f>
        <v/>
      </c>
      <c r="W4933" s="15">
        <f>V4933*N4933*O4933</f>
        <v/>
      </c>
      <c r="X4933" s="12">
        <f>IF(LEFT(I4933,2)="MV",2*N4933*IF(L4933="1/C",O4933,1),0)</f>
        <v/>
      </c>
      <c r="Y4933" s="12">
        <f>IF(OR(LEFT(K4933,4)="LVAX",LEFT(K4933,6)="MV15AX",LEFT(K4933,4)="CTAX",LEFT(K4933,2)="W|"),2*N4933*O4933,0)</f>
        <v/>
      </c>
      <c r="Z4933" s="12" t="inlineStr">
        <is>
          <t>VD 1.7 %</t>
        </is>
      </c>
      <c r="AA4933" s="12">
        <f>N4933*O4933</f>
        <v/>
      </c>
    </row>
    <row r="4934">
      <c r="A4934" s="12" t="inlineStr">
        <is>
          <t>I-P-0032</t>
        </is>
      </c>
      <c r="B4934" s="12" t="inlineStr">
        <is>
          <t>I</t>
        </is>
      </c>
      <c r="C4934" s="12" t="inlineStr">
        <is>
          <t>Modular / portable power</t>
        </is>
      </c>
      <c r="D4934" s="12" t="inlineStr">
        <is>
          <t>MT-1 microturbine output</t>
        </is>
      </c>
      <c r="E4934" s="12" t="inlineStr"/>
      <c r="F4934" s="12" t="inlineStr">
        <is>
          <t>MT-1: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5" t="n">
        <v>96</v>
      </c>
      <c r="U4934" s="15" t="n">
        <v>32</v>
      </c>
      <c r="V4934" s="15">
        <f>ROUNDUP((T4934+U4934+2*'Read Me'!$B$13)*(1+'Read Me'!$B$12),-1)</f>
        <v/>
      </c>
      <c r="W4934" s="15">
        <f>V4934*N4934*O4934</f>
        <v/>
      </c>
      <c r="X4934" s="12">
        <f>IF(LEFT(I4934,2)="MV",2*N4934*IF(L4934="1/C",O4934,1),0)</f>
        <v/>
      </c>
      <c r="Y4934" s="12">
        <f>IF(OR(LEFT(K4934,4)="LVAX",LEFT(K4934,6)="MV15AX",LEFT(K4934,4)="CTAX",LEFT(K4934,2)="W|"),2*N4934*O4934,0)</f>
        <v/>
      </c>
      <c r="Z4934" s="12" t="inlineStr">
        <is>
          <t>VD 0.4 %</t>
        </is>
      </c>
      <c r="AA4934" s="12">
        <f>N4934*O4934</f>
        <v/>
      </c>
    </row>
    <row r="4935">
      <c r="A4935" s="12" t="inlineStr">
        <is>
          <t>I-P-0033</t>
        </is>
      </c>
      <c r="B4935" s="12" t="inlineStr">
        <is>
          <t>I</t>
        </is>
      </c>
      <c r="C4935" s="12" t="inlineStr">
        <is>
          <t>Modular / portable power</t>
        </is>
      </c>
      <c r="D4935" s="12" t="inlineStr">
        <is>
          <t>MT-2 microturbine output</t>
        </is>
      </c>
      <c r="E4935" s="12" t="inlineStr"/>
      <c r="F4935" s="12" t="inlineStr">
        <is>
          <t>MT-2: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5" t="n">
        <v>118</v>
      </c>
      <c r="U4935" s="15" t="n">
        <v>38</v>
      </c>
      <c r="V4935" s="15">
        <f>ROUNDUP((T4935+U4935+2*'Read Me'!$B$13)*(1+'Read Me'!$B$12),-1)</f>
        <v/>
      </c>
      <c r="W4935" s="15">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MT-3 microturbine output</t>
        </is>
      </c>
      <c r="E4936" s="12" t="inlineStr"/>
      <c r="F4936" s="12" t="inlineStr">
        <is>
          <t>MT-3: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LV|3/C+G|350</t>
        </is>
      </c>
      <c r="L4936" s="12" t="inlineStr">
        <is>
          <t>3/C+G</t>
        </is>
      </c>
      <c r="M4936" s="12" t="inlineStr">
        <is>
          <t>350 kcmil</t>
        </is>
      </c>
      <c r="N4936" s="12" t="n">
        <v>6</v>
      </c>
      <c r="O4936" s="12" t="n">
        <v>1</v>
      </c>
      <c r="P4936" s="12" t="n">
        <v>480</v>
      </c>
      <c r="Q4936" s="12" t="n">
        <v>1000</v>
      </c>
      <c r="R4936" s="12" t="n">
        <v>1266.2</v>
      </c>
      <c r="S4936" s="12" t="inlineStr">
        <is>
          <t>Duct bank</t>
        </is>
      </c>
      <c r="T4936" s="15" t="n">
        <v>111</v>
      </c>
      <c r="U4936" s="15" t="n">
        <v>45</v>
      </c>
      <c r="V4936" s="15">
        <f>ROUNDUP((T4936+U4936+2*'Read Me'!$B$13)*(1+'Read Me'!$B$12),-1)</f>
        <v/>
      </c>
      <c r="W4936" s="15">
        <f>V4936*N4936*O4936</f>
        <v/>
      </c>
      <c r="X4936" s="12">
        <f>IF(LEFT(I4936,2)="MV",2*N4936*IF(L4936="1/C",O4936,1),0)</f>
        <v/>
      </c>
      <c r="Y4936" s="12">
        <f>IF(OR(LEFT(K4936,4)="LVAX",LEFT(K4936,6)="MV15AX",LEFT(K4936,4)="CTAX",LEFT(K4936,2)="W|"),2*N4936*O4936,0)</f>
        <v/>
      </c>
      <c r="Z4936" s="12" t="inlineStr">
        <is>
          <t>VD 0.5 %</t>
        </is>
      </c>
      <c r="AA4936" s="12">
        <f>N4936*O4936</f>
        <v/>
      </c>
    </row>
    <row r="4937">
      <c r="A4937" s="12" t="inlineStr">
        <is>
          <t>I-P-0035</t>
        </is>
      </c>
      <c r="B4937" s="12" t="inlineStr">
        <is>
          <t>I</t>
        </is>
      </c>
      <c r="C4937" s="12" t="inlineStr">
        <is>
          <t>Modular / portable power</t>
        </is>
      </c>
      <c r="D4937" s="12" t="inlineStr">
        <is>
          <t>MT-4 microturbine output</t>
        </is>
      </c>
      <c r="E4937" s="12" t="inlineStr">
        <is>
          <t>MT-4</t>
        </is>
      </c>
      <c r="F4937" s="12" t="inlineStr">
        <is>
          <t>MT-4: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LV|3/C+G|350</t>
        </is>
      </c>
      <c r="L4937" s="12" t="inlineStr">
        <is>
          <t>3/C+G</t>
        </is>
      </c>
      <c r="M4937" s="12" t="inlineStr">
        <is>
          <t>350 kcmil</t>
        </is>
      </c>
      <c r="N4937" s="12" t="n">
        <v>6</v>
      </c>
      <c r="O4937" s="12" t="n">
        <v>1</v>
      </c>
      <c r="P4937" s="12" t="n">
        <v>480</v>
      </c>
      <c r="Q4937" s="12" t="n">
        <v>1000</v>
      </c>
      <c r="R4937" s="12" t="n">
        <v>1266.2</v>
      </c>
      <c r="S4937" s="12" t="inlineStr">
        <is>
          <t>Duct bank</t>
        </is>
      </c>
      <c r="T4937" s="15" t="n">
        <v>591</v>
      </c>
      <c r="U4937" s="15" t="n">
        <v>40</v>
      </c>
      <c r="V4937" s="15">
        <f>ROUNDUP((T4937+U4937+2*'Read Me'!$B$13)*(1+'Read Me'!$B$12),-1)</f>
        <v/>
      </c>
      <c r="W4937" s="15">
        <f>V4937*N4937*O4937</f>
        <v/>
      </c>
      <c r="X4937" s="12">
        <f>IF(LEFT(I4937,2)="MV",2*N4937*IF(L4937="1/C",O4937,1),0)</f>
        <v/>
      </c>
      <c r="Y4937" s="12">
        <f>IF(OR(LEFT(K4937,4)="LVAX",LEFT(K4937,6)="MV15AX",LEFT(K4937,4)="CTAX",LEFT(K4937,2)="W|"),2*N4937*O4937,0)</f>
        <v/>
      </c>
      <c r="Z4937" s="12" t="inlineStr">
        <is>
          <t>VD 1.9 %</t>
        </is>
      </c>
      <c r="AA4937" s="12">
        <f>N4937*O4937</f>
        <v/>
      </c>
    </row>
    <row r="4938">
      <c r="A4938" s="12" t="inlineStr">
        <is>
          <t>I-P-0036</t>
        </is>
      </c>
      <c r="B4938" s="12" t="inlineStr">
        <is>
          <t>I</t>
        </is>
      </c>
      <c r="C4938" s="12" t="inlineStr">
        <is>
          <t>Modular / portable power</t>
        </is>
      </c>
      <c r="D4938" s="12" t="inlineStr">
        <is>
          <t>MT-5 microturbine output</t>
        </is>
      </c>
      <c r="E4938" s="12" t="inlineStr">
        <is>
          <t>MT-5</t>
        </is>
      </c>
      <c r="F4938" s="12" t="inlineStr">
        <is>
          <t>MT-5: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LV|3/C+G|350</t>
        </is>
      </c>
      <c r="L4938" s="12" t="inlineStr">
        <is>
          <t>3/C+G</t>
        </is>
      </c>
      <c r="M4938" s="12" t="inlineStr">
        <is>
          <t>350 kcmil</t>
        </is>
      </c>
      <c r="N4938" s="12" t="n">
        <v>6</v>
      </c>
      <c r="O4938" s="12" t="n">
        <v>1</v>
      </c>
      <c r="P4938" s="12" t="n">
        <v>480</v>
      </c>
      <c r="Q4938" s="12" t="n">
        <v>1000</v>
      </c>
      <c r="R4938" s="12" t="n">
        <v>1266.2</v>
      </c>
      <c r="S4938" s="12" t="inlineStr">
        <is>
          <t>Duct bank</t>
        </is>
      </c>
      <c r="T4938" s="15" t="n">
        <v>565</v>
      </c>
      <c r="U4938" s="15" t="n">
        <v>52</v>
      </c>
      <c r="V4938" s="15">
        <f>ROUNDUP((T4938+U4938+2*'Read Me'!$B$13)*(1+'Read Me'!$B$12),-1)</f>
        <v/>
      </c>
      <c r="W4938" s="15">
        <f>V4938*N4938*O4938</f>
        <v/>
      </c>
      <c r="X4938" s="12">
        <f>IF(LEFT(I4938,2)="MV",2*N4938*IF(L4938="1/C",O4938,1),0)</f>
        <v/>
      </c>
      <c r="Y4938" s="12">
        <f>IF(OR(LEFT(K4938,4)="LVAX",LEFT(K4938,6)="MV15AX",LEFT(K4938,4)="CTAX",LEFT(K4938,2)="W|"),2*N4938*O4938,0)</f>
        <v/>
      </c>
      <c r="Z4938" s="12" t="inlineStr">
        <is>
          <t>VD 1.9 %</t>
        </is>
      </c>
      <c r="AA4938" s="12">
        <f>N4938*O4938</f>
        <v/>
      </c>
    </row>
    <row r="4939">
      <c r="A4939" s="12" t="inlineStr">
        <is>
          <t>I-P-0037</t>
        </is>
      </c>
      <c r="B4939" s="12" t="inlineStr">
        <is>
          <t>I</t>
        </is>
      </c>
      <c r="C4939" s="12" t="inlineStr">
        <is>
          <t>Modular / portable power</t>
        </is>
      </c>
      <c r="D4939" s="12" t="inlineStr">
        <is>
          <t>MT-6 microturbine output</t>
        </is>
      </c>
      <c r="E4939" s="12" t="inlineStr">
        <is>
          <t>MT-6</t>
        </is>
      </c>
      <c r="F4939" s="12" t="inlineStr">
        <is>
          <t>MT-6: microturbine 1 MW (Capstone C1000 class)</t>
        </is>
      </c>
      <c r="G4939" s="12" t="inlineStr"/>
      <c r="H4939" s="12" t="inlineStr">
        <is>
          <t>MOD-LV 480 V board + 480 V : 13.8 kV step-up</t>
        </is>
      </c>
      <c r="I4939" s="12" t="inlineStr">
        <is>
          <t>LV 600 V</t>
        </is>
      </c>
      <c r="J4939" s="12" t="inlineStr">
        <is>
          <t>Type TC-ER 600 V 3/C Cu XHHW-2 + ground, PVC jacket</t>
        </is>
      </c>
      <c r="K4939" s="12" t="inlineStr">
        <is>
          <t>LV|3/C+G|350</t>
        </is>
      </c>
      <c r="L4939" s="12" t="inlineStr">
        <is>
          <t>3/C+G</t>
        </is>
      </c>
      <c r="M4939" s="12" t="inlineStr">
        <is>
          <t>350 kcmil</t>
        </is>
      </c>
      <c r="N4939" s="12" t="n">
        <v>6</v>
      </c>
      <c r="O4939" s="12" t="n">
        <v>1</v>
      </c>
      <c r="P4939" s="12" t="n">
        <v>480</v>
      </c>
      <c r="Q4939" s="12" t="n">
        <v>1000</v>
      </c>
      <c r="R4939" s="12" t="n">
        <v>1266.2</v>
      </c>
      <c r="S4939" s="12" t="inlineStr">
        <is>
          <t>Duct bank</t>
        </is>
      </c>
      <c r="T4939" s="15" t="n">
        <v>551</v>
      </c>
      <c r="U4939" s="15" t="n">
        <v>38</v>
      </c>
      <c r="V4939" s="15">
        <f>ROUNDUP((T4939+U4939+2*'Read Me'!$B$13)*(1+'Read Me'!$B$12),-1)</f>
        <v/>
      </c>
      <c r="W4939" s="15">
        <f>V4939*N4939*O4939</f>
        <v/>
      </c>
      <c r="X4939" s="12">
        <f>IF(LEFT(I4939,2)="MV",2*N4939*IF(L4939="1/C",O4939,1),0)</f>
        <v/>
      </c>
      <c r="Y4939" s="12">
        <f>IF(OR(LEFT(K4939,4)="LVAX",LEFT(K4939,6)="MV15AX",LEFT(K4939,4)="CTAX",LEFT(K4939,2)="W|"),2*N4939*O4939,0)</f>
        <v/>
      </c>
      <c r="Z4939" s="12" t="inlineStr">
        <is>
          <t>VD 1.8 %</t>
        </is>
      </c>
      <c r="AA4939" s="12">
        <f>N4939*O4939</f>
        <v/>
      </c>
    </row>
    <row r="4940">
      <c r="A4940" s="12" t="inlineStr">
        <is>
          <t>I-P-0038</t>
        </is>
      </c>
      <c r="B4940" s="12" t="inlineStr">
        <is>
          <t>I</t>
        </is>
      </c>
      <c r="C4940" s="12" t="inlineStr">
        <is>
          <t>Modular / portable power</t>
        </is>
      </c>
      <c r="D4940" s="12" t="inlineStr">
        <is>
          <t>PAD-LV to PAD-TX</t>
        </is>
      </c>
      <c r="E4940" s="12" t="inlineStr">
        <is>
          <t>PAD-LV</t>
        </is>
      </c>
      <c r="F4940" s="12" t="inlineStr">
        <is>
          <t>PAD-LV 480 V paralleling switchboard</t>
        </is>
      </c>
      <c r="G4940" s="12" t="inlineStr">
        <is>
          <t>PAD-TX</t>
        </is>
      </c>
      <c r="H4940" s="12" t="inlineStr">
        <is>
          <t>PAD-TX 480 V : 13.8 kV</t>
        </is>
      </c>
      <c r="I4940" s="12" t="inlineStr">
        <is>
          <t>LV 600 V</t>
        </is>
      </c>
      <c r="J4940" s="12" t="inlineStr">
        <is>
          <t>XHHW-2 600 V 1/C Cu (feeder sets in tray / duct)</t>
        </is>
      </c>
      <c r="K4940" s="12" t="inlineStr">
        <is>
          <t>LV1C|1/C|500</t>
        </is>
      </c>
      <c r="L4940" s="12" t="inlineStr">
        <is>
          <t>1/C</t>
        </is>
      </c>
      <c r="M4940" s="12" t="inlineStr">
        <is>
          <t>500 kcmil</t>
        </is>
      </c>
      <c r="N4940" s="12" t="n">
        <v>12</v>
      </c>
      <c r="O4940" s="12" t="n">
        <v>4</v>
      </c>
      <c r="P4940" s="12" t="n">
        <v>480</v>
      </c>
      <c r="Q4940" s="12" t="n">
        <v>3000</v>
      </c>
      <c r="R4940" s="12" t="n">
        <v>3600</v>
      </c>
      <c r="S4940" s="12" t="inlineStr">
        <is>
          <t>Conduit link</t>
        </is>
      </c>
      <c r="T4940" s="15" t="n">
        <v>25</v>
      </c>
      <c r="U4940" s="15" t="n">
        <v>27</v>
      </c>
      <c r="V4940" s="15">
        <f>ROUNDUP((T4940+U4940+2*'Read Me'!$B$13)*(1+'Read Me'!$B$12),-1)</f>
        <v/>
      </c>
      <c r="W4940" s="15">
        <f>V4940*N4940*O4940</f>
        <v/>
      </c>
      <c r="X4940" s="12">
        <f>IF(LEFT(I4940,2)="MV",2*N4940*IF(L4940="1/C",O4940,1),0)</f>
        <v/>
      </c>
      <c r="Y4940" s="12">
        <f>IF(OR(LEFT(K4940,4)="LVAX",LEFT(K4940,6)="MV15AX",LEFT(K4940,4)="CTAX",LEFT(K4940,2)="W|"),2*N4940*O4940,0)</f>
        <v/>
      </c>
      <c r="Z4940" s="12" t="inlineStr">
        <is>
          <t>12 sets of 4 x 1/C (or bus duct)</t>
        </is>
      </c>
      <c r="AA4940" s="12">
        <f>N4940*O4940</f>
        <v/>
      </c>
    </row>
    <row r="4941">
      <c r="A4941" s="12" t="inlineStr">
        <is>
          <t>I-P-0039</t>
        </is>
      </c>
      <c r="B4941" s="12" t="inlineStr">
        <is>
          <t>I</t>
        </is>
      </c>
      <c r="C4941" s="12" t="inlineStr">
        <is>
          <t>Modular / portable power</t>
        </is>
      </c>
      <c r="D4941" s="12" t="inlineStr">
        <is>
          <t>LV panel / distribution feeder</t>
        </is>
      </c>
      <c r="E4941" s="12" t="inlineStr"/>
      <c r="F4941" s="12" t="inlineStr">
        <is>
          <t>PCM: power control module</t>
        </is>
      </c>
      <c r="G4941" s="12" t="inlineStr"/>
      <c r="H4941" s="12" t="inlineStr">
        <is>
          <t>PCM: power control module</t>
        </is>
      </c>
      <c r="I4941" s="12" t="inlineStr">
        <is>
          <t>LV 600 V</t>
        </is>
      </c>
      <c r="J4941" s="12" t="inlineStr">
        <is>
          <t>Type TC-ER 600 V 3/C Cu XHHW-2 + ground, PVC jacket</t>
        </is>
      </c>
      <c r="K4941" s="12" t="inlineStr">
        <is>
          <t>LV|3/C+G|4</t>
        </is>
      </c>
      <c r="L4941" s="12" t="inlineStr">
        <is>
          <t>3/C+G</t>
        </is>
      </c>
      <c r="M4941" s="12" t="inlineStr">
        <is>
          <t>4</t>
        </is>
      </c>
      <c r="N4941" s="12" t="n">
        <v>1</v>
      </c>
      <c r="O4941" s="12" t="n">
        <v>1</v>
      </c>
      <c r="P4941" s="12" t="n">
        <v>480</v>
      </c>
      <c r="Q4941" s="12" t="n">
        <v>38</v>
      </c>
      <c r="R4941" s="12" t="n">
        <v>53.8</v>
      </c>
      <c r="S4941" s="12" t="inlineStr">
        <is>
          <t>Tray</t>
        </is>
      </c>
      <c r="T4941" s="15" t="n">
        <v>0</v>
      </c>
      <c r="U4941" s="15" t="n">
        <v>32</v>
      </c>
      <c r="V4941" s="15">
        <f>ROUNDUP((T4941+U4941+2*'Read Me'!$B$13)*(1+'Read Me'!$B$12),-1)</f>
        <v/>
      </c>
      <c r="W4941" s="15">
        <f>V4941*N4941*O4941</f>
        <v/>
      </c>
      <c r="X4941" s="12">
        <f>IF(LEFT(I4941,2)="MV",2*N4941*IF(L4941="1/C",O4941,1),0)</f>
        <v/>
      </c>
      <c r="Y4941" s="12">
        <f>IF(OR(LEFT(K4941,4)="LVAX",LEFT(K4941,6)="MV15AX",LEFT(K4941,4)="CTAX",LEFT(K4941,2)="W|"),2*N4941*O4941,0)</f>
        <v/>
      </c>
      <c r="Z4941" s="12" t="inlineStr">
        <is>
          <t>VD 0.2 %</t>
        </is>
      </c>
      <c r="AA4941" s="12">
        <f>N4941*O4941</f>
        <v/>
      </c>
    </row>
    <row r="4942">
      <c r="A4942" s="12" t="inlineStr">
        <is>
          <t>I-P-0040</t>
        </is>
      </c>
      <c r="B4942" s="12" t="inlineStr">
        <is>
          <t>I</t>
        </is>
      </c>
      <c r="C4942" s="12" t="inlineStr">
        <is>
          <t>Modular / portable power</t>
        </is>
      </c>
      <c r="D4942" s="12" t="inlineStr">
        <is>
          <t>Motor 1 of 1, 15 kW</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LV|3/C+G|6</t>
        </is>
      </c>
      <c r="L4942" s="12" t="inlineStr">
        <is>
          <t>3/C+G</t>
        </is>
      </c>
      <c r="M4942" s="12" t="inlineStr">
        <is>
          <t>6</t>
        </is>
      </c>
      <c r="N4942" s="12" t="n">
        <v>1</v>
      </c>
      <c r="O4942" s="12" t="n">
        <v>1</v>
      </c>
      <c r="P4942" s="12" t="n">
        <v>480</v>
      </c>
      <c r="Q4942" s="12" t="n">
        <v>15</v>
      </c>
      <c r="R4942" s="12" t="n">
        <v>21.2</v>
      </c>
      <c r="S4942" s="12" t="inlineStr">
        <is>
          <t>Duct bank</t>
        </is>
      </c>
      <c r="T4942" s="15" t="n">
        <v>470</v>
      </c>
      <c r="U4942" s="15" t="n">
        <v>160</v>
      </c>
      <c r="V4942" s="15">
        <f>ROUNDUP((T4942+U4942+2*'Read Me'!$B$13)*(1+'Read Me'!$B$12),-1)</f>
        <v/>
      </c>
      <c r="W4942" s="15">
        <f>V4942*N4942*O4942</f>
        <v/>
      </c>
      <c r="X4942" s="12">
        <f>IF(LEFT(I4942,2)="MV",2*N4942*IF(L4942="1/C",O4942,1),0)</f>
        <v/>
      </c>
      <c r="Y4942" s="12">
        <f>IF(OR(LEFT(K4942,4)="LVAX",LEFT(K4942,6)="MV15AX",LEFT(K4942,4)="CTAX",LEFT(K4942,2)="W|"),2*N4942*O4942,0)</f>
        <v/>
      </c>
      <c r="Z4942" s="12" t="inlineStr">
        <is>
          <t>VD 2.6 %</t>
        </is>
      </c>
      <c r="AA4942" s="12">
        <f>N4942*O4942</f>
        <v/>
      </c>
    </row>
    <row r="4943">
      <c r="A4943" s="12" t="inlineStr">
        <is>
          <t>I-P-0041</t>
        </is>
      </c>
      <c r="B4943" s="12" t="inlineStr">
        <is>
          <t>I</t>
        </is>
      </c>
      <c r="C4943" s="12" t="inlineStr">
        <is>
          <t>Modular / portable power</t>
        </is>
      </c>
      <c r="D4943" s="12" t="inlineStr">
        <is>
          <t>Area / platform lighting circuit 1 (6 fixtures)</t>
        </is>
      </c>
      <c r="E4943" s="12" t="inlineStr"/>
      <c r="F4943" s="12" t="inlineStr">
        <is>
          <t>PCM: power control module</t>
        </is>
      </c>
      <c r="G4943" s="12" t="inlineStr"/>
      <c r="H4943" s="12" t="inlineStr">
        <is>
          <t>RICE 1 SCR + oxidation catalyst and stack</t>
        </is>
      </c>
      <c r="I4943" s="12" t="inlineStr">
        <is>
          <t>LV 600 V</t>
        </is>
      </c>
      <c r="J4943" s="12" t="inlineStr">
        <is>
          <t>Type TC-ER 600 V 3/C Cu XHHW-2 + ground, PVC jacket</t>
        </is>
      </c>
      <c r="K4943" s="12" t="inlineStr">
        <is>
          <t>LV|3/C+G|10</t>
        </is>
      </c>
      <c r="L4943" s="12" t="inlineStr">
        <is>
          <t>3/C+G</t>
        </is>
      </c>
      <c r="M4943" s="12" t="inlineStr">
        <is>
          <t>10</t>
        </is>
      </c>
      <c r="N4943" s="12" t="n">
        <v>1</v>
      </c>
      <c r="O4943" s="12" t="n">
        <v>1</v>
      </c>
      <c r="P4943" s="12" t="n">
        <v>480</v>
      </c>
      <c r="Q4943" s="12" t="n">
        <v>3</v>
      </c>
      <c r="R4943" s="12" t="n">
        <v>5</v>
      </c>
      <c r="S4943" s="12" t="inlineStr">
        <is>
          <t>Duct bank</t>
        </is>
      </c>
      <c r="T4943" s="15" t="n">
        <v>770</v>
      </c>
      <c r="U4943" s="15" t="n">
        <v>160</v>
      </c>
      <c r="V4943" s="15">
        <f>ROUNDUP((T4943+U4943+2*'Read Me'!$B$13)*(1+'Read Me'!$B$12),-1)</f>
        <v/>
      </c>
      <c r="W4943" s="15">
        <f>V4943*N4943*O4943</f>
        <v/>
      </c>
      <c r="X4943" s="12">
        <f>IF(LEFT(I4943,2)="MV",2*N4943*IF(L4943="1/C",O4943,1),0)</f>
        <v/>
      </c>
      <c r="Y4943" s="12">
        <f>IF(OR(LEFT(K4943,4)="LVAX",LEFT(K4943,6)="MV15AX",LEFT(K4943,4)="CTAX",LEFT(K4943,2)="W|"),2*N4943*O4943,0)</f>
        <v/>
      </c>
      <c r="Z4943" s="12" t="inlineStr">
        <is>
          <t>fixture-to-fixture run included</t>
        </is>
      </c>
      <c r="AA4943" s="12">
        <f>N4943*O4943</f>
        <v/>
      </c>
    </row>
    <row r="4944">
      <c r="A4944" s="12" t="inlineStr">
        <is>
          <t>I-P-0042</t>
        </is>
      </c>
      <c r="B4944" s="12" t="inlineStr">
        <is>
          <t>I</t>
        </is>
      </c>
      <c r="C4944" s="12" t="inlineStr">
        <is>
          <t>Modular / portable power</t>
        </is>
      </c>
      <c r="D4944" s="12" t="inlineStr">
        <is>
          <t>Motor 1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5" t="n">
        <v>825</v>
      </c>
      <c r="U4944" s="15" t="n">
        <v>139</v>
      </c>
      <c r="V4944" s="15">
        <f>ROUNDUP((T4944+U4944+2*'Read Me'!$B$13)*(1+'Read Me'!$B$12),-1)</f>
        <v/>
      </c>
      <c r="W4944" s="15">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2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5" t="n">
        <v>825</v>
      </c>
      <c r="U4945" s="15" t="n">
        <v>139</v>
      </c>
      <c r="V4945" s="15">
        <f>ROUNDUP((T4945+U4945+2*'Read Me'!$B$13)*(1+'Read Me'!$B$12),-1)</f>
        <v/>
      </c>
      <c r="W4945" s="15">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3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5" t="n">
        <v>825</v>
      </c>
      <c r="U4946" s="15" t="n">
        <v>139</v>
      </c>
      <c r="V4946" s="15">
        <f>ROUNDUP((T4946+U4946+2*'Read Me'!$B$13)*(1+'Read Me'!$B$12),-1)</f>
        <v/>
      </c>
      <c r="W4946" s="15">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4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5" t="n">
        <v>825</v>
      </c>
      <c r="U4947" s="15" t="n">
        <v>139</v>
      </c>
      <c r="V4947" s="15">
        <f>ROUNDUP((T4947+U4947+2*'Read Me'!$B$13)*(1+'Read Me'!$B$12),-1)</f>
        <v/>
      </c>
      <c r="W4947" s="15">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5 of 5, 30 kW (VFD output)</t>
        </is>
      </c>
      <c r="E4948" s="12" t="inlineStr"/>
      <c r="F4948" s="12" t="inlineStr">
        <is>
          <t>PCM: power control module</t>
        </is>
      </c>
      <c r="G4948" s="12" t="inlineStr"/>
      <c r="H4948" s="12" t="inlineStr">
        <is>
          <t>RICE 1 radiators (5)</t>
        </is>
      </c>
      <c r="I4948" s="12" t="inlineStr">
        <is>
          <t>LV 600 V</t>
        </is>
      </c>
      <c r="J4948" s="12" t="inlineStr">
        <is>
          <t>VFD cable 600 V 3/C Cu XHHW-2, 3 symmetrical grounds, overall Cu tape shield, TC-ER</t>
        </is>
      </c>
      <c r="K4948" s="12" t="inlineStr">
        <is>
          <t>VFD|3/C+3G|1</t>
        </is>
      </c>
      <c r="L4948" s="12" t="inlineStr">
        <is>
          <t>3/C+3G</t>
        </is>
      </c>
      <c r="M4948" s="12" t="inlineStr">
        <is>
          <t>1</t>
        </is>
      </c>
      <c r="N4948" s="12" t="n">
        <v>1</v>
      </c>
      <c r="O4948" s="12" t="n">
        <v>1</v>
      </c>
      <c r="P4948" s="12" t="n">
        <v>480</v>
      </c>
      <c r="Q4948" s="12" t="n">
        <v>30</v>
      </c>
      <c r="R4948" s="12" t="n">
        <v>42</v>
      </c>
      <c r="S4948" s="12" t="inlineStr">
        <is>
          <t>Duct bank</t>
        </is>
      </c>
      <c r="T4948" s="15" t="n">
        <v>825</v>
      </c>
      <c r="U4948" s="15" t="n">
        <v>139</v>
      </c>
      <c r="V4948" s="15">
        <f>ROUNDUP((T4948+U4948+2*'Read Me'!$B$13)*(1+'Read Me'!$B$12),-1)</f>
        <v/>
      </c>
      <c r="W4948" s="15">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Motor 1 of 1, 15 kW</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LV|3/C+G|6</t>
        </is>
      </c>
      <c r="L4949" s="12" t="inlineStr">
        <is>
          <t>3/C+G</t>
        </is>
      </c>
      <c r="M4949" s="12" t="inlineStr">
        <is>
          <t>6</t>
        </is>
      </c>
      <c r="N4949" s="12" t="n">
        <v>1</v>
      </c>
      <c r="O4949" s="12" t="n">
        <v>1</v>
      </c>
      <c r="P4949" s="12" t="n">
        <v>480</v>
      </c>
      <c r="Q4949" s="12" t="n">
        <v>15</v>
      </c>
      <c r="R4949" s="12" t="n">
        <v>21.2</v>
      </c>
      <c r="S4949" s="12" t="inlineStr">
        <is>
          <t>Duct bank</t>
        </is>
      </c>
      <c r="T4949" s="15" t="n">
        <v>470</v>
      </c>
      <c r="U4949" s="15" t="n">
        <v>132</v>
      </c>
      <c r="V4949" s="15">
        <f>ROUNDUP((T4949+U4949+2*'Read Me'!$B$13)*(1+'Read Me'!$B$12),-1)</f>
        <v/>
      </c>
      <c r="W4949" s="15">
        <f>V4949*N4949*O4949</f>
        <v/>
      </c>
      <c r="X4949" s="12">
        <f>IF(LEFT(I4949,2)="MV",2*N4949*IF(L4949="1/C",O4949,1),0)</f>
        <v/>
      </c>
      <c r="Y4949" s="12">
        <f>IF(OR(LEFT(K4949,4)="LVAX",LEFT(K4949,6)="MV15AX",LEFT(K4949,4)="CTAX",LEFT(K4949,2)="W|"),2*N4949*O4949,0)</f>
        <v/>
      </c>
      <c r="Z4949" s="12" t="inlineStr">
        <is>
          <t>VD 2.5 %</t>
        </is>
      </c>
      <c r="AA4949" s="12">
        <f>N4949*O4949</f>
        <v/>
      </c>
    </row>
    <row r="4950">
      <c r="A4950" s="12" t="inlineStr">
        <is>
          <t>I-P-0048</t>
        </is>
      </c>
      <c r="B4950" s="12" t="inlineStr">
        <is>
          <t>I</t>
        </is>
      </c>
      <c r="C4950" s="12" t="inlineStr">
        <is>
          <t>Modular / portable power</t>
        </is>
      </c>
      <c r="D4950" s="12" t="inlineStr">
        <is>
          <t>Area / platform lighting circuit 1 (6 fixtures)</t>
        </is>
      </c>
      <c r="E4950" s="12" t="inlineStr"/>
      <c r="F4950" s="12" t="inlineStr">
        <is>
          <t>PCM: power control module</t>
        </is>
      </c>
      <c r="G4950" s="12" t="inlineStr"/>
      <c r="H4950" s="12" t="inlineStr">
        <is>
          <t>RICE 2 SCR + oxidation catalyst and stack</t>
        </is>
      </c>
      <c r="I4950" s="12" t="inlineStr">
        <is>
          <t>LV 600 V</t>
        </is>
      </c>
      <c r="J4950" s="12" t="inlineStr">
        <is>
          <t>Type TC-ER 600 V 3/C Cu XHHW-2 + ground, PVC jacket</t>
        </is>
      </c>
      <c r="K4950" s="12" t="inlineStr">
        <is>
          <t>LV|3/C+G|10</t>
        </is>
      </c>
      <c r="L4950" s="12" t="inlineStr">
        <is>
          <t>3/C+G</t>
        </is>
      </c>
      <c r="M4950" s="12" t="inlineStr">
        <is>
          <t>10</t>
        </is>
      </c>
      <c r="N4950" s="12" t="n">
        <v>1</v>
      </c>
      <c r="O4950" s="12" t="n">
        <v>1</v>
      </c>
      <c r="P4950" s="12" t="n">
        <v>480</v>
      </c>
      <c r="Q4950" s="12" t="n">
        <v>3</v>
      </c>
      <c r="R4950" s="12" t="n">
        <v>5</v>
      </c>
      <c r="S4950" s="12" t="inlineStr">
        <is>
          <t>Duct bank</t>
        </is>
      </c>
      <c r="T4950" s="15" t="n">
        <v>770</v>
      </c>
      <c r="U4950" s="15" t="n">
        <v>132</v>
      </c>
      <c r="V4950" s="15">
        <f>ROUNDUP((T4950+U4950+2*'Read Me'!$B$13)*(1+'Read Me'!$B$12),-1)</f>
        <v/>
      </c>
      <c r="W4950" s="15">
        <f>V4950*N4950*O4950</f>
        <v/>
      </c>
      <c r="X4950" s="12">
        <f>IF(LEFT(I4950,2)="MV",2*N4950*IF(L4950="1/C",O4950,1),0)</f>
        <v/>
      </c>
      <c r="Y4950" s="12">
        <f>IF(OR(LEFT(K4950,4)="LVAX",LEFT(K4950,6)="MV15AX",LEFT(K4950,4)="CTAX",LEFT(K4950,2)="W|"),2*N4950*O4950,0)</f>
        <v/>
      </c>
      <c r="Z4950" s="12" t="inlineStr">
        <is>
          <t>fixture-to-fixture run included</t>
        </is>
      </c>
      <c r="AA4950" s="12">
        <f>N4950*O4950</f>
        <v/>
      </c>
    </row>
    <row r="4951">
      <c r="A4951" s="12" t="inlineStr">
        <is>
          <t>I-P-0049</t>
        </is>
      </c>
      <c r="B4951" s="12" t="inlineStr">
        <is>
          <t>I</t>
        </is>
      </c>
      <c r="C4951" s="12" t="inlineStr">
        <is>
          <t>Modular / portable power</t>
        </is>
      </c>
      <c r="D4951" s="12" t="inlineStr">
        <is>
          <t>Motor 1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5" t="n">
        <v>630</v>
      </c>
      <c r="U4951" s="15" t="n">
        <v>192</v>
      </c>
      <c r="V4951" s="15">
        <f>ROUNDUP((T4951+U4951+2*'Read Me'!$B$13)*(1+'Read Me'!$B$12),-1)</f>
        <v/>
      </c>
      <c r="W4951" s="15">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2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5" t="n">
        <v>630</v>
      </c>
      <c r="U4952" s="15" t="n">
        <v>192</v>
      </c>
      <c r="V4952" s="15">
        <f>ROUNDUP((T4952+U4952+2*'Read Me'!$B$13)*(1+'Read Me'!$B$12),-1)</f>
        <v/>
      </c>
      <c r="W4952" s="15">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3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5" t="n">
        <v>630</v>
      </c>
      <c r="U4953" s="15" t="n">
        <v>192</v>
      </c>
      <c r="V4953" s="15">
        <f>ROUNDUP((T4953+U4953+2*'Read Me'!$B$13)*(1+'Read Me'!$B$12),-1)</f>
        <v/>
      </c>
      <c r="W4953" s="15">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4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5" t="n">
        <v>630</v>
      </c>
      <c r="U4954" s="15" t="n">
        <v>192</v>
      </c>
      <c r="V4954" s="15">
        <f>ROUNDUP((T4954+U4954+2*'Read Me'!$B$13)*(1+'Read Me'!$B$12),-1)</f>
        <v/>
      </c>
      <c r="W4954" s="15">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5 of 5, 30 kW (VFD output)</t>
        </is>
      </c>
      <c r="E4955" s="12" t="inlineStr"/>
      <c r="F4955" s="12" t="inlineStr">
        <is>
          <t>PCM: power control module</t>
        </is>
      </c>
      <c r="G4955" s="12" t="inlineStr"/>
      <c r="H4955" s="12" t="inlineStr">
        <is>
          <t>RICE 2 radiators (5)</t>
        </is>
      </c>
      <c r="I4955" s="12" t="inlineStr">
        <is>
          <t>LV 600 V</t>
        </is>
      </c>
      <c r="J4955" s="12" t="inlineStr">
        <is>
          <t>VFD cable 600 V 3/C Cu XHHW-2, 3 symmetrical grounds, overall Cu tape shield, TC-ER</t>
        </is>
      </c>
      <c r="K4955" s="12" t="inlineStr">
        <is>
          <t>VFD|3/C+3G|2</t>
        </is>
      </c>
      <c r="L4955" s="12" t="inlineStr">
        <is>
          <t>3/C+3G</t>
        </is>
      </c>
      <c r="M4955" s="12" t="inlineStr">
        <is>
          <t>2</t>
        </is>
      </c>
      <c r="N4955" s="12" t="n">
        <v>1</v>
      </c>
      <c r="O4955" s="12" t="n">
        <v>1</v>
      </c>
      <c r="P4955" s="12" t="n">
        <v>480</v>
      </c>
      <c r="Q4955" s="12" t="n">
        <v>30</v>
      </c>
      <c r="R4955" s="12" t="n">
        <v>42</v>
      </c>
      <c r="S4955" s="12" t="inlineStr">
        <is>
          <t>Duct bank</t>
        </is>
      </c>
      <c r="T4955" s="15" t="n">
        <v>630</v>
      </c>
      <c r="U4955" s="15" t="n">
        <v>192</v>
      </c>
      <c r="V4955" s="15">
        <f>ROUNDUP((T4955+U4955+2*'Read Me'!$B$13)*(1+'Read Me'!$B$12),-1)</f>
        <v/>
      </c>
      <c r="W4955" s="15">
        <f>V4955*N4955*O4955</f>
        <v/>
      </c>
      <c r="X4955" s="12">
        <f>IF(LEFT(I4955,2)="MV",2*N4955*IF(L4955="1/C",O4955,1),0)</f>
        <v/>
      </c>
      <c r="Y4955" s="12">
        <f>IF(OR(LEFT(K4955,4)="LVAX",LEFT(K4955,6)="MV15AX",LEFT(K4955,4)="CTAX",LEFT(K4955,2)="W|"),2*N4955*O4955,0)</f>
        <v/>
      </c>
      <c r="Z4955" s="12" t="inlineStr">
        <is>
          <t>VD 2.7 %</t>
        </is>
      </c>
      <c r="AA4955" s="12">
        <f>N4955*O4955</f>
        <v/>
      </c>
    </row>
    <row r="4956">
      <c r="A4956" s="12" t="inlineStr">
        <is>
          <t>I-P-0054</t>
        </is>
      </c>
      <c r="B4956" s="12" t="inlineStr">
        <is>
          <t>I</t>
        </is>
      </c>
      <c r="C4956" s="12" t="inlineStr">
        <is>
          <t>Modular / portable power</t>
        </is>
      </c>
      <c r="D4956" s="12" t="inlineStr">
        <is>
          <t>Motor 1 of 1, 15 kW</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5" t="n">
        <v>470</v>
      </c>
      <c r="U4956" s="15" t="n">
        <v>104</v>
      </c>
      <c r="V4956" s="15">
        <f>ROUNDUP((T4956+U4956+2*'Read Me'!$B$13)*(1+'Read Me'!$B$12),-1)</f>
        <v/>
      </c>
      <c r="W4956" s="15">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I-P-0055</t>
        </is>
      </c>
      <c r="B4957" s="12" t="inlineStr">
        <is>
          <t>I</t>
        </is>
      </c>
      <c r="C4957" s="12" t="inlineStr">
        <is>
          <t>Modular / portable power</t>
        </is>
      </c>
      <c r="D4957" s="12" t="inlineStr">
        <is>
          <t>Area / platform lighting circuit 1 (6 fixtures)</t>
        </is>
      </c>
      <c r="E4957" s="12" t="inlineStr"/>
      <c r="F4957" s="12" t="inlineStr">
        <is>
          <t>PCM: power control module</t>
        </is>
      </c>
      <c r="G4957" s="12" t="inlineStr"/>
      <c r="H4957" s="12" t="inlineStr">
        <is>
          <t>RICE 3 SCR + oxidation catalyst and stack</t>
        </is>
      </c>
      <c r="I4957" s="12" t="inlineStr">
        <is>
          <t>LV 600 V</t>
        </is>
      </c>
      <c r="J4957" s="12" t="inlineStr">
        <is>
          <t>Type TC-ER 600 V 3/C Cu XHHW-2 + ground, PVC jacket</t>
        </is>
      </c>
      <c r="K4957" s="12" t="inlineStr">
        <is>
          <t>LV|3/C+G|10</t>
        </is>
      </c>
      <c r="L4957" s="12" t="inlineStr">
        <is>
          <t>3/C+G</t>
        </is>
      </c>
      <c r="M4957" s="12" t="inlineStr">
        <is>
          <t>10</t>
        </is>
      </c>
      <c r="N4957" s="12" t="n">
        <v>1</v>
      </c>
      <c r="O4957" s="12" t="n">
        <v>1</v>
      </c>
      <c r="P4957" s="12" t="n">
        <v>480</v>
      </c>
      <c r="Q4957" s="12" t="n">
        <v>3</v>
      </c>
      <c r="R4957" s="12" t="n">
        <v>5</v>
      </c>
      <c r="S4957" s="12" t="inlineStr">
        <is>
          <t>Duct bank</t>
        </is>
      </c>
      <c r="T4957" s="15" t="n">
        <v>770</v>
      </c>
      <c r="U4957" s="15" t="n">
        <v>104</v>
      </c>
      <c r="V4957" s="15">
        <f>ROUNDUP((T4957+U4957+2*'Read Me'!$B$13)*(1+'Read Me'!$B$12),-1)</f>
        <v/>
      </c>
      <c r="W4957" s="15">
        <f>V4957*N4957*O4957</f>
        <v/>
      </c>
      <c r="X4957" s="12">
        <f>IF(LEFT(I4957,2)="MV",2*N4957*IF(L4957="1/C",O4957,1),0)</f>
        <v/>
      </c>
      <c r="Y4957" s="12">
        <f>IF(OR(LEFT(K4957,4)="LVAX",LEFT(K4957,6)="MV15AX",LEFT(K4957,4)="CTAX",LEFT(K4957,2)="W|"),2*N4957*O4957,0)</f>
        <v/>
      </c>
      <c r="Z4957" s="12" t="inlineStr">
        <is>
          <t>fixture-to-fixture run included</t>
        </is>
      </c>
      <c r="AA4957" s="12">
        <f>N4957*O4957</f>
        <v/>
      </c>
    </row>
    <row r="4958">
      <c r="A4958" s="12" t="inlineStr">
        <is>
          <t>I-P-0056</t>
        </is>
      </c>
      <c r="B4958" s="12" t="inlineStr">
        <is>
          <t>I</t>
        </is>
      </c>
      <c r="C4958" s="12" t="inlineStr">
        <is>
          <t>Modular / portable power</t>
        </is>
      </c>
      <c r="D4958" s="12" t="inlineStr">
        <is>
          <t>Motor 1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5" t="n">
        <v>112</v>
      </c>
      <c r="U4958" s="15" t="n">
        <v>232</v>
      </c>
      <c r="V4958" s="15">
        <f>ROUNDUP((T4958+U4958+2*'Read Me'!$B$13)*(1+'Read Me'!$B$12),-1)</f>
        <v/>
      </c>
      <c r="W4958" s="15">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2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5" t="n">
        <v>112</v>
      </c>
      <c r="U4959" s="15" t="n">
        <v>232</v>
      </c>
      <c r="V4959" s="15">
        <f>ROUNDUP((T4959+U4959+2*'Read Me'!$B$13)*(1+'Read Me'!$B$12),-1)</f>
        <v/>
      </c>
      <c r="W4959" s="15">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3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5" t="n">
        <v>112</v>
      </c>
      <c r="U4960" s="15" t="n">
        <v>232</v>
      </c>
      <c r="V4960" s="15">
        <f>ROUNDUP((T4960+U4960+2*'Read Me'!$B$13)*(1+'Read Me'!$B$12),-1)</f>
        <v/>
      </c>
      <c r="W4960" s="15">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4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5" t="n">
        <v>112</v>
      </c>
      <c r="U4961" s="15" t="n">
        <v>232</v>
      </c>
      <c r="V4961" s="15">
        <f>ROUNDUP((T4961+U4961+2*'Read Me'!$B$13)*(1+'Read Me'!$B$12),-1)</f>
        <v/>
      </c>
      <c r="W4961" s="15">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5 of 5, 30 kW (VFD output)</t>
        </is>
      </c>
      <c r="E4962" s="12" t="inlineStr"/>
      <c r="F4962" s="12" t="inlineStr">
        <is>
          <t>PCM: power control module</t>
        </is>
      </c>
      <c r="G4962" s="12" t="inlineStr"/>
      <c r="H4962" s="12" t="inlineStr">
        <is>
          <t>RICE 3 radiators (5)</t>
        </is>
      </c>
      <c r="I4962" s="12" t="inlineStr">
        <is>
          <t>LV 600 V</t>
        </is>
      </c>
      <c r="J4962" s="12" t="inlineStr">
        <is>
          <t>VFD cable 600 V 3/C Cu XHHW-2, 3 symmetrical grounds, overall Cu tape shield, TC-ER</t>
        </is>
      </c>
      <c r="K4962" s="12" t="inlineStr">
        <is>
          <t>VFD|3/C+3G|6</t>
        </is>
      </c>
      <c r="L4962" s="12" t="inlineStr">
        <is>
          <t>3/C+3G</t>
        </is>
      </c>
      <c r="M4962" s="12" t="inlineStr">
        <is>
          <t>6</t>
        </is>
      </c>
      <c r="N4962" s="12" t="n">
        <v>1</v>
      </c>
      <c r="O4962" s="12" t="n">
        <v>1</v>
      </c>
      <c r="P4962" s="12" t="n">
        <v>480</v>
      </c>
      <c r="Q4962" s="12" t="n">
        <v>30</v>
      </c>
      <c r="R4962" s="12" t="n">
        <v>42</v>
      </c>
      <c r="S4962" s="12" t="inlineStr">
        <is>
          <t>Tray</t>
        </is>
      </c>
      <c r="T4962" s="15" t="n">
        <v>112</v>
      </c>
      <c r="U4962" s="15" t="n">
        <v>232</v>
      </c>
      <c r="V4962" s="15">
        <f>ROUNDUP((T4962+U4962+2*'Read Me'!$B$13)*(1+'Read Me'!$B$12),-1)</f>
        <v/>
      </c>
      <c r="W4962" s="15">
        <f>V4962*N4962*O4962</f>
        <v/>
      </c>
      <c r="X4962" s="12">
        <f>IF(LEFT(I4962,2)="MV",2*N4962*IF(L4962="1/C",O4962,1),0)</f>
        <v/>
      </c>
      <c r="Y4962" s="12">
        <f>IF(OR(LEFT(K4962,4)="LVAX",LEFT(K4962,6)="MV15AX",LEFT(K4962,4)="CTAX",LEFT(K4962,2)="W|"),2*N4962*O4962,0)</f>
        <v/>
      </c>
      <c r="Z4962" s="12" t="inlineStr">
        <is>
          <t>VD 2.8 %</t>
        </is>
      </c>
      <c r="AA4962" s="12">
        <f>N4962*O4962</f>
        <v/>
      </c>
    </row>
    <row r="4963">
      <c r="A4963" s="12" t="inlineStr">
        <is>
          <t>I-P-0061</t>
        </is>
      </c>
      <c r="B4963" s="12" t="inlineStr">
        <is>
          <t>I</t>
        </is>
      </c>
      <c r="C4963" s="12" t="inlineStr">
        <is>
          <t>Modular / portable power</t>
        </is>
      </c>
      <c r="D4963" s="12" t="inlineStr">
        <is>
          <t>Motor 1 of 1, 15 kW</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LV|3/C+G|6</t>
        </is>
      </c>
      <c r="L4963" s="12" t="inlineStr">
        <is>
          <t>3/C+G</t>
        </is>
      </c>
      <c r="M4963" s="12" t="inlineStr">
        <is>
          <t>6</t>
        </is>
      </c>
      <c r="N4963" s="12" t="n">
        <v>1</v>
      </c>
      <c r="O4963" s="12" t="n">
        <v>1</v>
      </c>
      <c r="P4963" s="12" t="n">
        <v>480</v>
      </c>
      <c r="Q4963" s="12" t="n">
        <v>15</v>
      </c>
      <c r="R4963" s="12" t="n">
        <v>21.2</v>
      </c>
      <c r="S4963" s="12" t="inlineStr">
        <is>
          <t>Duct bank</t>
        </is>
      </c>
      <c r="T4963" s="15" t="n">
        <v>470</v>
      </c>
      <c r="U4963" s="15" t="n">
        <v>76</v>
      </c>
      <c r="V4963" s="15">
        <f>ROUNDUP((T4963+U4963+2*'Read Me'!$B$13)*(1+'Read Me'!$B$12),-1)</f>
        <v/>
      </c>
      <c r="W4963" s="15">
        <f>V4963*N4963*O4963</f>
        <v/>
      </c>
      <c r="X4963" s="12">
        <f>IF(LEFT(I4963,2)="MV",2*N4963*IF(L4963="1/C",O4963,1),0)</f>
        <v/>
      </c>
      <c r="Y4963" s="12">
        <f>IF(OR(LEFT(K4963,4)="LVAX",LEFT(K4963,6)="MV15AX",LEFT(K4963,4)="CTAX",LEFT(K4963,2)="W|"),2*N4963*O4963,0)</f>
        <v/>
      </c>
      <c r="Z4963" s="12" t="inlineStr">
        <is>
          <t>VD 2.3 %</t>
        </is>
      </c>
      <c r="AA4963" s="12">
        <f>N4963*O4963</f>
        <v/>
      </c>
    </row>
    <row r="4964">
      <c r="A4964" s="12" t="inlineStr">
        <is>
          <t>I-P-0062</t>
        </is>
      </c>
      <c r="B4964" s="12" t="inlineStr">
        <is>
          <t>I</t>
        </is>
      </c>
      <c r="C4964" s="12" t="inlineStr">
        <is>
          <t>Modular / portable power</t>
        </is>
      </c>
      <c r="D4964" s="12" t="inlineStr">
        <is>
          <t>Area / platform lighting circuit 1 (6 fixtures)</t>
        </is>
      </c>
      <c r="E4964" s="12" t="inlineStr"/>
      <c r="F4964" s="12" t="inlineStr">
        <is>
          <t>PCM: power control module</t>
        </is>
      </c>
      <c r="G4964" s="12" t="inlineStr"/>
      <c r="H4964" s="12" t="inlineStr">
        <is>
          <t>RICE 4 SCR + oxidation catalyst and stack</t>
        </is>
      </c>
      <c r="I4964" s="12" t="inlineStr">
        <is>
          <t>LV 600 V</t>
        </is>
      </c>
      <c r="J4964" s="12" t="inlineStr">
        <is>
          <t>Type TC-ER 600 V 3/C Cu XHHW-2 + ground, PVC jacket</t>
        </is>
      </c>
      <c r="K4964" s="12" t="inlineStr">
        <is>
          <t>LV|3/C+G|10</t>
        </is>
      </c>
      <c r="L4964" s="12" t="inlineStr">
        <is>
          <t>3/C+G</t>
        </is>
      </c>
      <c r="M4964" s="12" t="inlineStr">
        <is>
          <t>10</t>
        </is>
      </c>
      <c r="N4964" s="12" t="n">
        <v>1</v>
      </c>
      <c r="O4964" s="12" t="n">
        <v>1</v>
      </c>
      <c r="P4964" s="12" t="n">
        <v>480</v>
      </c>
      <c r="Q4964" s="12" t="n">
        <v>3</v>
      </c>
      <c r="R4964" s="12" t="n">
        <v>5</v>
      </c>
      <c r="S4964" s="12" t="inlineStr">
        <is>
          <t>Duct bank</t>
        </is>
      </c>
      <c r="T4964" s="15" t="n">
        <v>770</v>
      </c>
      <c r="U4964" s="15" t="n">
        <v>76</v>
      </c>
      <c r="V4964" s="15">
        <f>ROUNDUP((T4964+U4964+2*'Read Me'!$B$13)*(1+'Read Me'!$B$12),-1)</f>
        <v/>
      </c>
      <c r="W4964" s="15">
        <f>V4964*N4964*O4964</f>
        <v/>
      </c>
      <c r="X4964" s="12">
        <f>IF(LEFT(I4964,2)="MV",2*N4964*IF(L4964="1/C",O4964,1),0)</f>
        <v/>
      </c>
      <c r="Y4964" s="12">
        <f>IF(OR(LEFT(K4964,4)="LVAX",LEFT(K4964,6)="MV15AX",LEFT(K4964,4)="CTAX",LEFT(K4964,2)="W|"),2*N4964*O4964,0)</f>
        <v/>
      </c>
      <c r="Z4964" s="12" t="inlineStr">
        <is>
          <t>fixture-to-fixture run included</t>
        </is>
      </c>
      <c r="AA4964" s="12">
        <f>N4964*O4964</f>
        <v/>
      </c>
    </row>
    <row r="4965">
      <c r="A4965" s="12" t="inlineStr">
        <is>
          <t>I-P-0063</t>
        </is>
      </c>
      <c r="B4965" s="12" t="inlineStr">
        <is>
          <t>I</t>
        </is>
      </c>
      <c r="C4965" s="12" t="inlineStr">
        <is>
          <t>Modular / portable power</t>
        </is>
      </c>
      <c r="D4965" s="12" t="inlineStr">
        <is>
          <t>Motor 1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5" t="n">
        <v>80</v>
      </c>
      <c r="U4965" s="15" t="n">
        <v>206</v>
      </c>
      <c r="V4965" s="15">
        <f>ROUNDUP((T4965+U4965+2*'Read Me'!$B$13)*(1+'Read Me'!$B$12),-1)</f>
        <v/>
      </c>
      <c r="W4965" s="15">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2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5" t="n">
        <v>80</v>
      </c>
      <c r="U4966" s="15" t="n">
        <v>206</v>
      </c>
      <c r="V4966" s="15">
        <f>ROUNDUP((T4966+U4966+2*'Read Me'!$B$13)*(1+'Read Me'!$B$12),-1)</f>
        <v/>
      </c>
      <c r="W4966" s="15">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3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5" t="n">
        <v>80</v>
      </c>
      <c r="U4967" s="15" t="n">
        <v>206</v>
      </c>
      <c r="V4967" s="15">
        <f>ROUNDUP((T4967+U4967+2*'Read Me'!$B$13)*(1+'Read Me'!$B$12),-1)</f>
        <v/>
      </c>
      <c r="W4967" s="15">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4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5" t="n">
        <v>80</v>
      </c>
      <c r="U4968" s="15" t="n">
        <v>206</v>
      </c>
      <c r="V4968" s="15">
        <f>ROUNDUP((T4968+U4968+2*'Read Me'!$B$13)*(1+'Read Me'!$B$12),-1)</f>
        <v/>
      </c>
      <c r="W4968" s="15">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5 of 5, 30 kW (VFD output)</t>
        </is>
      </c>
      <c r="E4969" s="12" t="inlineStr"/>
      <c r="F4969" s="12" t="inlineStr">
        <is>
          <t>PCM: power control module</t>
        </is>
      </c>
      <c r="G4969" s="12" t="inlineStr"/>
      <c r="H4969" s="12" t="inlineStr">
        <is>
          <t>RICE 4 radiators (5)</t>
        </is>
      </c>
      <c r="I4969" s="12" t="inlineStr">
        <is>
          <t>LV 600 V</t>
        </is>
      </c>
      <c r="J4969" s="12" t="inlineStr">
        <is>
          <t>VFD cable 600 V 3/C Cu XHHW-2, 3 symmetrical grounds, overall Cu tape shield, TC-ER</t>
        </is>
      </c>
      <c r="K4969" s="12" t="inlineStr">
        <is>
          <t>VFD|3/C+3G|6</t>
        </is>
      </c>
      <c r="L4969" s="12" t="inlineStr">
        <is>
          <t>3/C+3G</t>
        </is>
      </c>
      <c r="M4969" s="12" t="inlineStr">
        <is>
          <t>6</t>
        </is>
      </c>
      <c r="N4969" s="12" t="n">
        <v>1</v>
      </c>
      <c r="O4969" s="12" t="n">
        <v>1</v>
      </c>
      <c r="P4969" s="12" t="n">
        <v>480</v>
      </c>
      <c r="Q4969" s="12" t="n">
        <v>30</v>
      </c>
      <c r="R4969" s="12" t="n">
        <v>42</v>
      </c>
      <c r="S4969" s="12" t="inlineStr">
        <is>
          <t>Tray</t>
        </is>
      </c>
      <c r="T4969" s="15" t="n">
        <v>80</v>
      </c>
      <c r="U4969" s="15" t="n">
        <v>206</v>
      </c>
      <c r="V4969" s="15">
        <f>ROUNDUP((T4969+U4969+2*'Read Me'!$B$13)*(1+'Read Me'!$B$12),-1)</f>
        <v/>
      </c>
      <c r="W4969" s="15">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I-P-0068</t>
        </is>
      </c>
      <c r="B4970" s="12" t="inlineStr">
        <is>
          <t>I</t>
        </is>
      </c>
      <c r="C4970" s="12" t="inlineStr">
        <is>
          <t>Modular / portable power</t>
        </is>
      </c>
      <c r="D4970" s="12" t="inlineStr">
        <is>
          <t>Motor 1 of 1, 15 kW</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LV|3/C+G|6</t>
        </is>
      </c>
      <c r="L4970" s="12" t="inlineStr">
        <is>
          <t>3/C+G</t>
        </is>
      </c>
      <c r="M4970" s="12" t="inlineStr">
        <is>
          <t>6</t>
        </is>
      </c>
      <c r="N4970" s="12" t="n">
        <v>1</v>
      </c>
      <c r="O4970" s="12" t="n">
        <v>1</v>
      </c>
      <c r="P4970" s="12" t="n">
        <v>480</v>
      </c>
      <c r="Q4970" s="12" t="n">
        <v>15</v>
      </c>
      <c r="R4970" s="12" t="n">
        <v>21.2</v>
      </c>
      <c r="S4970" s="12" t="inlineStr">
        <is>
          <t>Duct bank</t>
        </is>
      </c>
      <c r="T4970" s="15" t="n">
        <v>322</v>
      </c>
      <c r="U4970" s="15" t="n">
        <v>196</v>
      </c>
      <c r="V4970" s="15">
        <f>ROUNDUP((T4970+U4970+2*'Read Me'!$B$13)*(1+'Read Me'!$B$12),-1)</f>
        <v/>
      </c>
      <c r="W4970" s="15">
        <f>V4970*N4970*O4970</f>
        <v/>
      </c>
      <c r="X4970" s="12">
        <f>IF(LEFT(I4970,2)="MV",2*N4970*IF(L4970="1/C",O4970,1),0)</f>
        <v/>
      </c>
      <c r="Y4970" s="12">
        <f>IF(OR(LEFT(K4970,4)="LVAX",LEFT(K4970,6)="MV15AX",LEFT(K4970,4)="CTAX",LEFT(K4970,2)="W|"),2*N4970*O4970,0)</f>
        <v/>
      </c>
      <c r="Z4970" s="12" t="inlineStr">
        <is>
          <t>VD 2.1 %</t>
        </is>
      </c>
      <c r="AA4970" s="12">
        <f>N4970*O4970</f>
        <v/>
      </c>
    </row>
    <row r="4971">
      <c r="A4971" s="12" t="inlineStr">
        <is>
          <t>I-P-0069</t>
        </is>
      </c>
      <c r="B4971" s="12" t="inlineStr">
        <is>
          <t>I</t>
        </is>
      </c>
      <c r="C4971" s="12" t="inlineStr">
        <is>
          <t>Modular / portable power</t>
        </is>
      </c>
      <c r="D4971" s="12" t="inlineStr">
        <is>
          <t>Area / platform lighting circuit 1 (6 fixtures)</t>
        </is>
      </c>
      <c r="E4971" s="12" t="inlineStr"/>
      <c r="F4971" s="12" t="inlineStr">
        <is>
          <t>PCM: power control module</t>
        </is>
      </c>
      <c r="G4971" s="12" t="inlineStr"/>
      <c r="H4971" s="12" t="inlineStr">
        <is>
          <t>RICE 5 SCR + oxidation catalyst and stack</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3</v>
      </c>
      <c r="R4971" s="12" t="n">
        <v>5</v>
      </c>
      <c r="S4971" s="12" t="inlineStr">
        <is>
          <t>Duct bank</t>
        </is>
      </c>
      <c r="T4971" s="15" t="n">
        <v>622</v>
      </c>
      <c r="U4971" s="15" t="n">
        <v>196</v>
      </c>
      <c r="V4971" s="15">
        <f>ROUNDUP((T4971+U4971+2*'Read Me'!$B$13)*(1+'Read Me'!$B$12),-1)</f>
        <v/>
      </c>
      <c r="W4971" s="15">
        <f>V4971*N4971*O4971</f>
        <v/>
      </c>
      <c r="X4971" s="12">
        <f>IF(LEFT(I4971,2)="MV",2*N4971*IF(L4971="1/C",O4971,1),0)</f>
        <v/>
      </c>
      <c r="Y4971" s="12">
        <f>IF(OR(LEFT(K4971,4)="LVAX",LEFT(K4971,6)="MV15AX",LEFT(K4971,4)="CTAX",LEFT(K4971,2)="W|"),2*N4971*O4971,0)</f>
        <v/>
      </c>
      <c r="Z4971" s="12" t="inlineStr">
        <is>
          <t>fixture-to-fixture run included</t>
        </is>
      </c>
      <c r="AA4971" s="12">
        <f>N4971*O4971</f>
        <v/>
      </c>
    </row>
    <row r="4972">
      <c r="A4972" s="12" t="inlineStr">
        <is>
          <t>I-P-0070</t>
        </is>
      </c>
      <c r="B4972" s="12" t="inlineStr">
        <is>
          <t>I</t>
        </is>
      </c>
      <c r="C4972" s="12" t="inlineStr">
        <is>
          <t>Modular / portable power</t>
        </is>
      </c>
      <c r="D4972" s="12" t="inlineStr">
        <is>
          <t>Motor 1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5" t="n">
        <v>80</v>
      </c>
      <c r="U4972" s="15" t="n">
        <v>178</v>
      </c>
      <c r="V4972" s="15">
        <f>ROUNDUP((T4972+U4972+2*'Read Me'!$B$13)*(1+'Read Me'!$B$12),-1)</f>
        <v/>
      </c>
      <c r="W4972" s="15">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2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5" t="n">
        <v>80</v>
      </c>
      <c r="U4973" s="15" t="n">
        <v>178</v>
      </c>
      <c r="V4973" s="15">
        <f>ROUNDUP((T4973+U4973+2*'Read Me'!$B$13)*(1+'Read Me'!$B$12),-1)</f>
        <v/>
      </c>
      <c r="W4973" s="15">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3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5" t="n">
        <v>80</v>
      </c>
      <c r="U4974" s="15" t="n">
        <v>178</v>
      </c>
      <c r="V4974" s="15">
        <f>ROUNDUP((T4974+U4974+2*'Read Me'!$B$13)*(1+'Read Me'!$B$12),-1)</f>
        <v/>
      </c>
      <c r="W4974" s="15">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4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5" t="n">
        <v>80</v>
      </c>
      <c r="U4975" s="15" t="n">
        <v>178</v>
      </c>
      <c r="V4975" s="15">
        <f>ROUNDUP((T4975+U4975+2*'Read Me'!$B$13)*(1+'Read Me'!$B$12),-1)</f>
        <v/>
      </c>
      <c r="W4975" s="15">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5 of 5, 30 kW (VFD output)</t>
        </is>
      </c>
      <c r="E4976" s="12" t="inlineStr"/>
      <c r="F4976" s="12" t="inlineStr">
        <is>
          <t>PCM: power control module</t>
        </is>
      </c>
      <c r="G4976" s="12" t="inlineStr"/>
      <c r="H4976" s="12" t="inlineStr">
        <is>
          <t>RICE 5 radiators (5)</t>
        </is>
      </c>
      <c r="I4976" s="12" t="inlineStr">
        <is>
          <t>LV 600 V</t>
        </is>
      </c>
      <c r="J4976" s="12" t="inlineStr">
        <is>
          <t>VFD cable 600 V 3/C Cu XHHW-2, 3 symmetrical grounds, overall Cu tape shield, TC-ER</t>
        </is>
      </c>
      <c r="K4976" s="12" t="inlineStr">
        <is>
          <t>VFD|3/C+3G|6</t>
        </is>
      </c>
      <c r="L4976" s="12" t="inlineStr">
        <is>
          <t>3/C+3G</t>
        </is>
      </c>
      <c r="M4976" s="12" t="inlineStr">
        <is>
          <t>6</t>
        </is>
      </c>
      <c r="N4976" s="12" t="n">
        <v>1</v>
      </c>
      <c r="O4976" s="12" t="n">
        <v>1</v>
      </c>
      <c r="P4976" s="12" t="n">
        <v>480</v>
      </c>
      <c r="Q4976" s="12" t="n">
        <v>30</v>
      </c>
      <c r="R4976" s="12" t="n">
        <v>42</v>
      </c>
      <c r="S4976" s="12" t="inlineStr">
        <is>
          <t>Tray</t>
        </is>
      </c>
      <c r="T4976" s="15" t="n">
        <v>80</v>
      </c>
      <c r="U4976" s="15" t="n">
        <v>178</v>
      </c>
      <c r="V4976" s="15">
        <f>ROUNDUP((T4976+U4976+2*'Read Me'!$B$13)*(1+'Read Me'!$B$12),-1)</f>
        <v/>
      </c>
      <c r="W4976" s="15">
        <f>V4976*N4976*O4976</f>
        <v/>
      </c>
      <c r="X4976" s="12">
        <f>IF(LEFT(I4976,2)="MV",2*N4976*IF(L4976="1/C",O4976,1),0)</f>
        <v/>
      </c>
      <c r="Y4976" s="12">
        <f>IF(OR(LEFT(K4976,4)="LVAX",LEFT(K4976,6)="MV15AX",LEFT(K4976,4)="CTAX",LEFT(K4976,2)="W|"),2*N4976*O4976,0)</f>
        <v/>
      </c>
      <c r="Z4976" s="12" t="inlineStr">
        <is>
          <t>VD 2.1 %</t>
        </is>
      </c>
      <c r="AA4976" s="12">
        <f>N4976*O4976</f>
        <v/>
      </c>
    </row>
    <row r="4977">
      <c r="A4977" s="12" t="inlineStr">
        <is>
          <t>I-P-0075</t>
        </is>
      </c>
      <c r="B4977" s="12" t="inlineStr">
        <is>
          <t>I</t>
        </is>
      </c>
      <c r="C4977" s="12" t="inlineStr">
        <is>
          <t>Modular / portable power</t>
        </is>
      </c>
      <c r="D4977" s="12" t="inlineStr">
        <is>
          <t>Motor 1 of 1, 15 kW</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LV|3/C+G|6</t>
        </is>
      </c>
      <c r="L4977" s="12" t="inlineStr">
        <is>
          <t>3/C+G</t>
        </is>
      </c>
      <c r="M4977" s="12" t="inlineStr">
        <is>
          <t>6</t>
        </is>
      </c>
      <c r="N4977" s="12" t="n">
        <v>1</v>
      </c>
      <c r="O4977" s="12" t="n">
        <v>1</v>
      </c>
      <c r="P4977" s="12" t="n">
        <v>480</v>
      </c>
      <c r="Q4977" s="12" t="n">
        <v>15</v>
      </c>
      <c r="R4977" s="12" t="n">
        <v>21.2</v>
      </c>
      <c r="S4977" s="12" t="inlineStr">
        <is>
          <t>Duct bank</t>
        </is>
      </c>
      <c r="T4977" s="15" t="n">
        <v>322</v>
      </c>
      <c r="U4977" s="15" t="n">
        <v>168</v>
      </c>
      <c r="V4977" s="15">
        <f>ROUNDUP((T4977+U4977+2*'Read Me'!$B$13)*(1+'Read Me'!$B$12),-1)</f>
        <v/>
      </c>
      <c r="W4977" s="15">
        <f>V4977*N4977*O4977</f>
        <v/>
      </c>
      <c r="X4977" s="12">
        <f>IF(LEFT(I4977,2)="MV",2*N4977*IF(L4977="1/C",O4977,1),0)</f>
        <v/>
      </c>
      <c r="Y4977" s="12">
        <f>IF(OR(LEFT(K4977,4)="LVAX",LEFT(K4977,6)="MV15AX",LEFT(K4977,4)="CTAX",LEFT(K4977,2)="W|"),2*N4977*O4977,0)</f>
        <v/>
      </c>
      <c r="Z4977" s="12" t="inlineStr">
        <is>
          <t>VD 2.0 %</t>
        </is>
      </c>
      <c r="AA4977" s="12">
        <f>N4977*O4977</f>
        <v/>
      </c>
    </row>
    <row r="4978">
      <c r="A4978" s="12" t="inlineStr">
        <is>
          <t>I-P-0076</t>
        </is>
      </c>
      <c r="B4978" s="12" t="inlineStr">
        <is>
          <t>I</t>
        </is>
      </c>
      <c r="C4978" s="12" t="inlineStr">
        <is>
          <t>Modular / portable power</t>
        </is>
      </c>
      <c r="D4978" s="12" t="inlineStr">
        <is>
          <t>Area / platform lighting circuit 1 (6 fixtures)</t>
        </is>
      </c>
      <c r="E4978" s="12" t="inlineStr"/>
      <c r="F4978" s="12" t="inlineStr">
        <is>
          <t>PCM: power control module</t>
        </is>
      </c>
      <c r="G4978" s="12" t="inlineStr"/>
      <c r="H4978" s="12" t="inlineStr">
        <is>
          <t>RICE 6 SCR + oxidation catalyst and stack</t>
        </is>
      </c>
      <c r="I4978" s="12" t="inlineStr">
        <is>
          <t>LV 600 V</t>
        </is>
      </c>
      <c r="J4978" s="12" t="inlineStr">
        <is>
          <t>Type TC-ER 600 V 3/C Cu XHHW-2 + ground, PVC jacket</t>
        </is>
      </c>
      <c r="K4978" s="12" t="inlineStr">
        <is>
          <t>LV|3/C+G|10</t>
        </is>
      </c>
      <c r="L4978" s="12" t="inlineStr">
        <is>
          <t>3/C+G</t>
        </is>
      </c>
      <c r="M4978" s="12" t="inlineStr">
        <is>
          <t>10</t>
        </is>
      </c>
      <c r="N4978" s="12" t="n">
        <v>1</v>
      </c>
      <c r="O4978" s="12" t="n">
        <v>1</v>
      </c>
      <c r="P4978" s="12" t="n">
        <v>480</v>
      </c>
      <c r="Q4978" s="12" t="n">
        <v>3</v>
      </c>
      <c r="R4978" s="12" t="n">
        <v>5</v>
      </c>
      <c r="S4978" s="12" t="inlineStr">
        <is>
          <t>Duct bank</t>
        </is>
      </c>
      <c r="T4978" s="15" t="n">
        <v>622</v>
      </c>
      <c r="U4978" s="15" t="n">
        <v>168</v>
      </c>
      <c r="V4978" s="15">
        <f>ROUNDUP((T4978+U4978+2*'Read Me'!$B$13)*(1+'Read Me'!$B$12),-1)</f>
        <v/>
      </c>
      <c r="W4978" s="15">
        <f>V4978*N4978*O4978</f>
        <v/>
      </c>
      <c r="X4978" s="12">
        <f>IF(LEFT(I4978,2)="MV",2*N4978*IF(L4978="1/C",O4978,1),0)</f>
        <v/>
      </c>
      <c r="Y4978" s="12">
        <f>IF(OR(LEFT(K4978,4)="LVAX",LEFT(K4978,6)="MV15AX",LEFT(K4978,4)="CTAX",LEFT(K4978,2)="W|"),2*N4978*O4978,0)</f>
        <v/>
      </c>
      <c r="Z4978" s="12" t="inlineStr">
        <is>
          <t>fixture-to-fixture run included</t>
        </is>
      </c>
      <c r="AA4978" s="12">
        <f>N4978*O4978</f>
        <v/>
      </c>
    </row>
    <row r="4979">
      <c r="A4979" s="12" t="inlineStr">
        <is>
          <t>I-P-0077</t>
        </is>
      </c>
      <c r="B4979" s="12" t="inlineStr">
        <is>
          <t>I</t>
        </is>
      </c>
      <c r="C4979" s="12" t="inlineStr">
        <is>
          <t>Modular / portable power</t>
        </is>
      </c>
      <c r="D4979" s="12" t="inlineStr">
        <is>
          <t>Motor 1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5" t="n">
        <v>80</v>
      </c>
      <c r="U4979" s="15" t="n">
        <v>150</v>
      </c>
      <c r="V4979" s="15">
        <f>ROUNDUP((T4979+U4979+2*'Read Me'!$B$13)*(1+'Read Me'!$B$12),-1)</f>
        <v/>
      </c>
      <c r="W4979" s="15">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2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5" t="n">
        <v>80</v>
      </c>
      <c r="U4980" s="15" t="n">
        <v>150</v>
      </c>
      <c r="V4980" s="15">
        <f>ROUNDUP((T4980+U4980+2*'Read Me'!$B$13)*(1+'Read Me'!$B$12),-1)</f>
        <v/>
      </c>
      <c r="W4980" s="15">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3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5" t="n">
        <v>80</v>
      </c>
      <c r="U4981" s="15" t="n">
        <v>150</v>
      </c>
      <c r="V4981" s="15">
        <f>ROUNDUP((T4981+U4981+2*'Read Me'!$B$13)*(1+'Read Me'!$B$12),-1)</f>
        <v/>
      </c>
      <c r="W4981" s="15">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4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5" t="n">
        <v>80</v>
      </c>
      <c r="U4982" s="15" t="n">
        <v>150</v>
      </c>
      <c r="V4982" s="15">
        <f>ROUNDUP((T4982+U4982+2*'Read Me'!$B$13)*(1+'Read Me'!$B$12),-1)</f>
        <v/>
      </c>
      <c r="W4982" s="15">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5 of 5, 30 kW (VFD output)</t>
        </is>
      </c>
      <c r="E4983" s="12" t="inlineStr"/>
      <c r="F4983" s="12" t="inlineStr">
        <is>
          <t>PCM: power control module</t>
        </is>
      </c>
      <c r="G4983" s="12" t="inlineStr"/>
      <c r="H4983" s="12" t="inlineStr">
        <is>
          <t>RICE 6 radiators (5)</t>
        </is>
      </c>
      <c r="I4983" s="12" t="inlineStr">
        <is>
          <t>LV 600 V</t>
        </is>
      </c>
      <c r="J4983" s="12" t="inlineStr">
        <is>
          <t>VFD cable 600 V 3/C Cu XHHW-2, 3 symmetrical grounds, overall Cu tape shield, TC-ER</t>
        </is>
      </c>
      <c r="K4983" s="12" t="inlineStr">
        <is>
          <t>VFD|3/C+3G|6</t>
        </is>
      </c>
      <c r="L4983" s="12" t="inlineStr">
        <is>
          <t>3/C+3G</t>
        </is>
      </c>
      <c r="M4983" s="12" t="inlineStr">
        <is>
          <t>6</t>
        </is>
      </c>
      <c r="N4983" s="12" t="n">
        <v>1</v>
      </c>
      <c r="O4983" s="12" t="n">
        <v>1</v>
      </c>
      <c r="P4983" s="12" t="n">
        <v>480</v>
      </c>
      <c r="Q4983" s="12" t="n">
        <v>30</v>
      </c>
      <c r="R4983" s="12" t="n">
        <v>42</v>
      </c>
      <c r="S4983" s="12" t="inlineStr">
        <is>
          <t>Tray</t>
        </is>
      </c>
      <c r="T4983" s="15" t="n">
        <v>80</v>
      </c>
      <c r="U4983" s="15" t="n">
        <v>150</v>
      </c>
      <c r="V4983" s="15">
        <f>ROUNDUP((T4983+U4983+2*'Read Me'!$B$13)*(1+'Read Me'!$B$12),-1)</f>
        <v/>
      </c>
      <c r="W4983" s="15">
        <f>V4983*N4983*O4983</f>
        <v/>
      </c>
      <c r="X4983" s="12">
        <f>IF(LEFT(I4983,2)="MV",2*N4983*IF(L4983="1/C",O4983,1),0)</f>
        <v/>
      </c>
      <c r="Y4983" s="12">
        <f>IF(OR(LEFT(K4983,4)="LVAX",LEFT(K4983,6)="MV15AX",LEFT(K4983,4)="CTAX",LEFT(K4983,2)="W|"),2*N4983*O4983,0)</f>
        <v/>
      </c>
      <c r="Z4983" s="12" t="inlineStr">
        <is>
          <t>VD 1.9 %</t>
        </is>
      </c>
      <c r="AA4983" s="12">
        <f>N4983*O4983</f>
        <v/>
      </c>
    </row>
    <row r="4984">
      <c r="A4984" s="12" t="inlineStr">
        <is>
          <t>I-P-0082</t>
        </is>
      </c>
      <c r="B4984" s="12" t="inlineStr">
        <is>
          <t>I</t>
        </is>
      </c>
      <c r="C4984" s="12" t="inlineStr">
        <is>
          <t>Modular / portable power</t>
        </is>
      </c>
      <c r="D4984" s="12" t="inlineStr">
        <is>
          <t>Motor 1 of 1, 15 kW</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LV|3/C+G|8</t>
        </is>
      </c>
      <c r="L4984" s="12" t="inlineStr">
        <is>
          <t>3/C+G</t>
        </is>
      </c>
      <c r="M4984" s="12" t="inlineStr">
        <is>
          <t>8</t>
        </is>
      </c>
      <c r="N4984" s="12" t="n">
        <v>1</v>
      </c>
      <c r="O4984" s="12" t="n">
        <v>1</v>
      </c>
      <c r="P4984" s="12" t="n">
        <v>480</v>
      </c>
      <c r="Q4984" s="12" t="n">
        <v>15</v>
      </c>
      <c r="R4984" s="12" t="n">
        <v>21.2</v>
      </c>
      <c r="S4984" s="12" t="inlineStr">
        <is>
          <t>Duct bank</t>
        </is>
      </c>
      <c r="T4984" s="15" t="n">
        <v>322</v>
      </c>
      <c r="U4984" s="15" t="n">
        <v>140</v>
      </c>
      <c r="V4984" s="15">
        <f>ROUNDUP((T4984+U4984+2*'Read Me'!$B$13)*(1+'Read Me'!$B$12),-1)</f>
        <v/>
      </c>
      <c r="W4984" s="15">
        <f>V4984*N4984*O4984</f>
        <v/>
      </c>
      <c r="X4984" s="12">
        <f>IF(LEFT(I4984,2)="MV",2*N4984*IF(L4984="1/C",O4984,1),0)</f>
        <v/>
      </c>
      <c r="Y4984" s="12">
        <f>IF(OR(LEFT(K4984,4)="LVAX",LEFT(K4984,6)="MV15AX",LEFT(K4984,4)="CTAX",LEFT(K4984,2)="W|"),2*N4984*O4984,0)</f>
        <v/>
      </c>
      <c r="Z4984" s="12" t="inlineStr">
        <is>
          <t>VD 3.0 %</t>
        </is>
      </c>
      <c r="AA4984" s="12">
        <f>N4984*O4984</f>
        <v/>
      </c>
    </row>
    <row r="4985">
      <c r="A4985" s="12" t="inlineStr">
        <is>
          <t>I-P-0083</t>
        </is>
      </c>
      <c r="B4985" s="12" t="inlineStr">
        <is>
          <t>I</t>
        </is>
      </c>
      <c r="C4985" s="12" t="inlineStr">
        <is>
          <t>Modular / portable power</t>
        </is>
      </c>
      <c r="D4985" s="12" t="inlineStr">
        <is>
          <t>Area / platform lighting circuit 1 (6 fixtures)</t>
        </is>
      </c>
      <c r="E4985" s="12" t="inlineStr"/>
      <c r="F4985" s="12" t="inlineStr">
        <is>
          <t>PCM: power control module</t>
        </is>
      </c>
      <c r="G4985" s="12" t="inlineStr"/>
      <c r="H4985" s="12" t="inlineStr">
        <is>
          <t>RICE 7 SCR + oxidation catalyst and stack</t>
        </is>
      </c>
      <c r="I4985" s="12" t="inlineStr">
        <is>
          <t>LV 600 V</t>
        </is>
      </c>
      <c r="J4985" s="12" t="inlineStr">
        <is>
          <t>Type TC-ER 600 V 3/C Cu XHHW-2 + ground, PVC jacket</t>
        </is>
      </c>
      <c r="K4985" s="12" t="inlineStr">
        <is>
          <t>LV|3/C+G|10</t>
        </is>
      </c>
      <c r="L4985" s="12" t="inlineStr">
        <is>
          <t>3/C+G</t>
        </is>
      </c>
      <c r="M4985" s="12" t="inlineStr">
        <is>
          <t>10</t>
        </is>
      </c>
      <c r="N4985" s="12" t="n">
        <v>1</v>
      </c>
      <c r="O4985" s="12" t="n">
        <v>1</v>
      </c>
      <c r="P4985" s="12" t="n">
        <v>480</v>
      </c>
      <c r="Q4985" s="12" t="n">
        <v>3</v>
      </c>
      <c r="R4985" s="12" t="n">
        <v>5</v>
      </c>
      <c r="S4985" s="12" t="inlineStr">
        <is>
          <t>Duct bank</t>
        </is>
      </c>
      <c r="T4985" s="15" t="n">
        <v>622</v>
      </c>
      <c r="U4985" s="15" t="n">
        <v>140</v>
      </c>
      <c r="V4985" s="15">
        <f>ROUNDUP((T4985+U4985+2*'Read Me'!$B$13)*(1+'Read Me'!$B$12),-1)</f>
        <v/>
      </c>
      <c r="W4985" s="15">
        <f>V4985*N4985*O4985</f>
        <v/>
      </c>
      <c r="X4985" s="12">
        <f>IF(LEFT(I4985,2)="MV",2*N4985*IF(L4985="1/C",O4985,1),0)</f>
        <v/>
      </c>
      <c r="Y4985" s="12">
        <f>IF(OR(LEFT(K4985,4)="LVAX",LEFT(K4985,6)="MV15AX",LEFT(K4985,4)="CTAX",LEFT(K4985,2)="W|"),2*N4985*O4985,0)</f>
        <v/>
      </c>
      <c r="Z4985" s="12" t="inlineStr">
        <is>
          <t>fixture-to-fixture run included</t>
        </is>
      </c>
      <c r="AA4985" s="12">
        <f>N4985*O4985</f>
        <v/>
      </c>
    </row>
    <row r="4986">
      <c r="A4986" s="12" t="inlineStr">
        <is>
          <t>I-P-0084</t>
        </is>
      </c>
      <c r="B4986" s="12" t="inlineStr">
        <is>
          <t>I</t>
        </is>
      </c>
      <c r="C4986" s="12" t="inlineStr">
        <is>
          <t>Modular / portable power</t>
        </is>
      </c>
      <c r="D4986" s="12" t="inlineStr">
        <is>
          <t>Motor 1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5" t="n">
        <v>80</v>
      </c>
      <c r="U4986" s="15" t="n">
        <v>122</v>
      </c>
      <c r="V4986" s="15">
        <f>ROUNDUP((T4986+U4986+2*'Read Me'!$B$13)*(1+'Read Me'!$B$12),-1)</f>
        <v/>
      </c>
      <c r="W4986" s="15">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2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5" t="n">
        <v>80</v>
      </c>
      <c r="U4987" s="15" t="n">
        <v>122</v>
      </c>
      <c r="V4987" s="15">
        <f>ROUNDUP((T4987+U4987+2*'Read Me'!$B$13)*(1+'Read Me'!$B$12),-1)</f>
        <v/>
      </c>
      <c r="W4987" s="15">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3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5" t="n">
        <v>80</v>
      </c>
      <c r="U4988" s="15" t="n">
        <v>122</v>
      </c>
      <c r="V4988" s="15">
        <f>ROUNDUP((T4988+U4988+2*'Read Me'!$B$13)*(1+'Read Me'!$B$12),-1)</f>
        <v/>
      </c>
      <c r="W4988" s="15">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4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5" t="n">
        <v>80</v>
      </c>
      <c r="U4989" s="15" t="n">
        <v>122</v>
      </c>
      <c r="V4989" s="15">
        <f>ROUNDUP((T4989+U4989+2*'Read Me'!$B$13)*(1+'Read Me'!$B$12),-1)</f>
        <v/>
      </c>
      <c r="W4989" s="15">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5 of 5, 30 kW (VFD output)</t>
        </is>
      </c>
      <c r="E4990" s="12" t="inlineStr"/>
      <c r="F4990" s="12" t="inlineStr">
        <is>
          <t>PCM: power control module</t>
        </is>
      </c>
      <c r="G4990" s="12" t="inlineStr"/>
      <c r="H4990" s="12" t="inlineStr">
        <is>
          <t>RICE 7 radiators (5)</t>
        </is>
      </c>
      <c r="I4990" s="12" t="inlineStr">
        <is>
          <t>LV 600 V</t>
        </is>
      </c>
      <c r="J4990" s="12" t="inlineStr">
        <is>
          <t>VFD cable 600 V 3/C Cu XHHW-2, 3 symmetrical grounds, overall Cu tape shield, TC-ER</t>
        </is>
      </c>
      <c r="K4990" s="12" t="inlineStr">
        <is>
          <t>VFD|3/C+3G|6</t>
        </is>
      </c>
      <c r="L4990" s="12" t="inlineStr">
        <is>
          <t>3/C+3G</t>
        </is>
      </c>
      <c r="M4990" s="12" t="inlineStr">
        <is>
          <t>6</t>
        </is>
      </c>
      <c r="N4990" s="12" t="n">
        <v>1</v>
      </c>
      <c r="O4990" s="12" t="n">
        <v>1</v>
      </c>
      <c r="P4990" s="12" t="n">
        <v>480</v>
      </c>
      <c r="Q4990" s="12" t="n">
        <v>30</v>
      </c>
      <c r="R4990" s="12" t="n">
        <v>42</v>
      </c>
      <c r="S4990" s="12" t="inlineStr">
        <is>
          <t>Tray</t>
        </is>
      </c>
      <c r="T4990" s="15" t="n">
        <v>80</v>
      </c>
      <c r="U4990" s="15" t="n">
        <v>122</v>
      </c>
      <c r="V4990" s="15">
        <f>ROUNDUP((T4990+U4990+2*'Read Me'!$B$13)*(1+'Read Me'!$B$12),-1)</f>
        <v/>
      </c>
      <c r="W4990" s="15">
        <f>V4990*N4990*O4990</f>
        <v/>
      </c>
      <c r="X4990" s="12">
        <f>IF(LEFT(I4990,2)="MV",2*N4990*IF(L4990="1/C",O4990,1),0)</f>
        <v/>
      </c>
      <c r="Y4990" s="12">
        <f>IF(OR(LEFT(K4990,4)="LVAX",LEFT(K4990,6)="MV15AX",LEFT(K4990,4)="CTAX",LEFT(K4990,2)="W|"),2*N4990*O4990,0)</f>
        <v/>
      </c>
      <c r="Z4990" s="12" t="inlineStr">
        <is>
          <t>VD 1.7 %</t>
        </is>
      </c>
      <c r="AA4990" s="12">
        <f>N4990*O4990</f>
        <v/>
      </c>
    </row>
    <row r="4991">
      <c r="A4991" s="12" t="inlineStr">
        <is>
          <t>I-P-0089</t>
        </is>
      </c>
      <c r="B4991" s="12" t="inlineStr">
        <is>
          <t>I</t>
        </is>
      </c>
      <c r="C4991" s="12" t="inlineStr">
        <is>
          <t>Modular / portable power</t>
        </is>
      </c>
      <c r="D4991" s="12" t="inlineStr">
        <is>
          <t>Motor 1 of 1, 15 kW</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LV|3/C+G|8</t>
        </is>
      </c>
      <c r="L4991" s="12" t="inlineStr">
        <is>
          <t>3/C+G</t>
        </is>
      </c>
      <c r="M4991" s="12" t="inlineStr">
        <is>
          <t>8</t>
        </is>
      </c>
      <c r="N4991" s="12" t="n">
        <v>1</v>
      </c>
      <c r="O4991" s="12" t="n">
        <v>1</v>
      </c>
      <c r="P4991" s="12" t="n">
        <v>480</v>
      </c>
      <c r="Q4991" s="12" t="n">
        <v>15</v>
      </c>
      <c r="R4991" s="12" t="n">
        <v>21.2</v>
      </c>
      <c r="S4991" s="12" t="inlineStr">
        <is>
          <t>Duct bank</t>
        </is>
      </c>
      <c r="T4991" s="15" t="n">
        <v>322</v>
      </c>
      <c r="U4991" s="15" t="n">
        <v>112</v>
      </c>
      <c r="V4991" s="15">
        <f>ROUNDUP((T4991+U4991+2*'Read Me'!$B$13)*(1+'Read Me'!$B$12),-1)</f>
        <v/>
      </c>
      <c r="W4991" s="15">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I-P-0090</t>
        </is>
      </c>
      <c r="B4992" s="12" t="inlineStr">
        <is>
          <t>I</t>
        </is>
      </c>
      <c r="C4992" s="12" t="inlineStr">
        <is>
          <t>Modular / portable power</t>
        </is>
      </c>
      <c r="D4992" s="12" t="inlineStr">
        <is>
          <t>Area / platform lighting circuit 1 (6 fixtures)</t>
        </is>
      </c>
      <c r="E4992" s="12" t="inlineStr"/>
      <c r="F4992" s="12" t="inlineStr">
        <is>
          <t>PCM: power control module</t>
        </is>
      </c>
      <c r="G4992" s="12" t="inlineStr"/>
      <c r="H4992" s="12" t="inlineStr">
        <is>
          <t>RICE 8 SCR + oxidation catalyst and stack</t>
        </is>
      </c>
      <c r="I4992" s="12" t="inlineStr">
        <is>
          <t>LV 600 V</t>
        </is>
      </c>
      <c r="J4992" s="12" t="inlineStr">
        <is>
          <t>Type TC-ER 600 V 3/C Cu XHHW-2 + ground, PVC jacket</t>
        </is>
      </c>
      <c r="K4992" s="12" t="inlineStr">
        <is>
          <t>LV|3/C+G|10</t>
        </is>
      </c>
      <c r="L4992" s="12" t="inlineStr">
        <is>
          <t>3/C+G</t>
        </is>
      </c>
      <c r="M4992" s="12" t="inlineStr">
        <is>
          <t>10</t>
        </is>
      </c>
      <c r="N4992" s="12" t="n">
        <v>1</v>
      </c>
      <c r="O4992" s="12" t="n">
        <v>1</v>
      </c>
      <c r="P4992" s="12" t="n">
        <v>480</v>
      </c>
      <c r="Q4992" s="12" t="n">
        <v>3</v>
      </c>
      <c r="R4992" s="12" t="n">
        <v>5</v>
      </c>
      <c r="S4992" s="12" t="inlineStr">
        <is>
          <t>Duct bank</t>
        </is>
      </c>
      <c r="T4992" s="15" t="n">
        <v>622</v>
      </c>
      <c r="U4992" s="15" t="n">
        <v>112</v>
      </c>
      <c r="V4992" s="15">
        <f>ROUNDUP((T4992+U4992+2*'Read Me'!$B$13)*(1+'Read Me'!$B$12),-1)</f>
        <v/>
      </c>
      <c r="W4992" s="15">
        <f>V4992*N4992*O4992</f>
        <v/>
      </c>
      <c r="X4992" s="12">
        <f>IF(LEFT(I4992,2)="MV",2*N4992*IF(L4992="1/C",O4992,1),0)</f>
        <v/>
      </c>
      <c r="Y4992" s="12">
        <f>IF(OR(LEFT(K4992,4)="LVAX",LEFT(K4992,6)="MV15AX",LEFT(K4992,4)="CTAX",LEFT(K4992,2)="W|"),2*N4992*O4992,0)</f>
        <v/>
      </c>
      <c r="Z4992" s="12" t="inlineStr">
        <is>
          <t>fixture-to-fixture run included</t>
        </is>
      </c>
      <c r="AA4992" s="12">
        <f>N4992*O4992</f>
        <v/>
      </c>
    </row>
    <row r="4993">
      <c r="A4993" s="12" t="inlineStr">
        <is>
          <t>I-P-0091</t>
        </is>
      </c>
      <c r="B4993" s="12" t="inlineStr">
        <is>
          <t>I</t>
        </is>
      </c>
      <c r="C4993" s="12" t="inlineStr">
        <is>
          <t>Modular / portable power</t>
        </is>
      </c>
      <c r="D4993" s="12" t="inlineStr">
        <is>
          <t>Motor 1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5" t="n">
        <v>80</v>
      </c>
      <c r="U4993" s="15" t="n">
        <v>94</v>
      </c>
      <c r="V4993" s="15">
        <f>ROUNDUP((T4993+U4993+2*'Read Me'!$B$13)*(1+'Read Me'!$B$12),-1)</f>
        <v/>
      </c>
      <c r="W4993" s="15">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2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5" t="n">
        <v>80</v>
      </c>
      <c r="U4994" s="15" t="n">
        <v>94</v>
      </c>
      <c r="V4994" s="15">
        <f>ROUNDUP((T4994+U4994+2*'Read Me'!$B$13)*(1+'Read Me'!$B$12),-1)</f>
        <v/>
      </c>
      <c r="W4994" s="15">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3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5" t="n">
        <v>80</v>
      </c>
      <c r="U4995" s="15" t="n">
        <v>94</v>
      </c>
      <c r="V4995" s="15">
        <f>ROUNDUP((T4995+U4995+2*'Read Me'!$B$13)*(1+'Read Me'!$B$12),-1)</f>
        <v/>
      </c>
      <c r="W4995" s="15">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4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5" t="n">
        <v>80</v>
      </c>
      <c r="U4996" s="15" t="n">
        <v>94</v>
      </c>
      <c r="V4996" s="15">
        <f>ROUNDUP((T4996+U4996+2*'Read Me'!$B$13)*(1+'Read Me'!$B$12),-1)</f>
        <v/>
      </c>
      <c r="W4996" s="15">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Motor 5 of 5, 30 kW (VFD output)</t>
        </is>
      </c>
      <c r="E4997" s="12" t="inlineStr"/>
      <c r="F4997" s="12" t="inlineStr">
        <is>
          <t>PCM: power control module</t>
        </is>
      </c>
      <c r="G4997" s="12" t="inlineStr"/>
      <c r="H4997" s="12" t="inlineStr">
        <is>
          <t>RICE 8 radiators (5)</t>
        </is>
      </c>
      <c r="I4997" s="12" t="inlineStr">
        <is>
          <t>LV 600 V</t>
        </is>
      </c>
      <c r="J4997" s="12" t="inlineStr">
        <is>
          <t>VFD cable 600 V 3/C Cu XHHW-2, 3 symmetrical grounds, overall Cu tape shield, TC-ER</t>
        </is>
      </c>
      <c r="K4997" s="12" t="inlineStr">
        <is>
          <t>VFD|3/C+3G|6</t>
        </is>
      </c>
      <c r="L4997" s="12" t="inlineStr">
        <is>
          <t>3/C+3G</t>
        </is>
      </c>
      <c r="M4997" s="12" t="inlineStr">
        <is>
          <t>6</t>
        </is>
      </c>
      <c r="N4997" s="12" t="n">
        <v>1</v>
      </c>
      <c r="O4997" s="12" t="n">
        <v>1</v>
      </c>
      <c r="P4997" s="12" t="n">
        <v>480</v>
      </c>
      <c r="Q4997" s="12" t="n">
        <v>30</v>
      </c>
      <c r="R4997" s="12" t="n">
        <v>42</v>
      </c>
      <c r="S4997" s="12" t="inlineStr">
        <is>
          <t>Tray</t>
        </is>
      </c>
      <c r="T4997" s="15" t="n">
        <v>80</v>
      </c>
      <c r="U4997" s="15" t="n">
        <v>94</v>
      </c>
      <c r="V4997" s="15">
        <f>ROUNDUP((T4997+U4997+2*'Read Me'!$B$13)*(1+'Read Me'!$B$12),-1)</f>
        <v/>
      </c>
      <c r="W4997" s="15">
        <f>V4997*N4997*O4997</f>
        <v/>
      </c>
      <c r="X4997" s="12">
        <f>IF(LEFT(I4997,2)="MV",2*N4997*IF(L4997="1/C",O4997,1),0)</f>
        <v/>
      </c>
      <c r="Y4997" s="12">
        <f>IF(OR(LEFT(K4997,4)="LVAX",LEFT(K4997,6)="MV15AX",LEFT(K4997,4)="CTAX",LEFT(K4997,2)="W|"),2*N4997*O4997,0)</f>
        <v/>
      </c>
      <c r="Z4997" s="12" t="inlineStr">
        <is>
          <t>VD 1.4 %</t>
        </is>
      </c>
      <c r="AA4997" s="12">
        <f>N4997*O4997</f>
        <v/>
      </c>
    </row>
    <row r="4998">
      <c r="A4998" s="12" t="inlineStr">
        <is>
          <t>I-P-0096</t>
        </is>
      </c>
      <c r="B4998" s="12" t="inlineStr">
        <is>
          <t>I</t>
        </is>
      </c>
      <c r="C4998" s="12" t="inlineStr">
        <is>
          <t>Modular / portable power</t>
        </is>
      </c>
      <c r="D4998" s="12" t="inlineStr">
        <is>
          <t>LV panel / distribution feeder</t>
        </is>
      </c>
      <c r="E4998" s="12" t="inlineStr"/>
      <c r="F4998" s="12" t="inlineStr">
        <is>
          <t>PCM: power control module</t>
        </is>
      </c>
      <c r="G4998" s="12" t="inlineStr"/>
      <c r="H4998" s="12" t="inlineStr">
        <is>
          <t>RICE CEMS</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30</v>
      </c>
      <c r="R4998" s="12" t="n">
        <v>42.5</v>
      </c>
      <c r="S4998" s="12" t="inlineStr">
        <is>
          <t>Duct bank</t>
        </is>
      </c>
      <c r="T4998" s="15" t="n">
        <v>260</v>
      </c>
      <c r="U4998" s="15" t="n">
        <v>131</v>
      </c>
      <c r="V4998" s="15">
        <f>ROUNDUP((T4998+U4998+2*'Read Me'!$B$13)*(1+'Read Me'!$B$12),-1)</f>
        <v/>
      </c>
      <c r="W4998" s="15">
        <f>V4998*N4998*O4998</f>
        <v/>
      </c>
      <c r="X4998" s="12">
        <f>IF(LEFT(I4998,2)="MV",2*N4998*IF(L4998="1/C",O4998,1),0)</f>
        <v/>
      </c>
      <c r="Y4998" s="12">
        <f>IF(OR(LEFT(K4998,4)="LVAX",LEFT(K4998,6)="MV15AX",LEFT(K4998,4)="CTAX",LEFT(K4998,2)="W|"),2*N4998*O4998,0)</f>
        <v/>
      </c>
      <c r="Z4998" s="12" t="inlineStr">
        <is>
          <t>VD 2.0 %</t>
        </is>
      </c>
      <c r="AA4998" s="12">
        <f>N4998*O4998</f>
        <v/>
      </c>
    </row>
    <row r="4999">
      <c r="A4999" s="12" t="inlineStr">
        <is>
          <t>I-P-0097</t>
        </is>
      </c>
      <c r="B4999" s="12" t="inlineStr">
        <is>
          <t>I</t>
        </is>
      </c>
      <c r="C4999" s="12" t="inlineStr">
        <is>
          <t>Modular / portable power</t>
        </is>
      </c>
      <c r="D4999" s="12" t="inlineStr">
        <is>
          <t>LV power feeder</t>
        </is>
      </c>
      <c r="E4999" s="12" t="inlineStr"/>
      <c r="F4999" s="12" t="inlineStr">
        <is>
          <t>PCM: power control module</t>
        </is>
      </c>
      <c r="G4999" s="12" t="inlineStr">
        <is>
          <t>RICE</t>
        </is>
      </c>
      <c r="H4999" s="12" t="inlineStr">
        <is>
          <t>RICE engine hall (8 engines)</t>
        </is>
      </c>
      <c r="I4999" s="12" t="inlineStr">
        <is>
          <t>LV 600 V</t>
        </is>
      </c>
      <c r="J4999" s="12" t="inlineStr">
        <is>
          <t>Type TC-ER 600 V 3/C Cu XHHW-2 + ground, PVC jacket</t>
        </is>
      </c>
      <c r="K4999" s="12" t="inlineStr">
        <is>
          <t>LV|3/C+G|8</t>
        </is>
      </c>
      <c r="L4999" s="12" t="inlineStr">
        <is>
          <t>3/C+G</t>
        </is>
      </c>
      <c r="M4999" s="12" t="inlineStr">
        <is>
          <t>8</t>
        </is>
      </c>
      <c r="N4999" s="12" t="n">
        <v>1</v>
      </c>
      <c r="O4999" s="12" t="n">
        <v>1</v>
      </c>
      <c r="P4999" s="12" t="n">
        <v>480</v>
      </c>
      <c r="Q4999" s="12" t="n">
        <v>15</v>
      </c>
      <c r="R4999" s="12" t="n">
        <v>21.2</v>
      </c>
      <c r="S4999" s="12" t="inlineStr">
        <is>
          <t>Duct bank</t>
        </is>
      </c>
      <c r="T4999" s="15" t="n">
        <v>367</v>
      </c>
      <c r="U4999" s="15" t="n">
        <v>95</v>
      </c>
      <c r="V4999" s="15">
        <f>ROUNDUP((T4999+U4999+2*'Read Me'!$B$13)*(1+'Read Me'!$B$12),-1)</f>
        <v/>
      </c>
      <c r="W4999" s="15">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I-P-0098</t>
        </is>
      </c>
      <c r="B5000" s="12" t="inlineStr">
        <is>
          <t>I</t>
        </is>
      </c>
      <c r="C5000" s="12" t="inlineStr">
        <is>
          <t>Modular / portable power</t>
        </is>
      </c>
      <c r="D5000" s="12" t="inlineStr">
        <is>
          <t>Motor 1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5" t="n">
        <v>550</v>
      </c>
      <c r="U5000" s="15" t="n">
        <v>137</v>
      </c>
      <c r="V5000" s="15">
        <f>ROUNDUP((T5000+U5000+2*'Read Me'!$B$13)*(1+'Read Me'!$B$12),-1)</f>
        <v/>
      </c>
      <c r="W5000" s="15">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2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5" t="n">
        <v>550</v>
      </c>
      <c r="U5001" s="15" t="n">
        <v>137</v>
      </c>
      <c r="V5001" s="15">
        <f>ROUNDUP((T5001+U5001+2*'Read Me'!$B$13)*(1+'Read Me'!$B$12),-1)</f>
        <v/>
      </c>
      <c r="W5001" s="15">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3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5" t="n">
        <v>550</v>
      </c>
      <c r="U5002" s="15" t="n">
        <v>137</v>
      </c>
      <c r="V5002" s="15">
        <f>ROUNDUP((T5002+U5002+2*'Read Me'!$B$13)*(1+'Read Me'!$B$12),-1)</f>
        <v/>
      </c>
      <c r="W5002" s="15">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4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5" t="n">
        <v>550</v>
      </c>
      <c r="U5003" s="15" t="n">
        <v>137</v>
      </c>
      <c r="V5003" s="15">
        <f>ROUNDUP((T5003+U5003+2*'Read Me'!$B$13)*(1+'Read Me'!$B$12),-1)</f>
        <v/>
      </c>
      <c r="W5003" s="15">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5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5" t="n">
        <v>550</v>
      </c>
      <c r="U5004" s="15" t="n">
        <v>137</v>
      </c>
      <c r="V5004" s="15">
        <f>ROUNDUP((T5004+U5004+2*'Read Me'!$B$13)*(1+'Read Me'!$B$12),-1)</f>
        <v/>
      </c>
      <c r="W5004" s="15">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Motor 6 of 6, 22 kW</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5" t="n">
        <v>550</v>
      </c>
      <c r="U5005" s="15" t="n">
        <v>137</v>
      </c>
      <c r="V5005" s="15">
        <f>ROUNDUP((T5005+U5005+2*'Read Me'!$B$13)*(1+'Read Me'!$B$12),-1)</f>
        <v/>
      </c>
      <c r="W5005" s="15">
        <f>V5005*N5005*O5005</f>
        <v/>
      </c>
      <c r="X5005" s="12">
        <f>IF(LEFT(I5005,2)="MV",2*N5005*IF(L5005="1/C",O5005,1),0)</f>
        <v/>
      </c>
      <c r="Y5005" s="12">
        <f>IF(OR(LEFT(K5005,4)="LVAX",LEFT(K5005,6)="MV15AX",LEFT(K5005,4)="CTAX",LEFT(K5005,2)="W|"),2*N5005*O5005,0)</f>
        <v/>
      </c>
      <c r="Z5005" s="12" t="inlineStr">
        <is>
          <t>VD 2.6 %</t>
        </is>
      </c>
      <c r="AA5005" s="12">
        <f>N5005*O5005</f>
        <v/>
      </c>
    </row>
    <row r="5006">
      <c r="A5006" s="12" t="inlineStr">
        <is>
          <t>I-P-0104</t>
        </is>
      </c>
      <c r="B5006" s="12" t="inlineStr">
        <is>
          <t>I</t>
        </is>
      </c>
      <c r="C5006" s="12" t="inlineStr">
        <is>
          <t>Modular / portable power</t>
        </is>
      </c>
      <c r="D5006" s="12" t="inlineStr">
        <is>
          <t>480 V welding receptacle 1</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5" t="n">
        <v>550</v>
      </c>
      <c r="U5006" s="15" t="n">
        <v>137</v>
      </c>
      <c r="V5006" s="15">
        <f>ROUNDUP((T5006+U5006+2*'Read Me'!$B$13)*(1+'Read Me'!$B$12),-1)</f>
        <v/>
      </c>
      <c r="W5006" s="15">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2</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5" t="n">
        <v>550</v>
      </c>
      <c r="U5007" s="15" t="n">
        <v>137</v>
      </c>
      <c r="V5007" s="15">
        <f>ROUNDUP((T5007+U5007+2*'Read Me'!$B$13)*(1+'Read Me'!$B$12),-1)</f>
        <v/>
      </c>
      <c r="W5007" s="15">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3</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5" t="n">
        <v>550</v>
      </c>
      <c r="U5008" s="15" t="n">
        <v>137</v>
      </c>
      <c r="V5008" s="15">
        <f>ROUNDUP((T5008+U5008+2*'Read Me'!$B$13)*(1+'Read Me'!$B$12),-1)</f>
        <v/>
      </c>
      <c r="W5008" s="15">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480 V welding receptacle 4</t>
        </is>
      </c>
      <c r="E5009" s="12" t="inlineStr"/>
      <c r="F5009" s="12" t="inlineStr">
        <is>
          <t>PCM: power control module</t>
        </is>
      </c>
      <c r="G5009" s="12" t="inlineStr">
        <is>
          <t>RICE-1</t>
        </is>
      </c>
      <c r="H5009" s="12" t="inlineStr">
        <is>
          <t>RICE engine-generator 1</t>
        </is>
      </c>
      <c r="I5009" s="12" t="inlineStr">
        <is>
          <t>LV 600 V</t>
        </is>
      </c>
      <c r="J5009" s="12" t="inlineStr">
        <is>
          <t>Type TC-ER 600 V 3/C Cu XHHW-2 + ground, PVC jacket</t>
        </is>
      </c>
      <c r="K5009" s="12" t="inlineStr">
        <is>
          <t>LV|3/C+G|1/0</t>
        </is>
      </c>
      <c r="L5009" s="12" t="inlineStr">
        <is>
          <t>3/C+G</t>
        </is>
      </c>
      <c r="M5009" s="12" t="inlineStr">
        <is>
          <t>1/0</t>
        </is>
      </c>
      <c r="N5009" s="12" t="n">
        <v>1</v>
      </c>
      <c r="O5009" s="12" t="n">
        <v>1</v>
      </c>
      <c r="P5009" s="12" t="n">
        <v>480</v>
      </c>
      <c r="Q5009" s="12" t="n">
        <v>60</v>
      </c>
      <c r="R5009" s="12" t="n">
        <v>76</v>
      </c>
      <c r="S5009" s="12" t="inlineStr">
        <is>
          <t>Duct bank</t>
        </is>
      </c>
      <c r="T5009" s="15" t="n">
        <v>550</v>
      </c>
      <c r="U5009" s="15" t="n">
        <v>137</v>
      </c>
      <c r="V5009" s="15">
        <f>ROUNDUP((T5009+U5009+2*'Read Me'!$B$13)*(1+'Read Me'!$B$12),-1)</f>
        <v/>
      </c>
      <c r="W5009" s="15">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1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5" t="n">
        <v>550</v>
      </c>
      <c r="U5010" s="15" t="n">
        <v>109</v>
      </c>
      <c r="V5010" s="15">
        <f>ROUNDUP((T5010+U5010+2*'Read Me'!$B$13)*(1+'Read Me'!$B$12),-1)</f>
        <v/>
      </c>
      <c r="W5010" s="15">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2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5" t="n">
        <v>550</v>
      </c>
      <c r="U5011" s="15" t="n">
        <v>109</v>
      </c>
      <c r="V5011" s="15">
        <f>ROUNDUP((T5011+U5011+2*'Read Me'!$B$13)*(1+'Read Me'!$B$12),-1)</f>
        <v/>
      </c>
      <c r="W5011" s="15">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3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5" t="n">
        <v>550</v>
      </c>
      <c r="U5012" s="15" t="n">
        <v>109</v>
      </c>
      <c r="V5012" s="15">
        <f>ROUNDUP((T5012+U5012+2*'Read Me'!$B$13)*(1+'Read Me'!$B$12),-1)</f>
        <v/>
      </c>
      <c r="W5012" s="15">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4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5" t="n">
        <v>550</v>
      </c>
      <c r="U5013" s="15" t="n">
        <v>109</v>
      </c>
      <c r="V5013" s="15">
        <f>ROUNDUP((T5013+U5013+2*'Read Me'!$B$13)*(1+'Read Me'!$B$12),-1)</f>
        <v/>
      </c>
      <c r="W5013" s="15">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5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5" t="n">
        <v>550</v>
      </c>
      <c r="U5014" s="15" t="n">
        <v>109</v>
      </c>
      <c r="V5014" s="15">
        <f>ROUNDUP((T5014+U5014+2*'Read Me'!$B$13)*(1+'Read Me'!$B$12),-1)</f>
        <v/>
      </c>
      <c r="W5014" s="15">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Motor 6 of 6, 22 kW</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LV|3/C+G|4</t>
        </is>
      </c>
      <c r="L5015" s="12" t="inlineStr">
        <is>
          <t>3/C+G</t>
        </is>
      </c>
      <c r="M5015" s="12" t="inlineStr">
        <is>
          <t>4</t>
        </is>
      </c>
      <c r="N5015" s="12" t="n">
        <v>1</v>
      </c>
      <c r="O5015" s="12" t="n">
        <v>1</v>
      </c>
      <c r="P5015" s="12" t="n">
        <v>480</v>
      </c>
      <c r="Q5015" s="12" t="n">
        <v>22</v>
      </c>
      <c r="R5015" s="12" t="n">
        <v>31.1</v>
      </c>
      <c r="S5015" s="12" t="inlineStr">
        <is>
          <t>Duct bank</t>
        </is>
      </c>
      <c r="T5015" s="15" t="n">
        <v>550</v>
      </c>
      <c r="U5015" s="15" t="n">
        <v>109</v>
      </c>
      <c r="V5015" s="15">
        <f>ROUNDUP((T5015+U5015+2*'Read Me'!$B$13)*(1+'Read Me'!$B$12),-1)</f>
        <v/>
      </c>
      <c r="W5015" s="15">
        <f>V5015*N5015*O5015</f>
        <v/>
      </c>
      <c r="X5015" s="12">
        <f>IF(LEFT(I5015,2)="MV",2*N5015*IF(L5015="1/C",O5015,1),0)</f>
        <v/>
      </c>
      <c r="Y5015" s="12">
        <f>IF(OR(LEFT(K5015,4)="LVAX",LEFT(K5015,6)="MV15AX",LEFT(K5015,4)="CTAX",LEFT(K5015,2)="W|"),2*N5015*O5015,0)</f>
        <v/>
      </c>
      <c r="Z5015" s="12" t="inlineStr">
        <is>
          <t>VD 2.5 %</t>
        </is>
      </c>
      <c r="AA5015" s="12">
        <f>N5015*O5015</f>
        <v/>
      </c>
    </row>
    <row r="5016">
      <c r="A5016" s="12" t="inlineStr">
        <is>
          <t>I-P-0114</t>
        </is>
      </c>
      <c r="B5016" s="12" t="inlineStr">
        <is>
          <t>I</t>
        </is>
      </c>
      <c r="C5016" s="12" t="inlineStr">
        <is>
          <t>Modular / portable power</t>
        </is>
      </c>
      <c r="D5016" s="12" t="inlineStr">
        <is>
          <t>480 V welding receptacle 1</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5" t="n">
        <v>550</v>
      </c>
      <c r="U5016" s="15" t="n">
        <v>109</v>
      </c>
      <c r="V5016" s="15">
        <f>ROUNDUP((T5016+U5016+2*'Read Me'!$B$13)*(1+'Read Me'!$B$12),-1)</f>
        <v/>
      </c>
      <c r="W5016" s="15">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2</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5" t="n">
        <v>550</v>
      </c>
      <c r="U5017" s="15" t="n">
        <v>109</v>
      </c>
      <c r="V5017" s="15">
        <f>ROUNDUP((T5017+U5017+2*'Read Me'!$B$13)*(1+'Read Me'!$B$12),-1)</f>
        <v/>
      </c>
      <c r="W5017" s="15">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3</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5" t="n">
        <v>550</v>
      </c>
      <c r="U5018" s="15" t="n">
        <v>109</v>
      </c>
      <c r="V5018" s="15">
        <f>ROUNDUP((T5018+U5018+2*'Read Me'!$B$13)*(1+'Read Me'!$B$12),-1)</f>
        <v/>
      </c>
      <c r="W5018" s="15">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480 V welding receptacle 4</t>
        </is>
      </c>
      <c r="E5019" s="12" t="inlineStr"/>
      <c r="F5019" s="12" t="inlineStr">
        <is>
          <t>PCM: power control module</t>
        </is>
      </c>
      <c r="G5019" s="12" t="inlineStr">
        <is>
          <t>RICE-2</t>
        </is>
      </c>
      <c r="H5019" s="12" t="inlineStr">
        <is>
          <t>RICE engine-generator 2</t>
        </is>
      </c>
      <c r="I5019" s="12" t="inlineStr">
        <is>
          <t>LV 600 V</t>
        </is>
      </c>
      <c r="J5019" s="12" t="inlineStr">
        <is>
          <t>Type TC-ER 600 V 3/C Cu XHHW-2 + ground, PVC jacket</t>
        </is>
      </c>
      <c r="K5019" s="12" t="inlineStr">
        <is>
          <t>LV|3/C+G|1/0</t>
        </is>
      </c>
      <c r="L5019" s="12" t="inlineStr">
        <is>
          <t>3/C+G</t>
        </is>
      </c>
      <c r="M5019" s="12" t="inlineStr">
        <is>
          <t>1/0</t>
        </is>
      </c>
      <c r="N5019" s="12" t="n">
        <v>1</v>
      </c>
      <c r="O5019" s="12" t="n">
        <v>1</v>
      </c>
      <c r="P5019" s="12" t="n">
        <v>480</v>
      </c>
      <c r="Q5019" s="12" t="n">
        <v>60</v>
      </c>
      <c r="R5019" s="12" t="n">
        <v>76</v>
      </c>
      <c r="S5019" s="12" t="inlineStr">
        <is>
          <t>Duct bank</t>
        </is>
      </c>
      <c r="T5019" s="15" t="n">
        <v>550</v>
      </c>
      <c r="U5019" s="15" t="n">
        <v>109</v>
      </c>
      <c r="V5019" s="15">
        <f>ROUNDUP((T5019+U5019+2*'Read Me'!$B$13)*(1+'Read Me'!$B$12),-1)</f>
        <v/>
      </c>
      <c r="W5019" s="15">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1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5" t="n">
        <v>550</v>
      </c>
      <c r="U5020" s="15" t="n">
        <v>81</v>
      </c>
      <c r="V5020" s="15">
        <f>ROUNDUP((T5020+U5020+2*'Read Me'!$B$13)*(1+'Read Me'!$B$12),-1)</f>
        <v/>
      </c>
      <c r="W5020" s="15">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2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5" t="n">
        <v>550</v>
      </c>
      <c r="U5021" s="15" t="n">
        <v>81</v>
      </c>
      <c r="V5021" s="15">
        <f>ROUNDUP((T5021+U5021+2*'Read Me'!$B$13)*(1+'Read Me'!$B$12),-1)</f>
        <v/>
      </c>
      <c r="W5021" s="15">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3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5" t="n">
        <v>550</v>
      </c>
      <c r="U5022" s="15" t="n">
        <v>81</v>
      </c>
      <c r="V5022" s="15">
        <f>ROUNDUP((T5022+U5022+2*'Read Me'!$B$13)*(1+'Read Me'!$B$12),-1)</f>
        <v/>
      </c>
      <c r="W5022" s="15">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4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5" t="n">
        <v>550</v>
      </c>
      <c r="U5023" s="15" t="n">
        <v>81</v>
      </c>
      <c r="V5023" s="15">
        <f>ROUNDUP((T5023+U5023+2*'Read Me'!$B$13)*(1+'Read Me'!$B$12),-1)</f>
        <v/>
      </c>
      <c r="W5023" s="15">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5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5" t="n">
        <v>550</v>
      </c>
      <c r="U5024" s="15" t="n">
        <v>81</v>
      </c>
      <c r="V5024" s="15">
        <f>ROUNDUP((T5024+U5024+2*'Read Me'!$B$13)*(1+'Read Me'!$B$12),-1)</f>
        <v/>
      </c>
      <c r="W5024" s="15">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Motor 6 of 6, 22 kW</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22</v>
      </c>
      <c r="R5025" s="12" t="n">
        <v>31.1</v>
      </c>
      <c r="S5025" s="12" t="inlineStr">
        <is>
          <t>Duct bank</t>
        </is>
      </c>
      <c r="T5025" s="15" t="n">
        <v>550</v>
      </c>
      <c r="U5025" s="15" t="n">
        <v>81</v>
      </c>
      <c r="V5025" s="15">
        <f>ROUNDUP((T5025+U5025+2*'Read Me'!$B$13)*(1+'Read Me'!$B$12),-1)</f>
        <v/>
      </c>
      <c r="W5025" s="15">
        <f>V5025*N5025*O5025</f>
        <v/>
      </c>
      <c r="X5025" s="12">
        <f>IF(LEFT(I5025,2)="MV",2*N5025*IF(L5025="1/C",O5025,1),0)</f>
        <v/>
      </c>
      <c r="Y5025" s="12">
        <f>IF(OR(LEFT(K5025,4)="LVAX",LEFT(K5025,6)="MV15AX",LEFT(K5025,4)="CTAX",LEFT(K5025,2)="W|"),2*N5025*O5025,0)</f>
        <v/>
      </c>
      <c r="Z5025" s="12" t="inlineStr">
        <is>
          <t>VD 2.4 %</t>
        </is>
      </c>
      <c r="AA5025" s="12">
        <f>N5025*O5025</f>
        <v/>
      </c>
    </row>
    <row r="5026">
      <c r="A5026" s="12" t="inlineStr">
        <is>
          <t>I-P-0124</t>
        </is>
      </c>
      <c r="B5026" s="12" t="inlineStr">
        <is>
          <t>I</t>
        </is>
      </c>
      <c r="C5026" s="12" t="inlineStr">
        <is>
          <t>Modular / portable power</t>
        </is>
      </c>
      <c r="D5026" s="12" t="inlineStr">
        <is>
          <t>480 V welding receptacle 1</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5" t="n">
        <v>550</v>
      </c>
      <c r="U5026" s="15" t="n">
        <v>81</v>
      </c>
      <c r="V5026" s="15">
        <f>ROUNDUP((T5026+U5026+2*'Read Me'!$B$13)*(1+'Read Me'!$B$12),-1)</f>
        <v/>
      </c>
      <c r="W5026" s="15">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2</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5" t="n">
        <v>550</v>
      </c>
      <c r="U5027" s="15" t="n">
        <v>81</v>
      </c>
      <c r="V5027" s="15">
        <f>ROUNDUP((T5027+U5027+2*'Read Me'!$B$13)*(1+'Read Me'!$B$12),-1)</f>
        <v/>
      </c>
      <c r="W5027" s="15">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3</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5" t="n">
        <v>550</v>
      </c>
      <c r="U5028" s="15" t="n">
        <v>81</v>
      </c>
      <c r="V5028" s="15">
        <f>ROUNDUP((T5028+U5028+2*'Read Me'!$B$13)*(1+'Read Me'!$B$12),-1)</f>
        <v/>
      </c>
      <c r="W5028" s="15">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480 V welding receptacle 4</t>
        </is>
      </c>
      <c r="E5029" s="12" t="inlineStr"/>
      <c r="F5029" s="12" t="inlineStr">
        <is>
          <t>PCM: power control module</t>
        </is>
      </c>
      <c r="G5029" s="12" t="inlineStr">
        <is>
          <t>RICE-3</t>
        </is>
      </c>
      <c r="H5029" s="12" t="inlineStr">
        <is>
          <t>RICE engine-generator 3</t>
        </is>
      </c>
      <c r="I5029" s="12" t="inlineStr">
        <is>
          <t>LV 600 V</t>
        </is>
      </c>
      <c r="J5029" s="12" t="inlineStr">
        <is>
          <t>Type TC-ER 600 V 3/C Cu XHHW-2 + ground, PVC jacket</t>
        </is>
      </c>
      <c r="K5029" s="12" t="inlineStr">
        <is>
          <t>LV|3/C+G|1</t>
        </is>
      </c>
      <c r="L5029" s="12" t="inlineStr">
        <is>
          <t>3/C+G</t>
        </is>
      </c>
      <c r="M5029" s="12" t="inlineStr">
        <is>
          <t>1</t>
        </is>
      </c>
      <c r="N5029" s="12" t="n">
        <v>1</v>
      </c>
      <c r="O5029" s="12" t="n">
        <v>1</v>
      </c>
      <c r="P5029" s="12" t="n">
        <v>480</v>
      </c>
      <c r="Q5029" s="12" t="n">
        <v>60</v>
      </c>
      <c r="R5029" s="12" t="n">
        <v>76</v>
      </c>
      <c r="S5029" s="12" t="inlineStr">
        <is>
          <t>Duct bank</t>
        </is>
      </c>
      <c r="T5029" s="15" t="n">
        <v>550</v>
      </c>
      <c r="U5029" s="15" t="n">
        <v>81</v>
      </c>
      <c r="V5029" s="15">
        <f>ROUNDUP((T5029+U5029+2*'Read Me'!$B$13)*(1+'Read Me'!$B$12),-1)</f>
        <v/>
      </c>
      <c r="W5029" s="15">
        <f>V5029*N5029*O5029</f>
        <v/>
      </c>
      <c r="X5029" s="12">
        <f>IF(LEFT(I5029,2)="MV",2*N5029*IF(L5029="1/C",O5029,1),0)</f>
        <v/>
      </c>
      <c r="Y5029" s="12">
        <f>IF(OR(LEFT(K5029,4)="LVAX",LEFT(K5029,6)="MV15AX",LEFT(K5029,4)="CTAX",LEFT(K5029,2)="W|"),2*N5029*O5029,0)</f>
        <v/>
      </c>
      <c r="Z5029" s="12" t="inlineStr">
        <is>
          <t>VD 2.9 %</t>
        </is>
      </c>
      <c r="AA5029" s="12">
        <f>N5029*O5029</f>
        <v/>
      </c>
    </row>
    <row r="5030">
      <c r="A5030" s="12" t="inlineStr">
        <is>
          <t>I-P-0128</t>
        </is>
      </c>
      <c r="B5030" s="12" t="inlineStr">
        <is>
          <t>I</t>
        </is>
      </c>
      <c r="C5030" s="12" t="inlineStr">
        <is>
          <t>Modular / portable power</t>
        </is>
      </c>
      <c r="D5030" s="12" t="inlineStr">
        <is>
          <t>Motor 1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5" t="n">
        <v>550</v>
      </c>
      <c r="U5030" s="15" t="n">
        <v>53</v>
      </c>
      <c r="V5030" s="15">
        <f>ROUNDUP((T5030+U5030+2*'Read Me'!$B$13)*(1+'Read Me'!$B$12),-1)</f>
        <v/>
      </c>
      <c r="W5030" s="15">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2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5" t="n">
        <v>550</v>
      </c>
      <c r="U5031" s="15" t="n">
        <v>53</v>
      </c>
      <c r="V5031" s="15">
        <f>ROUNDUP((T5031+U5031+2*'Read Me'!$B$13)*(1+'Read Me'!$B$12),-1)</f>
        <v/>
      </c>
      <c r="W5031" s="15">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3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5" t="n">
        <v>550</v>
      </c>
      <c r="U5032" s="15" t="n">
        <v>53</v>
      </c>
      <c r="V5032" s="15">
        <f>ROUNDUP((T5032+U5032+2*'Read Me'!$B$13)*(1+'Read Me'!$B$12),-1)</f>
        <v/>
      </c>
      <c r="W5032" s="15">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4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5" t="n">
        <v>550</v>
      </c>
      <c r="U5033" s="15" t="n">
        <v>53</v>
      </c>
      <c r="V5033" s="15">
        <f>ROUNDUP((T5033+U5033+2*'Read Me'!$B$13)*(1+'Read Me'!$B$12),-1)</f>
        <v/>
      </c>
      <c r="W5033" s="15">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5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5" t="n">
        <v>550</v>
      </c>
      <c r="U5034" s="15" t="n">
        <v>53</v>
      </c>
      <c r="V5034" s="15">
        <f>ROUNDUP((T5034+U5034+2*'Read Me'!$B$13)*(1+'Read Me'!$B$12),-1)</f>
        <v/>
      </c>
      <c r="W5034" s="15">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Motor 6 of 6, 22 kW</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LV|3/C+G|4</t>
        </is>
      </c>
      <c r="L5035" s="12" t="inlineStr">
        <is>
          <t>3/C+G</t>
        </is>
      </c>
      <c r="M5035" s="12" t="inlineStr">
        <is>
          <t>4</t>
        </is>
      </c>
      <c r="N5035" s="12" t="n">
        <v>1</v>
      </c>
      <c r="O5035" s="12" t="n">
        <v>1</v>
      </c>
      <c r="P5035" s="12" t="n">
        <v>480</v>
      </c>
      <c r="Q5035" s="12" t="n">
        <v>22</v>
      </c>
      <c r="R5035" s="12" t="n">
        <v>31.1</v>
      </c>
      <c r="S5035" s="12" t="inlineStr">
        <is>
          <t>Duct bank</t>
        </is>
      </c>
      <c r="T5035" s="15" t="n">
        <v>550</v>
      </c>
      <c r="U5035" s="15" t="n">
        <v>53</v>
      </c>
      <c r="V5035" s="15">
        <f>ROUNDUP((T5035+U5035+2*'Read Me'!$B$13)*(1+'Read Me'!$B$12),-1)</f>
        <v/>
      </c>
      <c r="W5035" s="15">
        <f>V5035*N5035*O5035</f>
        <v/>
      </c>
      <c r="X5035" s="12">
        <f>IF(LEFT(I5035,2)="MV",2*N5035*IF(L5035="1/C",O5035,1),0)</f>
        <v/>
      </c>
      <c r="Y5035" s="12">
        <f>IF(OR(LEFT(K5035,4)="LVAX",LEFT(K5035,6)="MV15AX",LEFT(K5035,4)="CTAX",LEFT(K5035,2)="W|"),2*N5035*O5035,0)</f>
        <v/>
      </c>
      <c r="Z5035" s="12" t="inlineStr">
        <is>
          <t>VD 2.3 %</t>
        </is>
      </c>
      <c r="AA5035" s="12">
        <f>N5035*O5035</f>
        <v/>
      </c>
    </row>
    <row r="5036">
      <c r="A5036" s="12" t="inlineStr">
        <is>
          <t>I-P-0134</t>
        </is>
      </c>
      <c r="B5036" s="12" t="inlineStr">
        <is>
          <t>I</t>
        </is>
      </c>
      <c r="C5036" s="12" t="inlineStr">
        <is>
          <t>Modular / portable power</t>
        </is>
      </c>
      <c r="D5036" s="12" t="inlineStr">
        <is>
          <t>480 V welding receptacle 1</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5" t="n">
        <v>550</v>
      </c>
      <c r="U5036" s="15" t="n">
        <v>53</v>
      </c>
      <c r="V5036" s="15">
        <f>ROUNDUP((T5036+U5036+2*'Read Me'!$B$13)*(1+'Read Me'!$B$12),-1)</f>
        <v/>
      </c>
      <c r="W5036" s="15">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2</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5" t="n">
        <v>550</v>
      </c>
      <c r="U5037" s="15" t="n">
        <v>53</v>
      </c>
      <c r="V5037" s="15">
        <f>ROUNDUP((T5037+U5037+2*'Read Me'!$B$13)*(1+'Read Me'!$B$12),-1)</f>
        <v/>
      </c>
      <c r="W5037" s="15">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3</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5" t="n">
        <v>550</v>
      </c>
      <c r="U5038" s="15" t="n">
        <v>53</v>
      </c>
      <c r="V5038" s="15">
        <f>ROUNDUP((T5038+U5038+2*'Read Me'!$B$13)*(1+'Read Me'!$B$12),-1)</f>
        <v/>
      </c>
      <c r="W5038" s="15">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480 V welding receptacle 4</t>
        </is>
      </c>
      <c r="E5039" s="12" t="inlineStr"/>
      <c r="F5039" s="12" t="inlineStr">
        <is>
          <t>PCM: power control module</t>
        </is>
      </c>
      <c r="G5039" s="12" t="inlineStr">
        <is>
          <t>RICE-4</t>
        </is>
      </c>
      <c r="H5039" s="12" t="inlineStr">
        <is>
          <t>RICE engine-generator 4</t>
        </is>
      </c>
      <c r="I5039" s="12" t="inlineStr">
        <is>
          <t>LV 600 V</t>
        </is>
      </c>
      <c r="J5039" s="12" t="inlineStr">
        <is>
          <t>Type TC-ER 600 V 3/C Cu XHHW-2 + ground, PVC jacket</t>
        </is>
      </c>
      <c r="K5039" s="12" t="inlineStr">
        <is>
          <t>LV|3/C+G|1</t>
        </is>
      </c>
      <c r="L5039" s="12" t="inlineStr">
        <is>
          <t>3/C+G</t>
        </is>
      </c>
      <c r="M5039" s="12" t="inlineStr">
        <is>
          <t>1</t>
        </is>
      </c>
      <c r="N5039" s="12" t="n">
        <v>1</v>
      </c>
      <c r="O5039" s="12" t="n">
        <v>1</v>
      </c>
      <c r="P5039" s="12" t="n">
        <v>480</v>
      </c>
      <c r="Q5039" s="12" t="n">
        <v>60</v>
      </c>
      <c r="R5039" s="12" t="n">
        <v>76</v>
      </c>
      <c r="S5039" s="12" t="inlineStr">
        <is>
          <t>Duct bank</t>
        </is>
      </c>
      <c r="T5039" s="15" t="n">
        <v>550</v>
      </c>
      <c r="U5039" s="15" t="n">
        <v>53</v>
      </c>
      <c r="V5039" s="15">
        <f>ROUNDUP((T5039+U5039+2*'Read Me'!$B$13)*(1+'Read Me'!$B$12),-1)</f>
        <v/>
      </c>
      <c r="W5039" s="15">
        <f>V5039*N5039*O5039</f>
        <v/>
      </c>
      <c r="X5039" s="12">
        <f>IF(LEFT(I5039,2)="MV",2*N5039*IF(L5039="1/C",O5039,1),0)</f>
        <v/>
      </c>
      <c r="Y5039" s="12">
        <f>IF(OR(LEFT(K5039,4)="LVAX",LEFT(K5039,6)="MV15AX",LEFT(K5039,4)="CTAX",LEFT(K5039,2)="W|"),2*N5039*O5039,0)</f>
        <v/>
      </c>
      <c r="Z5039" s="12" t="inlineStr">
        <is>
          <t>VD 2.8 %</t>
        </is>
      </c>
      <c r="AA5039" s="12">
        <f>N5039*O5039</f>
        <v/>
      </c>
    </row>
    <row r="5040">
      <c r="A5040" s="12" t="inlineStr">
        <is>
          <t>I-P-0138</t>
        </is>
      </c>
      <c r="B5040" s="12" t="inlineStr">
        <is>
          <t>I</t>
        </is>
      </c>
      <c r="C5040" s="12" t="inlineStr">
        <is>
          <t>Modular / portable power</t>
        </is>
      </c>
      <c r="D5040" s="12" t="inlineStr">
        <is>
          <t>Motor 1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5" t="n">
        <v>367</v>
      </c>
      <c r="U5040" s="15" t="n">
        <v>208</v>
      </c>
      <c r="V5040" s="15">
        <f>ROUNDUP((T5040+U5040+2*'Read Me'!$B$13)*(1+'Read Me'!$B$12),-1)</f>
        <v/>
      </c>
      <c r="W5040" s="15">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2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5" t="n">
        <v>367</v>
      </c>
      <c r="U5041" s="15" t="n">
        <v>208</v>
      </c>
      <c r="V5041" s="15">
        <f>ROUNDUP((T5041+U5041+2*'Read Me'!$B$13)*(1+'Read Me'!$B$12),-1)</f>
        <v/>
      </c>
      <c r="W5041" s="15">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3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5" t="n">
        <v>367</v>
      </c>
      <c r="U5042" s="15" t="n">
        <v>208</v>
      </c>
      <c r="V5042" s="15">
        <f>ROUNDUP((T5042+U5042+2*'Read Me'!$B$13)*(1+'Read Me'!$B$12),-1)</f>
        <v/>
      </c>
      <c r="W5042" s="15">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4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5" t="n">
        <v>367</v>
      </c>
      <c r="U5043" s="15" t="n">
        <v>208</v>
      </c>
      <c r="V5043" s="15">
        <f>ROUNDUP((T5043+U5043+2*'Read Me'!$B$13)*(1+'Read Me'!$B$12),-1)</f>
        <v/>
      </c>
      <c r="W5043" s="15">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5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5" t="n">
        <v>367</v>
      </c>
      <c r="U5044" s="15" t="n">
        <v>208</v>
      </c>
      <c r="V5044" s="15">
        <f>ROUNDUP((T5044+U5044+2*'Read Me'!$B$13)*(1+'Read Me'!$B$12),-1)</f>
        <v/>
      </c>
      <c r="W5044" s="15">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Motor 6 of 6, 22 kW</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5" t="n">
        <v>367</v>
      </c>
      <c r="U5045" s="15" t="n">
        <v>208</v>
      </c>
      <c r="V5045" s="15">
        <f>ROUNDUP((T5045+U5045+2*'Read Me'!$B$13)*(1+'Read Me'!$B$12),-1)</f>
        <v/>
      </c>
      <c r="W5045" s="15">
        <f>V5045*N5045*O5045</f>
        <v/>
      </c>
      <c r="X5045" s="12">
        <f>IF(LEFT(I5045,2)="MV",2*N5045*IF(L5045="1/C",O5045,1),0)</f>
        <v/>
      </c>
      <c r="Y5045" s="12">
        <f>IF(OR(LEFT(K5045,4)="LVAX",LEFT(K5045,6)="MV15AX",LEFT(K5045,4)="CTAX",LEFT(K5045,2)="W|"),2*N5045*O5045,0)</f>
        <v/>
      </c>
      <c r="Z5045" s="12" t="inlineStr">
        <is>
          <t>VD 2.2 %</t>
        </is>
      </c>
      <c r="AA5045" s="12">
        <f>N5045*O5045</f>
        <v/>
      </c>
    </row>
    <row r="5046">
      <c r="A5046" s="12" t="inlineStr">
        <is>
          <t>I-P-0144</t>
        </is>
      </c>
      <c r="B5046" s="12" t="inlineStr">
        <is>
          <t>I</t>
        </is>
      </c>
      <c r="C5046" s="12" t="inlineStr">
        <is>
          <t>Modular / portable power</t>
        </is>
      </c>
      <c r="D5046" s="12" t="inlineStr">
        <is>
          <t>480 V welding receptacle 1</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5" t="n">
        <v>367</v>
      </c>
      <c r="U5046" s="15" t="n">
        <v>208</v>
      </c>
      <c r="V5046" s="15">
        <f>ROUNDUP((T5046+U5046+2*'Read Me'!$B$13)*(1+'Read Me'!$B$12),-1)</f>
        <v/>
      </c>
      <c r="W5046" s="15">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2</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5" t="n">
        <v>367</v>
      </c>
      <c r="U5047" s="15" t="n">
        <v>208</v>
      </c>
      <c r="V5047" s="15">
        <f>ROUNDUP((T5047+U5047+2*'Read Me'!$B$13)*(1+'Read Me'!$B$12),-1)</f>
        <v/>
      </c>
      <c r="W5047" s="15">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3</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5" t="n">
        <v>367</v>
      </c>
      <c r="U5048" s="15" t="n">
        <v>208</v>
      </c>
      <c r="V5048" s="15">
        <f>ROUNDUP((T5048+U5048+2*'Read Me'!$B$13)*(1+'Read Me'!$B$12),-1)</f>
        <v/>
      </c>
      <c r="W5048" s="15">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480 V welding receptacle 4</t>
        </is>
      </c>
      <c r="E5049" s="12" t="inlineStr"/>
      <c r="F5049" s="12" t="inlineStr">
        <is>
          <t>PCM: power control module</t>
        </is>
      </c>
      <c r="G5049" s="12" t="inlineStr">
        <is>
          <t>RICE-5</t>
        </is>
      </c>
      <c r="H5049" s="12" t="inlineStr">
        <is>
          <t>RICE engine-generator 5</t>
        </is>
      </c>
      <c r="I5049" s="12" t="inlineStr">
        <is>
          <t>LV 600 V</t>
        </is>
      </c>
      <c r="J5049" s="12" t="inlineStr">
        <is>
          <t>Type TC-ER 600 V 3/C Cu XHHW-2 + ground, PVC jacket</t>
        </is>
      </c>
      <c r="K5049" s="12" t="inlineStr">
        <is>
          <t>LV|3/C+G|1</t>
        </is>
      </c>
      <c r="L5049" s="12" t="inlineStr">
        <is>
          <t>3/C+G</t>
        </is>
      </c>
      <c r="M5049" s="12" t="inlineStr">
        <is>
          <t>1</t>
        </is>
      </c>
      <c r="N5049" s="12" t="n">
        <v>1</v>
      </c>
      <c r="O5049" s="12" t="n">
        <v>1</v>
      </c>
      <c r="P5049" s="12" t="n">
        <v>480</v>
      </c>
      <c r="Q5049" s="12" t="n">
        <v>60</v>
      </c>
      <c r="R5049" s="12" t="n">
        <v>76</v>
      </c>
      <c r="S5049" s="12" t="inlineStr">
        <is>
          <t>Duct bank</t>
        </is>
      </c>
      <c r="T5049" s="15" t="n">
        <v>367</v>
      </c>
      <c r="U5049" s="15" t="n">
        <v>208</v>
      </c>
      <c r="V5049" s="15">
        <f>ROUNDUP((T5049+U5049+2*'Read Me'!$B$13)*(1+'Read Me'!$B$12),-1)</f>
        <v/>
      </c>
      <c r="W5049" s="15">
        <f>V5049*N5049*O5049</f>
        <v/>
      </c>
      <c r="X5049" s="12">
        <f>IF(LEFT(I5049,2)="MV",2*N5049*IF(L5049="1/C",O5049,1),0)</f>
        <v/>
      </c>
      <c r="Y5049" s="12">
        <f>IF(OR(LEFT(K5049,4)="LVAX",LEFT(K5049,6)="MV15AX",LEFT(K5049,4)="CTAX",LEFT(K5049,2)="W|"),2*N5049*O5049,0)</f>
        <v/>
      </c>
      <c r="Z5049" s="12" t="inlineStr">
        <is>
          <t>VD 2.7 %</t>
        </is>
      </c>
      <c r="AA5049" s="12">
        <f>N5049*O5049</f>
        <v/>
      </c>
    </row>
    <row r="5050">
      <c r="A5050" s="12" t="inlineStr">
        <is>
          <t>I-P-0148</t>
        </is>
      </c>
      <c r="B5050" s="12" t="inlineStr">
        <is>
          <t>I</t>
        </is>
      </c>
      <c r="C5050" s="12" t="inlineStr">
        <is>
          <t>Modular / portable power</t>
        </is>
      </c>
      <c r="D5050" s="12" t="inlineStr">
        <is>
          <t>Motor 1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5" t="n">
        <v>367</v>
      </c>
      <c r="U5050" s="15" t="n">
        <v>180</v>
      </c>
      <c r="V5050" s="15">
        <f>ROUNDUP((T5050+U5050+2*'Read Me'!$B$13)*(1+'Read Me'!$B$12),-1)</f>
        <v/>
      </c>
      <c r="W5050" s="15">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2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5" t="n">
        <v>367</v>
      </c>
      <c r="U5051" s="15" t="n">
        <v>180</v>
      </c>
      <c r="V5051" s="15">
        <f>ROUNDUP((T5051+U5051+2*'Read Me'!$B$13)*(1+'Read Me'!$B$12),-1)</f>
        <v/>
      </c>
      <c r="W5051" s="15">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3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5" t="n">
        <v>367</v>
      </c>
      <c r="U5052" s="15" t="n">
        <v>180</v>
      </c>
      <c r="V5052" s="15">
        <f>ROUNDUP((T5052+U5052+2*'Read Me'!$B$13)*(1+'Read Me'!$B$12),-1)</f>
        <v/>
      </c>
      <c r="W5052" s="15">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4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5" t="n">
        <v>367</v>
      </c>
      <c r="U5053" s="15" t="n">
        <v>180</v>
      </c>
      <c r="V5053" s="15">
        <f>ROUNDUP((T5053+U5053+2*'Read Me'!$B$13)*(1+'Read Me'!$B$12),-1)</f>
        <v/>
      </c>
      <c r="W5053" s="15">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5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5" t="n">
        <v>367</v>
      </c>
      <c r="U5054" s="15" t="n">
        <v>180</v>
      </c>
      <c r="V5054" s="15">
        <f>ROUNDUP((T5054+U5054+2*'Read Me'!$B$13)*(1+'Read Me'!$B$12),-1)</f>
        <v/>
      </c>
      <c r="W5054" s="15">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Motor 6 of 6, 22 kW</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5" t="n">
        <v>367</v>
      </c>
      <c r="U5055" s="15" t="n">
        <v>180</v>
      </c>
      <c r="V5055" s="15">
        <f>ROUNDUP((T5055+U5055+2*'Read Me'!$B$13)*(1+'Read Me'!$B$12),-1)</f>
        <v/>
      </c>
      <c r="W5055" s="15">
        <f>V5055*N5055*O5055</f>
        <v/>
      </c>
      <c r="X5055" s="12">
        <f>IF(LEFT(I5055,2)="MV",2*N5055*IF(L5055="1/C",O5055,1),0)</f>
        <v/>
      </c>
      <c r="Y5055" s="12">
        <f>IF(OR(LEFT(K5055,4)="LVAX",LEFT(K5055,6)="MV15AX",LEFT(K5055,4)="CTAX",LEFT(K5055,2)="W|"),2*N5055*O5055,0)</f>
        <v/>
      </c>
      <c r="Z5055" s="12" t="inlineStr">
        <is>
          <t>VD 2.1 %</t>
        </is>
      </c>
      <c r="AA5055" s="12">
        <f>N5055*O5055</f>
        <v/>
      </c>
    </row>
    <row r="5056">
      <c r="A5056" s="12" t="inlineStr">
        <is>
          <t>I-P-0154</t>
        </is>
      </c>
      <c r="B5056" s="12" t="inlineStr">
        <is>
          <t>I</t>
        </is>
      </c>
      <c r="C5056" s="12" t="inlineStr">
        <is>
          <t>Modular / portable power</t>
        </is>
      </c>
      <c r="D5056" s="12" t="inlineStr">
        <is>
          <t>480 V welding receptacle 1</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5" t="n">
        <v>367</v>
      </c>
      <c r="U5056" s="15" t="n">
        <v>180</v>
      </c>
      <c r="V5056" s="15">
        <f>ROUNDUP((T5056+U5056+2*'Read Me'!$B$13)*(1+'Read Me'!$B$12),-1)</f>
        <v/>
      </c>
      <c r="W5056" s="15">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2</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5" t="n">
        <v>367</v>
      </c>
      <c r="U5057" s="15" t="n">
        <v>180</v>
      </c>
      <c r="V5057" s="15">
        <f>ROUNDUP((T5057+U5057+2*'Read Me'!$B$13)*(1+'Read Me'!$B$12),-1)</f>
        <v/>
      </c>
      <c r="W5057" s="15">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3</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5" t="n">
        <v>367</v>
      </c>
      <c r="U5058" s="15" t="n">
        <v>180</v>
      </c>
      <c r="V5058" s="15">
        <f>ROUNDUP((T5058+U5058+2*'Read Me'!$B$13)*(1+'Read Me'!$B$12),-1)</f>
        <v/>
      </c>
      <c r="W5058" s="15">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480 V welding receptacle 4</t>
        </is>
      </c>
      <c r="E5059" s="12" t="inlineStr"/>
      <c r="F5059" s="12" t="inlineStr">
        <is>
          <t>PCM: power control module</t>
        </is>
      </c>
      <c r="G5059" s="12" t="inlineStr">
        <is>
          <t>RICE-6</t>
        </is>
      </c>
      <c r="H5059" s="12" t="inlineStr">
        <is>
          <t>RICE engine-generator 6</t>
        </is>
      </c>
      <c r="I5059" s="12" t="inlineStr">
        <is>
          <t>LV 600 V</t>
        </is>
      </c>
      <c r="J5059" s="12" t="inlineStr">
        <is>
          <t>Type TC-ER 600 V 3/C Cu XHHW-2 + ground, PVC jacket</t>
        </is>
      </c>
      <c r="K5059" s="12" t="inlineStr">
        <is>
          <t>LV|3/C+G|1</t>
        </is>
      </c>
      <c r="L5059" s="12" t="inlineStr">
        <is>
          <t>3/C+G</t>
        </is>
      </c>
      <c r="M5059" s="12" t="inlineStr">
        <is>
          <t>1</t>
        </is>
      </c>
      <c r="N5059" s="12" t="n">
        <v>1</v>
      </c>
      <c r="O5059" s="12" t="n">
        <v>1</v>
      </c>
      <c r="P5059" s="12" t="n">
        <v>480</v>
      </c>
      <c r="Q5059" s="12" t="n">
        <v>60</v>
      </c>
      <c r="R5059" s="12" t="n">
        <v>76</v>
      </c>
      <c r="S5059" s="12" t="inlineStr">
        <is>
          <t>Duct bank</t>
        </is>
      </c>
      <c r="T5059" s="15" t="n">
        <v>367</v>
      </c>
      <c r="U5059" s="15" t="n">
        <v>180</v>
      </c>
      <c r="V5059" s="15">
        <f>ROUNDUP((T5059+U5059+2*'Read Me'!$B$13)*(1+'Read Me'!$B$12),-1)</f>
        <v/>
      </c>
      <c r="W5059" s="15">
        <f>V5059*N5059*O5059</f>
        <v/>
      </c>
      <c r="X5059" s="12">
        <f>IF(LEFT(I5059,2)="MV",2*N5059*IF(L5059="1/C",O5059,1),0)</f>
        <v/>
      </c>
      <c r="Y5059" s="12">
        <f>IF(OR(LEFT(K5059,4)="LVAX",LEFT(K5059,6)="MV15AX",LEFT(K5059,4)="CTAX",LEFT(K5059,2)="W|"),2*N5059*O5059,0)</f>
        <v/>
      </c>
      <c r="Z5059" s="12" t="inlineStr">
        <is>
          <t>VD 2.5 %</t>
        </is>
      </c>
      <c r="AA5059" s="12">
        <f>N5059*O5059</f>
        <v/>
      </c>
    </row>
    <row r="5060">
      <c r="A5060" s="12" t="inlineStr">
        <is>
          <t>I-P-0158</t>
        </is>
      </c>
      <c r="B5060" s="12" t="inlineStr">
        <is>
          <t>I</t>
        </is>
      </c>
      <c r="C5060" s="12" t="inlineStr">
        <is>
          <t>Modular / portable power</t>
        </is>
      </c>
      <c r="D5060" s="12" t="inlineStr">
        <is>
          <t>Motor 1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5" t="n">
        <v>0</v>
      </c>
      <c r="U5060" s="15" t="n">
        <v>189</v>
      </c>
      <c r="V5060" s="15">
        <f>ROUNDUP((T5060+U5060+2*'Read Me'!$B$13)*(1+'Read Me'!$B$12),-1)</f>
        <v/>
      </c>
      <c r="W5060" s="15">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2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5" t="n">
        <v>0</v>
      </c>
      <c r="U5061" s="15" t="n">
        <v>189</v>
      </c>
      <c r="V5061" s="15">
        <f>ROUNDUP((T5061+U5061+2*'Read Me'!$B$13)*(1+'Read Me'!$B$12),-1)</f>
        <v/>
      </c>
      <c r="W5061" s="15">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3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5" t="n">
        <v>0</v>
      </c>
      <c r="U5062" s="15" t="n">
        <v>189</v>
      </c>
      <c r="V5062" s="15">
        <f>ROUNDUP((T5062+U5062+2*'Read Me'!$B$13)*(1+'Read Me'!$B$12),-1)</f>
        <v/>
      </c>
      <c r="W5062" s="15">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4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5" t="n">
        <v>0</v>
      </c>
      <c r="U5063" s="15" t="n">
        <v>189</v>
      </c>
      <c r="V5063" s="15">
        <f>ROUNDUP((T5063+U5063+2*'Read Me'!$B$13)*(1+'Read Me'!$B$12),-1)</f>
        <v/>
      </c>
      <c r="W5063" s="15">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5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5" t="n">
        <v>0</v>
      </c>
      <c r="U5064" s="15" t="n">
        <v>189</v>
      </c>
      <c r="V5064" s="15">
        <f>ROUNDUP((T5064+U5064+2*'Read Me'!$B$13)*(1+'Read Me'!$B$12),-1)</f>
        <v/>
      </c>
      <c r="W5064" s="15">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Motor 6 of 6, 22 kW</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LV|3/C+G|8</t>
        </is>
      </c>
      <c r="L5065" s="12" t="inlineStr">
        <is>
          <t>3/C+G</t>
        </is>
      </c>
      <c r="M5065" s="12" t="inlineStr">
        <is>
          <t>8</t>
        </is>
      </c>
      <c r="N5065" s="12" t="n">
        <v>1</v>
      </c>
      <c r="O5065" s="12" t="n">
        <v>1</v>
      </c>
      <c r="P5065" s="12" t="n">
        <v>480</v>
      </c>
      <c r="Q5065" s="12" t="n">
        <v>22</v>
      </c>
      <c r="R5065" s="12" t="n">
        <v>31.1</v>
      </c>
      <c r="S5065" s="12" t="inlineStr">
        <is>
          <t>Tray</t>
        </is>
      </c>
      <c r="T5065" s="15" t="n">
        <v>0</v>
      </c>
      <c r="U5065" s="15" t="n">
        <v>189</v>
      </c>
      <c r="V5065" s="15">
        <f>ROUNDUP((T5065+U5065+2*'Read Me'!$B$13)*(1+'Read Me'!$B$12),-1)</f>
        <v/>
      </c>
      <c r="W5065" s="15">
        <f>V5065*N5065*O5065</f>
        <v/>
      </c>
      <c r="X5065" s="12">
        <f>IF(LEFT(I5065,2)="MV",2*N5065*IF(L5065="1/C",O5065,1),0)</f>
        <v/>
      </c>
      <c r="Y5065" s="12">
        <f>IF(OR(LEFT(K5065,4)="LVAX",LEFT(K5065,6)="MV15AX",LEFT(K5065,4)="CTAX",LEFT(K5065,2)="W|"),2*N5065*O5065,0)</f>
        <v/>
      </c>
      <c r="Z5065" s="12" t="inlineStr">
        <is>
          <t>VD 1.8 %</t>
        </is>
      </c>
      <c r="AA5065" s="12">
        <f>N5065*O5065</f>
        <v/>
      </c>
    </row>
    <row r="5066">
      <c r="A5066" s="12" t="inlineStr">
        <is>
          <t>I-P-0164</t>
        </is>
      </c>
      <c r="B5066" s="12" t="inlineStr">
        <is>
          <t>I</t>
        </is>
      </c>
      <c r="C5066" s="12" t="inlineStr">
        <is>
          <t>Modular / portable power</t>
        </is>
      </c>
      <c r="D5066" s="12" t="inlineStr">
        <is>
          <t>480 V welding receptacle 1</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5" t="n">
        <v>0</v>
      </c>
      <c r="U5066" s="15" t="n">
        <v>189</v>
      </c>
      <c r="V5066" s="15">
        <f>ROUNDUP((T5066+U5066+2*'Read Me'!$B$13)*(1+'Read Me'!$B$12),-1)</f>
        <v/>
      </c>
      <c r="W5066" s="15">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2</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5" t="n">
        <v>0</v>
      </c>
      <c r="U5067" s="15" t="n">
        <v>189</v>
      </c>
      <c r="V5067" s="15">
        <f>ROUNDUP((T5067+U5067+2*'Read Me'!$B$13)*(1+'Read Me'!$B$12),-1)</f>
        <v/>
      </c>
      <c r="W5067" s="15">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3</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5" t="n">
        <v>0</v>
      </c>
      <c r="U5068" s="15" t="n">
        <v>189</v>
      </c>
      <c r="V5068" s="15">
        <f>ROUNDUP((T5068+U5068+2*'Read Me'!$B$13)*(1+'Read Me'!$B$12),-1)</f>
        <v/>
      </c>
      <c r="W5068" s="15">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480 V welding receptacle 4</t>
        </is>
      </c>
      <c r="E5069" s="12" t="inlineStr"/>
      <c r="F5069" s="12" t="inlineStr">
        <is>
          <t>PCM: power control module</t>
        </is>
      </c>
      <c r="G5069" s="12" t="inlineStr">
        <is>
          <t>RICE-7</t>
        </is>
      </c>
      <c r="H5069" s="12" t="inlineStr">
        <is>
          <t>RICE engine-generator 7</t>
        </is>
      </c>
      <c r="I5069" s="12" t="inlineStr">
        <is>
          <t>LV 600 V</t>
        </is>
      </c>
      <c r="J5069" s="12" t="inlineStr">
        <is>
          <t>Type TC-ER 600 V 3/C Cu XHHW-2 + ground, PVC jacket</t>
        </is>
      </c>
      <c r="K5069" s="12" t="inlineStr">
        <is>
          <t>LV|3/C+G|2</t>
        </is>
      </c>
      <c r="L5069" s="12" t="inlineStr">
        <is>
          <t>3/C+G</t>
        </is>
      </c>
      <c r="M5069" s="12" t="inlineStr">
        <is>
          <t>2</t>
        </is>
      </c>
      <c r="N5069" s="12" t="n">
        <v>1</v>
      </c>
      <c r="O5069" s="12" t="n">
        <v>1</v>
      </c>
      <c r="P5069" s="12" t="n">
        <v>480</v>
      </c>
      <c r="Q5069" s="12" t="n">
        <v>60</v>
      </c>
      <c r="R5069" s="12" t="n">
        <v>76</v>
      </c>
      <c r="S5069" s="12" t="inlineStr">
        <is>
          <t>Tray</t>
        </is>
      </c>
      <c r="T5069" s="15" t="n">
        <v>0</v>
      </c>
      <c r="U5069" s="15" t="n">
        <v>189</v>
      </c>
      <c r="V5069" s="15">
        <f>ROUNDUP((T5069+U5069+2*'Read Me'!$B$13)*(1+'Read Me'!$B$12),-1)</f>
        <v/>
      </c>
      <c r="W5069" s="15">
        <f>V5069*N5069*O5069</f>
        <v/>
      </c>
      <c r="X5069" s="12">
        <f>IF(LEFT(I5069,2)="MV",2*N5069*IF(L5069="1/C",O5069,1),0)</f>
        <v/>
      </c>
      <c r="Y5069" s="12">
        <f>IF(OR(LEFT(K5069,4)="LVAX",LEFT(K5069,6)="MV15AX",LEFT(K5069,4)="CTAX",LEFT(K5069,2)="W|"),2*N5069*O5069,0)</f>
        <v/>
      </c>
      <c r="Z5069" s="12" t="inlineStr">
        <is>
          <t>VD 1.1 %</t>
        </is>
      </c>
      <c r="AA5069" s="12">
        <f>N5069*O5069</f>
        <v/>
      </c>
    </row>
    <row r="5070">
      <c r="A5070" s="12" t="inlineStr">
        <is>
          <t>I-P-0168</t>
        </is>
      </c>
      <c r="B5070" s="12" t="inlineStr">
        <is>
          <t>I</t>
        </is>
      </c>
      <c r="C5070" s="12" t="inlineStr">
        <is>
          <t>Modular / portable power</t>
        </is>
      </c>
      <c r="D5070" s="12" t="inlineStr">
        <is>
          <t>Motor 1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5" t="n">
        <v>0</v>
      </c>
      <c r="U5070" s="15" t="n">
        <v>161</v>
      </c>
      <c r="V5070" s="15">
        <f>ROUNDUP((T5070+U5070+2*'Read Me'!$B$13)*(1+'Read Me'!$B$12),-1)</f>
        <v/>
      </c>
      <c r="W5070" s="15">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2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5" t="n">
        <v>0</v>
      </c>
      <c r="U5071" s="15" t="n">
        <v>161</v>
      </c>
      <c r="V5071" s="15">
        <f>ROUNDUP((T5071+U5071+2*'Read Me'!$B$13)*(1+'Read Me'!$B$12),-1)</f>
        <v/>
      </c>
      <c r="W5071" s="15">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3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5" t="n">
        <v>0</v>
      </c>
      <c r="U5072" s="15" t="n">
        <v>161</v>
      </c>
      <c r="V5072" s="15">
        <f>ROUNDUP((T5072+U5072+2*'Read Me'!$B$13)*(1+'Read Me'!$B$12),-1)</f>
        <v/>
      </c>
      <c r="W5072" s="15">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4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5" t="n">
        <v>0</v>
      </c>
      <c r="U5073" s="15" t="n">
        <v>161</v>
      </c>
      <c r="V5073" s="15">
        <f>ROUNDUP((T5073+U5073+2*'Read Me'!$B$13)*(1+'Read Me'!$B$12),-1)</f>
        <v/>
      </c>
      <c r="W5073" s="15">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5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5" t="n">
        <v>0</v>
      </c>
      <c r="U5074" s="15" t="n">
        <v>161</v>
      </c>
      <c r="V5074" s="15">
        <f>ROUNDUP((T5074+U5074+2*'Read Me'!$B$13)*(1+'Read Me'!$B$12),-1)</f>
        <v/>
      </c>
      <c r="W5074" s="15">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Motor 6 of 6, 22 kW</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LV|3/C+G|8</t>
        </is>
      </c>
      <c r="L5075" s="12" t="inlineStr">
        <is>
          <t>3/C+G</t>
        </is>
      </c>
      <c r="M5075" s="12" t="inlineStr">
        <is>
          <t>8</t>
        </is>
      </c>
      <c r="N5075" s="12" t="n">
        <v>1</v>
      </c>
      <c r="O5075" s="12" t="n">
        <v>1</v>
      </c>
      <c r="P5075" s="12" t="n">
        <v>480</v>
      </c>
      <c r="Q5075" s="12" t="n">
        <v>22</v>
      </c>
      <c r="R5075" s="12" t="n">
        <v>31.1</v>
      </c>
      <c r="S5075" s="12" t="inlineStr">
        <is>
          <t>Tray</t>
        </is>
      </c>
      <c r="T5075" s="15" t="n">
        <v>0</v>
      </c>
      <c r="U5075" s="15" t="n">
        <v>161</v>
      </c>
      <c r="V5075" s="15">
        <f>ROUNDUP((T5075+U5075+2*'Read Me'!$B$13)*(1+'Read Me'!$B$12),-1)</f>
        <v/>
      </c>
      <c r="W5075" s="15">
        <f>V5075*N5075*O5075</f>
        <v/>
      </c>
      <c r="X5075" s="12">
        <f>IF(LEFT(I5075,2)="MV",2*N5075*IF(L5075="1/C",O5075,1),0)</f>
        <v/>
      </c>
      <c r="Y5075" s="12">
        <f>IF(OR(LEFT(K5075,4)="LVAX",LEFT(K5075,6)="MV15AX",LEFT(K5075,4)="CTAX",LEFT(K5075,2)="W|"),2*N5075*O5075,0)</f>
        <v/>
      </c>
      <c r="Z5075" s="12" t="inlineStr">
        <is>
          <t>VD 1.5 %</t>
        </is>
      </c>
      <c r="AA5075" s="12">
        <f>N5075*O5075</f>
        <v/>
      </c>
    </row>
    <row r="5076">
      <c r="A5076" s="12" t="inlineStr">
        <is>
          <t>I-P-0174</t>
        </is>
      </c>
      <c r="B5076" s="12" t="inlineStr">
        <is>
          <t>I</t>
        </is>
      </c>
      <c r="C5076" s="12" t="inlineStr">
        <is>
          <t>Modular / portable power</t>
        </is>
      </c>
      <c r="D5076" s="12" t="inlineStr">
        <is>
          <t>480 V welding receptacle 1</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5" t="n">
        <v>0</v>
      </c>
      <c r="U5076" s="15" t="n">
        <v>161</v>
      </c>
      <c r="V5076" s="15">
        <f>ROUNDUP((T5076+U5076+2*'Read Me'!$B$13)*(1+'Read Me'!$B$12),-1)</f>
        <v/>
      </c>
      <c r="W5076" s="15">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2</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5" t="n">
        <v>0</v>
      </c>
      <c r="U5077" s="15" t="n">
        <v>161</v>
      </c>
      <c r="V5077" s="15">
        <f>ROUNDUP((T5077+U5077+2*'Read Me'!$B$13)*(1+'Read Me'!$B$12),-1)</f>
        <v/>
      </c>
      <c r="W5077" s="15">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3</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5" t="n">
        <v>0</v>
      </c>
      <c r="U5078" s="15" t="n">
        <v>161</v>
      </c>
      <c r="V5078" s="15">
        <f>ROUNDUP((T5078+U5078+2*'Read Me'!$B$13)*(1+'Read Me'!$B$12),-1)</f>
        <v/>
      </c>
      <c r="W5078" s="15">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480 V welding receptacle 4</t>
        </is>
      </c>
      <c r="E5079" s="12" t="inlineStr"/>
      <c r="F5079" s="12" t="inlineStr">
        <is>
          <t>PCM: power control module</t>
        </is>
      </c>
      <c r="G5079" s="12" t="inlineStr">
        <is>
          <t>RICE-8</t>
        </is>
      </c>
      <c r="H5079" s="12" t="inlineStr">
        <is>
          <t>RICE engine-generator 8</t>
        </is>
      </c>
      <c r="I5079" s="12" t="inlineStr">
        <is>
          <t>LV 600 V</t>
        </is>
      </c>
      <c r="J5079" s="12" t="inlineStr">
        <is>
          <t>Type TC-ER 600 V 3/C Cu XHHW-2 + ground, PVC jacket</t>
        </is>
      </c>
      <c r="K5079" s="12" t="inlineStr">
        <is>
          <t>LV|3/C+G|2</t>
        </is>
      </c>
      <c r="L5079" s="12" t="inlineStr">
        <is>
          <t>3/C+G</t>
        </is>
      </c>
      <c r="M5079" s="12" t="inlineStr">
        <is>
          <t>2</t>
        </is>
      </c>
      <c r="N5079" s="12" t="n">
        <v>1</v>
      </c>
      <c r="O5079" s="12" t="n">
        <v>1</v>
      </c>
      <c r="P5079" s="12" t="n">
        <v>480</v>
      </c>
      <c r="Q5079" s="12" t="n">
        <v>60</v>
      </c>
      <c r="R5079" s="12" t="n">
        <v>76</v>
      </c>
      <c r="S5079" s="12" t="inlineStr">
        <is>
          <t>Tray</t>
        </is>
      </c>
      <c r="T5079" s="15" t="n">
        <v>0</v>
      </c>
      <c r="U5079" s="15" t="n">
        <v>161</v>
      </c>
      <c r="V5079" s="15">
        <f>ROUNDUP((T5079+U5079+2*'Read Me'!$B$13)*(1+'Read Me'!$B$12),-1)</f>
        <v/>
      </c>
      <c r="W5079" s="15">
        <f>V5079*N5079*O5079</f>
        <v/>
      </c>
      <c r="X5079" s="12">
        <f>IF(LEFT(I5079,2)="MV",2*N5079*IF(L5079="1/C",O5079,1),0)</f>
        <v/>
      </c>
      <c r="Y5079" s="12">
        <f>IF(OR(LEFT(K5079,4)="LVAX",LEFT(K5079,6)="MV15AX",LEFT(K5079,4)="CTAX",LEFT(K5079,2)="W|"),2*N5079*O5079,0)</f>
        <v/>
      </c>
      <c r="Z5079" s="12" t="inlineStr">
        <is>
          <t>VD 0.9 %</t>
        </is>
      </c>
      <c r="AA5079" s="12">
        <f>N5079*O5079</f>
        <v/>
      </c>
    </row>
    <row r="5080">
      <c r="A5080" s="12" t="inlineStr">
        <is>
          <t>I-P-0178</t>
        </is>
      </c>
      <c r="B5080" s="12" t="inlineStr">
        <is>
          <t>I</t>
        </is>
      </c>
      <c r="C5080" s="12" t="inlineStr">
        <is>
          <t>Modular / portable power</t>
        </is>
      </c>
      <c r="D5080" s="12" t="inlineStr">
        <is>
          <t>LV power feeder</t>
        </is>
      </c>
      <c r="E5080" s="12" t="inlineStr"/>
      <c r="F5080" s="12" t="inlineStr">
        <is>
          <t>PCM: power control module</t>
        </is>
      </c>
      <c r="G5080" s="12" t="inlineStr"/>
      <c r="H5080" s="12" t="inlineStr">
        <is>
          <t>Reagent storage</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15</v>
      </c>
      <c r="R5080" s="12" t="n">
        <v>21.2</v>
      </c>
      <c r="S5080" s="12" t="inlineStr">
        <is>
          <t>Tray</t>
        </is>
      </c>
      <c r="T5080" s="15" t="n">
        <v>32</v>
      </c>
      <c r="U5080" s="15" t="n">
        <v>32</v>
      </c>
      <c r="V5080" s="15">
        <f>ROUNDUP((T5080+U5080+2*'Read Me'!$B$13)*(1+'Read Me'!$B$12),-1)</f>
        <v/>
      </c>
      <c r="W5080" s="15">
        <f>V5080*N5080*O5080</f>
        <v/>
      </c>
      <c r="X5080" s="12">
        <f>IF(LEFT(I5080,2)="MV",2*N5080*IF(L5080="1/C",O5080,1),0)</f>
        <v/>
      </c>
      <c r="Y5080" s="12">
        <f>IF(OR(LEFT(K5080,4)="LVAX",LEFT(K5080,6)="MV15AX",LEFT(K5080,4)="CTAX",LEFT(K5080,2)="W|"),2*N5080*O5080,0)</f>
        <v/>
      </c>
      <c r="Z5080" s="12" t="inlineStr">
        <is>
          <t>VD 0.7 %</t>
        </is>
      </c>
      <c r="AA5080" s="12">
        <f>N5080*O5080</f>
        <v/>
      </c>
    </row>
    <row r="5081">
      <c r="A5081" s="12" t="inlineStr">
        <is>
          <t>I-P-0179</t>
        </is>
      </c>
      <c r="B5081" s="12" t="inlineStr">
        <is>
          <t>I</t>
        </is>
      </c>
      <c r="C5081" s="12" t="inlineStr">
        <is>
          <t>Modular / portable power</t>
        </is>
      </c>
      <c r="D5081" s="12" t="inlineStr">
        <is>
          <t>Motor 1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5" t="n">
        <v>214</v>
      </c>
      <c r="U5081" s="15" t="n">
        <v>97</v>
      </c>
      <c r="V5081" s="15">
        <f>ROUNDUP((T5081+U5081+2*'Read Me'!$B$13)*(1+'Read Me'!$B$12),-1)</f>
        <v/>
      </c>
      <c r="W5081" s="15">
        <f>V5081*N5081*O5081</f>
        <v/>
      </c>
      <c r="X5081" s="12">
        <f>IF(LEFT(I5081,2)="MV",2*N5081*IF(L5081="1/C",O5081,1),0)</f>
        <v/>
      </c>
      <c r="Y5081" s="12">
        <f>IF(OR(LEFT(K5081,4)="LVAX",LEFT(K5081,6)="MV15AX",LEFT(K5081,4)="CTAX",LEFT(K5081,2)="W|"),2*N5081*O5081,0)</f>
        <v/>
      </c>
      <c r="Z5081" s="12" t="inlineStr">
        <is>
          <t>VD 2.6 %</t>
        </is>
      </c>
      <c r="AA5081" s="12">
        <f>N5081*O5081</f>
        <v/>
      </c>
    </row>
    <row r="5082">
      <c r="A5082" s="12" t="inlineStr">
        <is>
          <t>I-P-0180</t>
        </is>
      </c>
      <c r="B5082" s="12" t="inlineStr">
        <is>
          <t>I</t>
        </is>
      </c>
      <c r="C5082" s="12" t="inlineStr">
        <is>
          <t>Modular / portable power</t>
        </is>
      </c>
      <c r="D5082" s="12" t="inlineStr">
        <is>
          <t>Motor 2 of 2, 30 kW</t>
        </is>
      </c>
      <c r="E5082" s="12" t="inlineStr"/>
      <c r="F5082" s="12" t="inlineStr">
        <is>
          <t>PCM: power control module</t>
        </is>
      </c>
      <c r="G5082" s="12" t="inlineStr"/>
      <c r="H5082" s="12" t="inlineStr">
        <is>
          <t>SC-1 SCR / CO catalyst</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30</v>
      </c>
      <c r="R5082" s="12" t="n">
        <v>42.5</v>
      </c>
      <c r="S5082" s="12" t="inlineStr">
        <is>
          <t>Duct bank</t>
        </is>
      </c>
      <c r="T5082" s="15" t="n">
        <v>214</v>
      </c>
      <c r="U5082" s="15" t="n">
        <v>97</v>
      </c>
      <c r="V5082" s="15">
        <f>ROUNDUP((T5082+U5082+2*'Read Me'!$B$13)*(1+'Read Me'!$B$12),-1)</f>
        <v/>
      </c>
      <c r="W5082" s="15">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I-P-0181</t>
        </is>
      </c>
      <c r="B5083" s="12" t="inlineStr">
        <is>
          <t>I</t>
        </is>
      </c>
      <c r="C5083" s="12" t="inlineStr">
        <is>
          <t>Modular / portable power</t>
        </is>
      </c>
      <c r="D5083" s="12" t="inlineStr">
        <is>
          <t>Motor 1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5" t="n">
        <v>172</v>
      </c>
      <c r="U5083" s="15" t="n">
        <v>58</v>
      </c>
      <c r="V5083" s="15">
        <f>ROUNDUP((T5083+U5083+2*'Read Me'!$B$13)*(1+'Read Me'!$B$12),-1)</f>
        <v/>
      </c>
      <c r="W5083" s="15">
        <f>V5083*N5083*O5083</f>
        <v/>
      </c>
      <c r="X5083" s="12">
        <f>IF(LEFT(I5083,2)="MV",2*N5083*IF(L5083="1/C",O5083,1),0)</f>
        <v/>
      </c>
      <c r="Y5083" s="12">
        <f>IF(OR(LEFT(K5083,4)="LVAX",LEFT(K5083,6)="MV15AX",LEFT(K5083,4)="CTAX",LEFT(K5083,2)="W|"),2*N5083*O5083,0)</f>
        <v/>
      </c>
      <c r="Z5083" s="12" t="inlineStr">
        <is>
          <t>VD 2.3 %</t>
        </is>
      </c>
      <c r="AA5083" s="12">
        <f>N5083*O5083</f>
        <v/>
      </c>
    </row>
    <row r="5084">
      <c r="A5084" s="12" t="inlineStr">
        <is>
          <t>I-P-0182</t>
        </is>
      </c>
      <c r="B5084" s="12" t="inlineStr">
        <is>
          <t>I</t>
        </is>
      </c>
      <c r="C5084" s="12" t="inlineStr">
        <is>
          <t>Modular / portable power</t>
        </is>
      </c>
      <c r="D5084" s="12" t="inlineStr">
        <is>
          <t>Motor 2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5" t="n">
        <v>172</v>
      </c>
      <c r="U5084" s="15" t="n">
        <v>58</v>
      </c>
      <c r="V5084" s="15">
        <f>ROUNDUP((T5084+U5084+2*'Read Me'!$B$13)*(1+'Read Me'!$B$12),-1)</f>
        <v/>
      </c>
      <c r="W5084" s="15">
        <f>V5084*N5084*O5084</f>
        <v/>
      </c>
      <c r="X5084" s="12">
        <f>IF(LEFT(I5084,2)="MV",2*N5084*IF(L5084="1/C",O5084,1),0)</f>
        <v/>
      </c>
      <c r="Y5084" s="12">
        <f>IF(OR(LEFT(K5084,4)="LVAX",LEFT(K5084,6)="MV15AX",LEFT(K5084,4)="CTAX",LEFT(K5084,2)="W|"),2*N5084*O5084,0)</f>
        <v/>
      </c>
      <c r="Z5084" s="12" t="inlineStr">
        <is>
          <t>VD 2.3 %</t>
        </is>
      </c>
      <c r="AA5084" s="12">
        <f>N5084*O5084</f>
        <v/>
      </c>
    </row>
    <row r="5085">
      <c r="A5085" s="12" t="inlineStr">
        <is>
          <t>I-P-0183</t>
        </is>
      </c>
      <c r="B5085" s="12" t="inlineStr">
        <is>
          <t>I</t>
        </is>
      </c>
      <c r="C5085" s="12" t="inlineStr">
        <is>
          <t>Modular / portable power</t>
        </is>
      </c>
      <c r="D5085" s="12" t="inlineStr">
        <is>
          <t>Motor 3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5" t="n">
        <v>172</v>
      </c>
      <c r="U5085" s="15" t="n">
        <v>58</v>
      </c>
      <c r="V5085" s="15">
        <f>ROUNDUP((T5085+U5085+2*'Read Me'!$B$13)*(1+'Read Me'!$B$12),-1)</f>
        <v/>
      </c>
      <c r="W5085" s="15">
        <f>V5085*N5085*O5085</f>
        <v/>
      </c>
      <c r="X5085" s="12">
        <f>IF(LEFT(I5085,2)="MV",2*N5085*IF(L5085="1/C",O5085,1),0)</f>
        <v/>
      </c>
      <c r="Y5085" s="12">
        <f>IF(OR(LEFT(K5085,4)="LVAX",LEFT(K5085,6)="MV15AX",LEFT(K5085,4)="CTAX",LEFT(K5085,2)="W|"),2*N5085*O5085,0)</f>
        <v/>
      </c>
      <c r="Z5085" s="12" t="inlineStr">
        <is>
          <t>VD 2.3 %</t>
        </is>
      </c>
      <c r="AA5085" s="12">
        <f>N5085*O5085</f>
        <v/>
      </c>
    </row>
    <row r="5086">
      <c r="A5086" s="12" t="inlineStr">
        <is>
          <t>I-P-0184</t>
        </is>
      </c>
      <c r="B5086" s="12" t="inlineStr">
        <is>
          <t>I</t>
        </is>
      </c>
      <c r="C5086" s="12" t="inlineStr">
        <is>
          <t>Modular / portable power</t>
        </is>
      </c>
      <c r="D5086" s="12" t="inlineStr">
        <is>
          <t>Motor 4 of 4, 15 kW</t>
        </is>
      </c>
      <c r="E5086" s="12" t="inlineStr"/>
      <c r="F5086" s="12" t="inlineStr">
        <is>
          <t>PCM: power control module</t>
        </is>
      </c>
      <c r="G5086" s="12" t="inlineStr"/>
      <c r="H5086" s="12" t="inlineStr">
        <is>
          <t>SC-1 lube-oil fin-fan cooler</t>
        </is>
      </c>
      <c r="I5086" s="12" t="inlineStr">
        <is>
          <t>LV 600 V</t>
        </is>
      </c>
      <c r="J5086" s="12" t="inlineStr">
        <is>
          <t>Type TC-ER 600 V 3/C Cu XHHW-2 + ground, PVC jacket</t>
        </is>
      </c>
      <c r="K5086" s="12" t="inlineStr">
        <is>
          <t>LV|3/C+G|10</t>
        </is>
      </c>
      <c r="L5086" s="12" t="inlineStr">
        <is>
          <t>3/C+G</t>
        </is>
      </c>
      <c r="M5086" s="12" t="inlineStr">
        <is>
          <t>10</t>
        </is>
      </c>
      <c r="N5086" s="12" t="n">
        <v>1</v>
      </c>
      <c r="O5086" s="12" t="n">
        <v>1</v>
      </c>
      <c r="P5086" s="12" t="n">
        <v>480</v>
      </c>
      <c r="Q5086" s="12" t="n">
        <v>15</v>
      </c>
      <c r="R5086" s="12" t="n">
        <v>21.2</v>
      </c>
      <c r="S5086" s="12" t="inlineStr">
        <is>
          <t>Duct bank</t>
        </is>
      </c>
      <c r="T5086" s="15" t="n">
        <v>172</v>
      </c>
      <c r="U5086" s="15" t="n">
        <v>58</v>
      </c>
      <c r="V5086" s="15">
        <f>ROUNDUP((T5086+U5086+2*'Read Me'!$B$13)*(1+'Read Me'!$B$12),-1)</f>
        <v/>
      </c>
      <c r="W5086" s="15">
        <f>V5086*N5086*O5086</f>
        <v/>
      </c>
      <c r="X5086" s="12">
        <f>IF(LEFT(I5086,2)="MV",2*N5086*IF(L5086="1/C",O5086,1),0)</f>
        <v/>
      </c>
      <c r="Y5086" s="12">
        <f>IF(OR(LEFT(K5086,4)="LVAX",LEFT(K5086,6)="MV15AX",LEFT(K5086,4)="CTAX",LEFT(K5086,2)="W|"),2*N5086*O5086,0)</f>
        <v/>
      </c>
      <c r="Z5086" s="12" t="inlineStr">
        <is>
          <t>VD 2.3 %</t>
        </is>
      </c>
      <c r="AA5086" s="12">
        <f>N5086*O5086</f>
        <v/>
      </c>
    </row>
    <row r="5087">
      <c r="A5087" s="12" t="inlineStr">
        <is>
          <t>I-P-0185</t>
        </is>
      </c>
      <c r="B5087" s="12" t="inlineStr">
        <is>
          <t>I</t>
        </is>
      </c>
      <c r="C5087" s="12" t="inlineStr">
        <is>
          <t>Modular / portable power</t>
        </is>
      </c>
      <c r="D5087" s="12" t="inlineStr">
        <is>
          <t>Area / platform lighting circuit 1 (4 fixtures)</t>
        </is>
      </c>
      <c r="E5087" s="12" t="inlineStr"/>
      <c r="F5087" s="12" t="inlineStr">
        <is>
          <t>PCM: power control module</t>
        </is>
      </c>
      <c r="G5087" s="12" t="inlineStr"/>
      <c r="H5087" s="12" t="inlineStr">
        <is>
          <t>SC-1 stack (80 ft)</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3</v>
      </c>
      <c r="R5087" s="12" t="n">
        <v>5</v>
      </c>
      <c r="S5087" s="12" t="inlineStr">
        <is>
          <t>Duct bank</t>
        </is>
      </c>
      <c r="T5087" s="15" t="n">
        <v>542</v>
      </c>
      <c r="U5087" s="15" t="n">
        <v>122</v>
      </c>
      <c r="V5087" s="15">
        <f>ROUNDUP((T5087+U5087+2*'Read Me'!$B$13)*(1+'Read Me'!$B$12),-1)</f>
        <v/>
      </c>
      <c r="W5087" s="15">
        <f>V5087*N5087*O5087</f>
        <v/>
      </c>
      <c r="X5087" s="12">
        <f>IF(LEFT(I5087,2)="MV",2*N5087*IF(L5087="1/C",O5087,1),0)</f>
        <v/>
      </c>
      <c r="Y5087" s="12">
        <f>IF(OR(LEFT(K5087,4)="LVAX",LEFT(K5087,6)="MV15AX",LEFT(K5087,4)="CTAX",LEFT(K5087,2)="W|"),2*N5087*O5087,0)</f>
        <v/>
      </c>
      <c r="Z5087" s="12" t="inlineStr">
        <is>
          <t>fixture-to-fixture run included</t>
        </is>
      </c>
      <c r="AA5087" s="12">
        <f>N5087*O5087</f>
        <v/>
      </c>
    </row>
    <row r="5088">
      <c r="A5088" s="12" t="inlineStr">
        <is>
          <t>I-P-0186</t>
        </is>
      </c>
      <c r="B5088" s="12" t="inlineStr">
        <is>
          <t>I</t>
        </is>
      </c>
      <c r="C5088" s="12" t="inlineStr">
        <is>
          <t>Modular / portable power</t>
        </is>
      </c>
      <c r="D5088" s="12" t="inlineStr">
        <is>
          <t>Motor 1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5" t="n">
        <v>40</v>
      </c>
      <c r="U5088" s="15" t="n">
        <v>52</v>
      </c>
      <c r="V5088" s="15">
        <f>ROUNDUP((T5088+U5088+2*'Read Me'!$B$13)*(1+'Read Me'!$B$12),-1)</f>
        <v/>
      </c>
      <c r="W5088" s="15">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2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5" t="n">
        <v>40</v>
      </c>
      <c r="U5089" s="15" t="n">
        <v>52</v>
      </c>
      <c r="V5089" s="15">
        <f>ROUNDUP((T5089+U5089+2*'Read Me'!$B$13)*(1+'Read Me'!$B$12),-1)</f>
        <v/>
      </c>
      <c r="W5089" s="15">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3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5" t="n">
        <v>40</v>
      </c>
      <c r="U5090" s="15" t="n">
        <v>52</v>
      </c>
      <c r="V5090" s="15">
        <f>ROUNDUP((T5090+U5090+2*'Read Me'!$B$13)*(1+'Read Me'!$B$12),-1)</f>
        <v/>
      </c>
      <c r="W5090" s="15">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4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5" t="n">
        <v>40</v>
      </c>
      <c r="U5091" s="15" t="n">
        <v>52</v>
      </c>
      <c r="V5091" s="15">
        <f>ROUNDUP((T5091+U5091+2*'Read Me'!$B$13)*(1+'Read Me'!$B$12),-1)</f>
        <v/>
      </c>
      <c r="W5091" s="15">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5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5" t="n">
        <v>40</v>
      </c>
      <c r="U5092" s="15" t="n">
        <v>52</v>
      </c>
      <c r="V5092" s="15">
        <f>ROUNDUP((T5092+U5092+2*'Read Me'!$B$13)*(1+'Read Me'!$B$12),-1)</f>
        <v/>
      </c>
      <c r="W5092" s="15">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6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5" t="n">
        <v>40</v>
      </c>
      <c r="U5093" s="15" t="n">
        <v>52</v>
      </c>
      <c r="V5093" s="15">
        <f>ROUNDUP((T5093+U5093+2*'Read Me'!$B$13)*(1+'Read Me'!$B$12),-1)</f>
        <v/>
      </c>
      <c r="W5093" s="15">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7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5" t="n">
        <v>40</v>
      </c>
      <c r="U5094" s="15" t="n">
        <v>52</v>
      </c>
      <c r="V5094" s="15">
        <f>ROUNDUP((T5094+U5094+2*'Read Me'!$B$13)*(1+'Read Me'!$B$12),-1)</f>
        <v/>
      </c>
      <c r="W5094" s="15">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8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5" t="n">
        <v>40</v>
      </c>
      <c r="U5095" s="15" t="n">
        <v>52</v>
      </c>
      <c r="V5095" s="15">
        <f>ROUNDUP((T5095+U5095+2*'Read Me'!$B$13)*(1+'Read Me'!$B$12),-1)</f>
        <v/>
      </c>
      <c r="W5095" s="15">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9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5" t="n">
        <v>40</v>
      </c>
      <c r="U5096" s="15" t="n">
        <v>52</v>
      </c>
      <c r="V5096" s="15">
        <f>ROUNDUP((T5096+U5096+2*'Read Me'!$B$13)*(1+'Read Me'!$B$12),-1)</f>
        <v/>
      </c>
      <c r="W5096" s="15">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10 of 10, 30 kW</t>
        </is>
      </c>
      <c r="E5097" s="12" t="inlineStr"/>
      <c r="F5097" s="12" t="inlineStr">
        <is>
          <t>PCM: power control module</t>
        </is>
      </c>
      <c r="G5097" s="12" t="inlineStr">
        <is>
          <t>SC-1</t>
        </is>
      </c>
      <c r="H5097" s="12" t="inlineStr">
        <is>
          <t>SC-1: aeroderivative simple-cycle unit (LM6000 class)</t>
        </is>
      </c>
      <c r="I5097" s="12" t="inlineStr">
        <is>
          <t>LV 600 V</t>
        </is>
      </c>
      <c r="J5097" s="12" t="inlineStr">
        <is>
          <t>Type TC-ER 600 V 3/C Cu XHHW-2 + ground, PVC jacket</t>
        </is>
      </c>
      <c r="K5097" s="12" t="inlineStr">
        <is>
          <t>LV|3/C+G|6</t>
        </is>
      </c>
      <c r="L5097" s="12" t="inlineStr">
        <is>
          <t>3/C+G</t>
        </is>
      </c>
      <c r="M5097" s="12" t="inlineStr">
        <is>
          <t>6</t>
        </is>
      </c>
      <c r="N5097" s="12" t="n">
        <v>1</v>
      </c>
      <c r="O5097" s="12" t="n">
        <v>1</v>
      </c>
      <c r="P5097" s="12" t="n">
        <v>480</v>
      </c>
      <c r="Q5097" s="12" t="n">
        <v>30</v>
      </c>
      <c r="R5097" s="12" t="n">
        <v>42.5</v>
      </c>
      <c r="S5097" s="12" t="inlineStr">
        <is>
          <t>Duct bank</t>
        </is>
      </c>
      <c r="T5097" s="15" t="n">
        <v>40</v>
      </c>
      <c r="U5097" s="15" t="n">
        <v>52</v>
      </c>
      <c r="V5097" s="15">
        <f>ROUNDUP((T5097+U5097+2*'Read Me'!$B$13)*(1+'Read Me'!$B$12),-1)</f>
        <v/>
      </c>
      <c r="W5097" s="15">
        <f>V5097*N5097*O5097</f>
        <v/>
      </c>
      <c r="X5097" s="12">
        <f>IF(LEFT(I5097,2)="MV",2*N5097*IF(L5097="1/C",O5097,1),0)</f>
        <v/>
      </c>
      <c r="Y5097" s="12">
        <f>IF(OR(LEFT(K5097,4)="LVAX",LEFT(K5097,6)="MV15AX",LEFT(K5097,4)="CTAX",LEFT(K5097,2)="W|"),2*N5097*O5097,0)</f>
        <v/>
      </c>
      <c r="Z5097" s="12" t="inlineStr">
        <is>
          <t>VD 0.8 %</t>
        </is>
      </c>
      <c r="AA5097" s="12">
        <f>N5097*O5097</f>
        <v/>
      </c>
    </row>
    <row r="5098">
      <c r="A5098" s="12" t="inlineStr">
        <is>
          <t>I-P-0196</t>
        </is>
      </c>
      <c r="B5098" s="12" t="inlineStr">
        <is>
          <t>I</t>
        </is>
      </c>
      <c r="C5098" s="12" t="inlineStr">
        <is>
          <t>Modular / portable power</t>
        </is>
      </c>
      <c r="D5098" s="12" t="inlineStr">
        <is>
          <t>Motor 1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LV|3/C+G|4</t>
        </is>
      </c>
      <c r="L5098" s="12" t="inlineStr">
        <is>
          <t>3/C+G</t>
        </is>
      </c>
      <c r="M5098" s="12" t="inlineStr">
        <is>
          <t>4</t>
        </is>
      </c>
      <c r="N5098" s="12" t="n">
        <v>1</v>
      </c>
      <c r="O5098" s="12" t="n">
        <v>1</v>
      </c>
      <c r="P5098" s="12" t="n">
        <v>480</v>
      </c>
      <c r="Q5098" s="12" t="n">
        <v>30</v>
      </c>
      <c r="R5098" s="12" t="n">
        <v>42.5</v>
      </c>
      <c r="S5098" s="12" t="inlineStr">
        <is>
          <t>Duct bank</t>
        </is>
      </c>
      <c r="T5098" s="15" t="n">
        <v>379</v>
      </c>
      <c r="U5098" s="15" t="n">
        <v>122</v>
      </c>
      <c r="V5098" s="15">
        <f>ROUNDUP((T5098+U5098+2*'Read Me'!$B$13)*(1+'Read Me'!$B$12),-1)</f>
        <v/>
      </c>
      <c r="W5098" s="15">
        <f>V5098*N5098*O5098</f>
        <v/>
      </c>
      <c r="X5098" s="12">
        <f>IF(LEFT(I5098,2)="MV",2*N5098*IF(L5098="1/C",O5098,1),0)</f>
        <v/>
      </c>
      <c r="Y5098" s="12">
        <f>IF(OR(LEFT(K5098,4)="LVAX",LEFT(K5098,6)="MV15AX",LEFT(K5098,4)="CTAX",LEFT(K5098,2)="W|"),2*N5098*O5098,0)</f>
        <v/>
      </c>
      <c r="Z5098" s="12" t="inlineStr">
        <is>
          <t>VD 2.6 %</t>
        </is>
      </c>
      <c r="AA5098" s="12">
        <f>N5098*O5098</f>
        <v/>
      </c>
    </row>
    <row r="5099">
      <c r="A5099" s="12" t="inlineStr">
        <is>
          <t>I-P-0197</t>
        </is>
      </c>
      <c r="B5099" s="12" t="inlineStr">
        <is>
          <t>I</t>
        </is>
      </c>
      <c r="C5099" s="12" t="inlineStr">
        <is>
          <t>Modular / portable power</t>
        </is>
      </c>
      <c r="D5099" s="12" t="inlineStr">
        <is>
          <t>Motor 2 of 2, 30 kW</t>
        </is>
      </c>
      <c r="E5099" s="12" t="inlineStr"/>
      <c r="F5099" s="12" t="inlineStr">
        <is>
          <t>MOD-LV 480 V board + 480 V : 13.8 kV step-up</t>
        </is>
      </c>
      <c r="G5099" s="12" t="inlineStr"/>
      <c r="H5099" s="12" t="inlineStr">
        <is>
          <t>SC-2 SCR / CO catalyst</t>
        </is>
      </c>
      <c r="I5099" s="12" t="inlineStr">
        <is>
          <t>LV 600 V</t>
        </is>
      </c>
      <c r="J5099" s="12" t="inlineStr">
        <is>
          <t>Type TC-ER 600 V 3/C Cu XHHW-2 + ground, PVC jacket</t>
        </is>
      </c>
      <c r="K5099" s="12" t="inlineStr">
        <is>
          <t>LV|3/C+G|4</t>
        </is>
      </c>
      <c r="L5099" s="12" t="inlineStr">
        <is>
          <t>3/C+G</t>
        </is>
      </c>
      <c r="M5099" s="12" t="inlineStr">
        <is>
          <t>4</t>
        </is>
      </c>
      <c r="N5099" s="12" t="n">
        <v>1</v>
      </c>
      <c r="O5099" s="12" t="n">
        <v>1</v>
      </c>
      <c r="P5099" s="12" t="n">
        <v>480</v>
      </c>
      <c r="Q5099" s="12" t="n">
        <v>30</v>
      </c>
      <c r="R5099" s="12" t="n">
        <v>42.5</v>
      </c>
      <c r="S5099" s="12" t="inlineStr">
        <is>
          <t>Duct bank</t>
        </is>
      </c>
      <c r="T5099" s="15" t="n">
        <v>379</v>
      </c>
      <c r="U5099" s="15" t="n">
        <v>122</v>
      </c>
      <c r="V5099" s="15">
        <f>ROUNDUP((T5099+U5099+2*'Read Me'!$B$13)*(1+'Read Me'!$B$12),-1)</f>
        <v/>
      </c>
      <c r="W5099" s="15">
        <f>V5099*N5099*O5099</f>
        <v/>
      </c>
      <c r="X5099" s="12">
        <f>IF(LEFT(I5099,2)="MV",2*N5099*IF(L5099="1/C",O5099,1),0)</f>
        <v/>
      </c>
      <c r="Y5099" s="12">
        <f>IF(OR(LEFT(K5099,4)="LVAX",LEFT(K5099,6)="MV15AX",LEFT(K5099,4)="CTAX",LEFT(K5099,2)="W|"),2*N5099*O5099,0)</f>
        <v/>
      </c>
      <c r="Z5099" s="12" t="inlineStr">
        <is>
          <t>VD 2.6 %</t>
        </is>
      </c>
      <c r="AA5099" s="12">
        <f>N5099*O5099</f>
        <v/>
      </c>
    </row>
    <row r="5100">
      <c r="A5100" s="12" t="inlineStr">
        <is>
          <t>I-P-0198</t>
        </is>
      </c>
      <c r="B5100" s="12" t="inlineStr">
        <is>
          <t>I</t>
        </is>
      </c>
      <c r="C5100" s="12" t="inlineStr">
        <is>
          <t>Modular / portable power</t>
        </is>
      </c>
      <c r="D5100" s="12" t="inlineStr">
        <is>
          <t>Motor 1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LV|3/C+G|6</t>
        </is>
      </c>
      <c r="L5100" s="12" t="inlineStr">
        <is>
          <t>3/C+G</t>
        </is>
      </c>
      <c r="M5100" s="12" t="inlineStr">
        <is>
          <t>6</t>
        </is>
      </c>
      <c r="N5100" s="12" t="n">
        <v>1</v>
      </c>
      <c r="O5100" s="12" t="n">
        <v>1</v>
      </c>
      <c r="P5100" s="12" t="n">
        <v>480</v>
      </c>
      <c r="Q5100" s="12" t="n">
        <v>15</v>
      </c>
      <c r="R5100" s="12" t="n">
        <v>21.2</v>
      </c>
      <c r="S5100" s="12" t="inlineStr">
        <is>
          <t>Duct bank</t>
        </is>
      </c>
      <c r="T5100" s="15" t="n">
        <v>379</v>
      </c>
      <c r="U5100" s="15" t="n">
        <v>137</v>
      </c>
      <c r="V5100" s="15">
        <f>ROUNDUP((T5100+U5100+2*'Read Me'!$B$13)*(1+'Read Me'!$B$12),-1)</f>
        <v/>
      </c>
      <c r="W5100" s="15">
        <f>V5100*N5100*O5100</f>
        <v/>
      </c>
      <c r="X5100" s="12">
        <f>IF(LEFT(I5100,2)="MV",2*N5100*IF(L5100="1/C",O5100,1),0)</f>
        <v/>
      </c>
      <c r="Y5100" s="12">
        <f>IF(OR(LEFT(K5100,4)="LVAX",LEFT(K5100,6)="MV15AX",LEFT(K5100,4)="CTAX",LEFT(K5100,2)="W|"),2*N5100*O5100,0)</f>
        <v/>
      </c>
      <c r="Z5100" s="12" t="inlineStr">
        <is>
          <t>VD 2.1 %</t>
        </is>
      </c>
      <c r="AA5100" s="12">
        <f>N5100*O5100</f>
        <v/>
      </c>
    </row>
    <row r="5101">
      <c r="A5101" s="12" t="inlineStr">
        <is>
          <t>I-P-0199</t>
        </is>
      </c>
      <c r="B5101" s="12" t="inlineStr">
        <is>
          <t>I</t>
        </is>
      </c>
      <c r="C5101" s="12" t="inlineStr">
        <is>
          <t>Modular / portable power</t>
        </is>
      </c>
      <c r="D5101" s="12" t="inlineStr">
        <is>
          <t>Motor 2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LV|3/C+G|6</t>
        </is>
      </c>
      <c r="L5101" s="12" t="inlineStr">
        <is>
          <t>3/C+G</t>
        </is>
      </c>
      <c r="M5101" s="12" t="inlineStr">
        <is>
          <t>6</t>
        </is>
      </c>
      <c r="N5101" s="12" t="n">
        <v>1</v>
      </c>
      <c r="O5101" s="12" t="n">
        <v>1</v>
      </c>
      <c r="P5101" s="12" t="n">
        <v>480</v>
      </c>
      <c r="Q5101" s="12" t="n">
        <v>15</v>
      </c>
      <c r="R5101" s="12" t="n">
        <v>21.2</v>
      </c>
      <c r="S5101" s="12" t="inlineStr">
        <is>
          <t>Duct bank</t>
        </is>
      </c>
      <c r="T5101" s="15" t="n">
        <v>379</v>
      </c>
      <c r="U5101" s="15" t="n">
        <v>137</v>
      </c>
      <c r="V5101" s="15">
        <f>ROUNDUP((T5101+U5101+2*'Read Me'!$B$13)*(1+'Read Me'!$B$12),-1)</f>
        <v/>
      </c>
      <c r="W5101" s="15">
        <f>V5101*N5101*O5101</f>
        <v/>
      </c>
      <c r="X5101" s="12">
        <f>IF(LEFT(I5101,2)="MV",2*N5101*IF(L5101="1/C",O5101,1),0)</f>
        <v/>
      </c>
      <c r="Y5101" s="12">
        <f>IF(OR(LEFT(K5101,4)="LVAX",LEFT(K5101,6)="MV15AX",LEFT(K5101,4)="CTAX",LEFT(K5101,2)="W|"),2*N5101*O5101,0)</f>
        <v/>
      </c>
      <c r="Z5101" s="12" t="inlineStr">
        <is>
          <t>VD 2.1 %</t>
        </is>
      </c>
      <c r="AA5101" s="12">
        <f>N5101*O5101</f>
        <v/>
      </c>
    </row>
    <row r="5102">
      <c r="A5102" s="12" t="inlineStr">
        <is>
          <t>I-P-0200</t>
        </is>
      </c>
      <c r="B5102" s="12" t="inlineStr">
        <is>
          <t>I</t>
        </is>
      </c>
      <c r="C5102" s="12" t="inlineStr">
        <is>
          <t>Modular / portable power</t>
        </is>
      </c>
      <c r="D5102" s="12" t="inlineStr">
        <is>
          <t>Motor 3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5" t="n">
        <v>379</v>
      </c>
      <c r="U5102" s="15" t="n">
        <v>137</v>
      </c>
      <c r="V5102" s="15">
        <f>ROUNDUP((T5102+U5102+2*'Read Me'!$B$13)*(1+'Read Me'!$B$12),-1)</f>
        <v/>
      </c>
      <c r="W5102" s="15">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I-P-0201</t>
        </is>
      </c>
      <c r="B5103" s="12" t="inlineStr">
        <is>
          <t>I</t>
        </is>
      </c>
      <c r="C5103" s="12" t="inlineStr">
        <is>
          <t>Modular / portable power</t>
        </is>
      </c>
      <c r="D5103" s="12" t="inlineStr">
        <is>
          <t>Motor 4 of 4, 15 kW</t>
        </is>
      </c>
      <c r="E5103" s="12" t="inlineStr"/>
      <c r="F5103" s="12" t="inlineStr">
        <is>
          <t>MOD-LV 480 V board + 480 V : 13.8 kV step-up</t>
        </is>
      </c>
      <c r="G5103" s="12" t="inlineStr"/>
      <c r="H5103" s="12" t="inlineStr">
        <is>
          <t>SC-2 lube-oil fin-fan cooler</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5" t="n">
        <v>379</v>
      </c>
      <c r="U5103" s="15" t="n">
        <v>137</v>
      </c>
      <c r="V5103" s="15">
        <f>ROUNDUP((T5103+U5103+2*'Read Me'!$B$13)*(1+'Read Me'!$B$12),-1)</f>
        <v/>
      </c>
      <c r="W5103" s="15">
        <f>V5103*N5103*O5103</f>
        <v/>
      </c>
      <c r="X5103" s="12">
        <f>IF(LEFT(I5103,2)="MV",2*N5103*IF(L5103="1/C",O5103,1),0)</f>
        <v/>
      </c>
      <c r="Y5103" s="12">
        <f>IF(OR(LEFT(K5103,4)="LVAX",LEFT(K5103,6)="MV15AX",LEFT(K5103,4)="CTAX",LEFT(K5103,2)="W|"),2*N5103*O5103,0)</f>
        <v/>
      </c>
      <c r="Z5103" s="12" t="inlineStr">
        <is>
          <t>VD 2.1 %</t>
        </is>
      </c>
      <c r="AA5103" s="12">
        <f>N5103*O5103</f>
        <v/>
      </c>
    </row>
    <row r="5104">
      <c r="A5104" s="12" t="inlineStr">
        <is>
          <t>I-P-0202</t>
        </is>
      </c>
      <c r="B5104" s="12" t="inlineStr">
        <is>
          <t>I</t>
        </is>
      </c>
      <c r="C5104" s="12" t="inlineStr">
        <is>
          <t>Modular / portable power</t>
        </is>
      </c>
      <c r="D5104" s="12" t="inlineStr">
        <is>
          <t>Area / platform lighting circuit 1 (4 fixtures)</t>
        </is>
      </c>
      <c r="E5104" s="12" t="inlineStr"/>
      <c r="F5104" s="12" t="inlineStr">
        <is>
          <t>MOD-LV 480 V board + 480 V : 13.8 kV step-up</t>
        </is>
      </c>
      <c r="G5104" s="12" t="inlineStr"/>
      <c r="H5104" s="12" t="inlineStr">
        <is>
          <t>SC-2 stack (80 ft)</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5" t="n">
        <v>494</v>
      </c>
      <c r="U5104" s="15" t="n">
        <v>164</v>
      </c>
      <c r="V5104" s="15">
        <f>ROUNDUP((T5104+U5104+2*'Read Me'!$B$13)*(1+'Read Me'!$B$12),-1)</f>
        <v/>
      </c>
      <c r="W5104" s="15">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I-P-0203</t>
        </is>
      </c>
      <c r="B5105" s="12" t="inlineStr">
        <is>
          <t>I</t>
        </is>
      </c>
      <c r="C5105" s="12" t="inlineStr">
        <is>
          <t>Modular / portable power</t>
        </is>
      </c>
      <c r="D5105" s="12" t="inlineStr">
        <is>
          <t>Motor 1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LV|3/C+G|4</t>
        </is>
      </c>
      <c r="L5105" s="12" t="inlineStr">
        <is>
          <t>3/C+G</t>
        </is>
      </c>
      <c r="M5105" s="12" t="inlineStr">
        <is>
          <t>4</t>
        </is>
      </c>
      <c r="N5105" s="12" t="n">
        <v>1</v>
      </c>
      <c r="O5105" s="12" t="n">
        <v>1</v>
      </c>
      <c r="P5105" s="12" t="n">
        <v>480</v>
      </c>
      <c r="Q5105" s="12" t="n">
        <v>30</v>
      </c>
      <c r="R5105" s="12" t="n">
        <v>42.5</v>
      </c>
      <c r="S5105" s="12" t="inlineStr">
        <is>
          <t>Duct bank</t>
        </is>
      </c>
      <c r="T5105" s="15" t="n">
        <v>379</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I-P-0204</t>
        </is>
      </c>
      <c r="B5106" s="12" t="inlineStr">
        <is>
          <t>I</t>
        </is>
      </c>
      <c r="C5106" s="12" t="inlineStr">
        <is>
          <t>Modular / portable power</t>
        </is>
      </c>
      <c r="D5106" s="12" t="inlineStr">
        <is>
          <t>Motor 2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LV|3/C+G|4</t>
        </is>
      </c>
      <c r="L5106" s="12" t="inlineStr">
        <is>
          <t>3/C+G</t>
        </is>
      </c>
      <c r="M5106" s="12" t="inlineStr">
        <is>
          <t>4</t>
        </is>
      </c>
      <c r="N5106" s="12" t="n">
        <v>1</v>
      </c>
      <c r="O5106" s="12" t="n">
        <v>1</v>
      </c>
      <c r="P5106" s="12" t="n">
        <v>480</v>
      </c>
      <c r="Q5106" s="12" t="n">
        <v>30</v>
      </c>
      <c r="R5106" s="12" t="n">
        <v>42.5</v>
      </c>
      <c r="S5106" s="12" t="inlineStr">
        <is>
          <t>Duct bank</t>
        </is>
      </c>
      <c r="T5106" s="15" t="n">
        <v>379</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I-P-0205</t>
        </is>
      </c>
      <c r="B5107" s="12" t="inlineStr">
        <is>
          <t>I</t>
        </is>
      </c>
      <c r="C5107" s="12" t="inlineStr">
        <is>
          <t>Modular / portable power</t>
        </is>
      </c>
      <c r="D5107" s="12" t="inlineStr">
        <is>
          <t>Motor 3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LV|3/C+G|4</t>
        </is>
      </c>
      <c r="L5107" s="12" t="inlineStr">
        <is>
          <t>3/C+G</t>
        </is>
      </c>
      <c r="M5107" s="12" t="inlineStr">
        <is>
          <t>4</t>
        </is>
      </c>
      <c r="N5107" s="12" t="n">
        <v>1</v>
      </c>
      <c r="O5107" s="12" t="n">
        <v>1</v>
      </c>
      <c r="P5107" s="12" t="n">
        <v>480</v>
      </c>
      <c r="Q5107" s="12" t="n">
        <v>30</v>
      </c>
      <c r="R5107" s="12" t="n">
        <v>42.5</v>
      </c>
      <c r="S5107" s="12" t="inlineStr">
        <is>
          <t>Duct bank</t>
        </is>
      </c>
      <c r="T5107" s="15" t="n">
        <v>379</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I-P-0206</t>
        </is>
      </c>
      <c r="B5108" s="12" t="inlineStr">
        <is>
          <t>I</t>
        </is>
      </c>
      <c r="C5108" s="12" t="inlineStr">
        <is>
          <t>Modular / portable power</t>
        </is>
      </c>
      <c r="D5108" s="12" t="inlineStr">
        <is>
          <t>Motor 4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LV|3/C+G|4</t>
        </is>
      </c>
      <c r="L5108" s="12" t="inlineStr">
        <is>
          <t>3/C+G</t>
        </is>
      </c>
      <c r="M5108" s="12" t="inlineStr">
        <is>
          <t>4</t>
        </is>
      </c>
      <c r="N5108" s="12" t="n">
        <v>1</v>
      </c>
      <c r="O5108" s="12" t="n">
        <v>1</v>
      </c>
      <c r="P5108" s="12" t="n">
        <v>480</v>
      </c>
      <c r="Q5108" s="12" t="n">
        <v>30</v>
      </c>
      <c r="R5108" s="12" t="n">
        <v>42.5</v>
      </c>
      <c r="S5108" s="12" t="inlineStr">
        <is>
          <t>Duct bank</t>
        </is>
      </c>
      <c r="T5108" s="15" t="n">
        <v>379</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I-P-0207</t>
        </is>
      </c>
      <c r="B5109" s="12" t="inlineStr">
        <is>
          <t>I</t>
        </is>
      </c>
      <c r="C5109" s="12" t="inlineStr">
        <is>
          <t>Modular / portable power</t>
        </is>
      </c>
      <c r="D5109" s="12" t="inlineStr">
        <is>
          <t>Motor 5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LV|3/C+G|4</t>
        </is>
      </c>
      <c r="L5109" s="12" t="inlineStr">
        <is>
          <t>3/C+G</t>
        </is>
      </c>
      <c r="M5109" s="12" t="inlineStr">
        <is>
          <t>4</t>
        </is>
      </c>
      <c r="N5109" s="12" t="n">
        <v>1</v>
      </c>
      <c r="O5109" s="12" t="n">
        <v>1</v>
      </c>
      <c r="P5109" s="12" t="n">
        <v>480</v>
      </c>
      <c r="Q5109" s="12" t="n">
        <v>30</v>
      </c>
      <c r="R5109" s="12" t="n">
        <v>42.5</v>
      </c>
      <c r="S5109" s="12" t="inlineStr">
        <is>
          <t>Duct bank</t>
        </is>
      </c>
      <c r="T5109" s="15" t="n">
        <v>379</v>
      </c>
      <c r="U5109" s="15" t="n">
        <v>32</v>
      </c>
      <c r="V5109" s="15">
        <f>ROUNDUP((T5109+U5109+2*'Read Me'!$B$13)*(1+'Read Me'!$B$12),-1)</f>
        <v/>
      </c>
      <c r="W5109" s="15">
        <f>V5109*N5109*O5109</f>
        <v/>
      </c>
      <c r="X5109" s="12">
        <f>IF(LEFT(I5109,2)="MV",2*N5109*IF(L5109="1/C",O5109,1),0)</f>
        <v/>
      </c>
      <c r="Y5109" s="12">
        <f>IF(OR(LEFT(K5109,4)="LVAX",LEFT(K5109,6)="MV15AX",LEFT(K5109,4)="CTAX",LEFT(K5109,2)="W|"),2*N5109*O5109,0)</f>
        <v/>
      </c>
      <c r="Z5109" s="12" t="inlineStr">
        <is>
          <t>VD 2.1 %</t>
        </is>
      </c>
      <c r="AA5109" s="12">
        <f>N5109*O5109</f>
        <v/>
      </c>
    </row>
    <row r="5110">
      <c r="A5110" s="12" t="inlineStr">
        <is>
          <t>I-P-0208</t>
        </is>
      </c>
      <c r="B5110" s="12" t="inlineStr">
        <is>
          <t>I</t>
        </is>
      </c>
      <c r="C5110" s="12" t="inlineStr">
        <is>
          <t>Modular / portable power</t>
        </is>
      </c>
      <c r="D5110" s="12" t="inlineStr">
        <is>
          <t>Motor 6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LV|3/C+G|4</t>
        </is>
      </c>
      <c r="L5110" s="12" t="inlineStr">
        <is>
          <t>3/C+G</t>
        </is>
      </c>
      <c r="M5110" s="12" t="inlineStr">
        <is>
          <t>4</t>
        </is>
      </c>
      <c r="N5110" s="12" t="n">
        <v>1</v>
      </c>
      <c r="O5110" s="12" t="n">
        <v>1</v>
      </c>
      <c r="P5110" s="12" t="n">
        <v>480</v>
      </c>
      <c r="Q5110" s="12" t="n">
        <v>30</v>
      </c>
      <c r="R5110" s="12" t="n">
        <v>42.5</v>
      </c>
      <c r="S5110" s="12" t="inlineStr">
        <is>
          <t>Duct bank</t>
        </is>
      </c>
      <c r="T5110" s="15" t="n">
        <v>379</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I-P-0209</t>
        </is>
      </c>
      <c r="B5111" s="12" t="inlineStr">
        <is>
          <t>I</t>
        </is>
      </c>
      <c r="C5111" s="12" t="inlineStr">
        <is>
          <t>Modular / portable power</t>
        </is>
      </c>
      <c r="D5111" s="12" t="inlineStr">
        <is>
          <t>Motor 7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LV|3/C+G|4</t>
        </is>
      </c>
      <c r="L5111" s="12" t="inlineStr">
        <is>
          <t>3/C+G</t>
        </is>
      </c>
      <c r="M5111" s="12" t="inlineStr">
        <is>
          <t>4</t>
        </is>
      </c>
      <c r="N5111" s="12" t="n">
        <v>1</v>
      </c>
      <c r="O5111" s="12" t="n">
        <v>1</v>
      </c>
      <c r="P5111" s="12" t="n">
        <v>480</v>
      </c>
      <c r="Q5111" s="12" t="n">
        <v>30</v>
      </c>
      <c r="R5111" s="12" t="n">
        <v>42.5</v>
      </c>
      <c r="S5111" s="12" t="inlineStr">
        <is>
          <t>Duct bank</t>
        </is>
      </c>
      <c r="T5111" s="15" t="n">
        <v>379</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is>
          <t>VD 2.1 %</t>
        </is>
      </c>
      <c r="AA5111" s="12">
        <f>N5111*O5111</f>
        <v/>
      </c>
    </row>
    <row r="5112">
      <c r="A5112" s="12" t="inlineStr">
        <is>
          <t>I-P-0210</t>
        </is>
      </c>
      <c r="B5112" s="12" t="inlineStr">
        <is>
          <t>I</t>
        </is>
      </c>
      <c r="C5112" s="12" t="inlineStr">
        <is>
          <t>Modular / portable power</t>
        </is>
      </c>
      <c r="D5112" s="12" t="inlineStr">
        <is>
          <t>Motor 8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LV|3/C+G|4</t>
        </is>
      </c>
      <c r="L5112" s="12" t="inlineStr">
        <is>
          <t>3/C+G</t>
        </is>
      </c>
      <c r="M5112" s="12" t="inlineStr">
        <is>
          <t>4</t>
        </is>
      </c>
      <c r="N5112" s="12" t="n">
        <v>1</v>
      </c>
      <c r="O5112" s="12" t="n">
        <v>1</v>
      </c>
      <c r="P5112" s="12" t="n">
        <v>480</v>
      </c>
      <c r="Q5112" s="12" t="n">
        <v>30</v>
      </c>
      <c r="R5112" s="12" t="n">
        <v>42.5</v>
      </c>
      <c r="S5112" s="12" t="inlineStr">
        <is>
          <t>Duct bank</t>
        </is>
      </c>
      <c r="T5112" s="15" t="n">
        <v>379</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I-P-0211</t>
        </is>
      </c>
      <c r="B5113" s="12" t="inlineStr">
        <is>
          <t>I</t>
        </is>
      </c>
      <c r="C5113" s="12" t="inlineStr">
        <is>
          <t>Modular / portable power</t>
        </is>
      </c>
      <c r="D5113" s="12" t="inlineStr">
        <is>
          <t>Motor 9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LV|3/C+G|4</t>
        </is>
      </c>
      <c r="L5113" s="12" t="inlineStr">
        <is>
          <t>3/C+G</t>
        </is>
      </c>
      <c r="M5113" s="12" t="inlineStr">
        <is>
          <t>4</t>
        </is>
      </c>
      <c r="N5113" s="12" t="n">
        <v>1</v>
      </c>
      <c r="O5113" s="12" t="n">
        <v>1</v>
      </c>
      <c r="P5113" s="12" t="n">
        <v>480</v>
      </c>
      <c r="Q5113" s="12" t="n">
        <v>30</v>
      </c>
      <c r="R5113" s="12" t="n">
        <v>42.5</v>
      </c>
      <c r="S5113" s="12" t="inlineStr">
        <is>
          <t>Duct bank</t>
        </is>
      </c>
      <c r="T5113" s="15" t="n">
        <v>379</v>
      </c>
      <c r="U5113" s="15" t="n">
        <v>32</v>
      </c>
      <c r="V5113" s="15">
        <f>ROUNDUP((T5113+U5113+2*'Read Me'!$B$13)*(1+'Read Me'!$B$12),-1)</f>
        <v/>
      </c>
      <c r="W5113" s="15">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I-P-0212</t>
        </is>
      </c>
      <c r="B5114" s="12" t="inlineStr">
        <is>
          <t>I</t>
        </is>
      </c>
      <c r="C5114" s="12" t="inlineStr">
        <is>
          <t>Modular / portable power</t>
        </is>
      </c>
      <c r="D5114" s="12" t="inlineStr">
        <is>
          <t>Motor 10 of 10, 30 kW</t>
        </is>
      </c>
      <c r="E5114" s="12" t="inlineStr"/>
      <c r="F5114" s="12" t="inlineStr">
        <is>
          <t>MOD-LV 480 V board + 480 V : 13.8 kV step-up</t>
        </is>
      </c>
      <c r="G5114" s="12" t="inlineStr">
        <is>
          <t>SC-2</t>
        </is>
      </c>
      <c r="H5114" s="12" t="inlineStr">
        <is>
          <t>SC-2: aeroderivative simple-cycle unit (LM6000 class)</t>
        </is>
      </c>
      <c r="I5114" s="12" t="inlineStr">
        <is>
          <t>LV 600 V</t>
        </is>
      </c>
      <c r="J5114" s="12" t="inlineStr">
        <is>
          <t>Type TC-ER 600 V 3/C Cu XHHW-2 + ground, PVC jacket</t>
        </is>
      </c>
      <c r="K5114" s="12" t="inlineStr">
        <is>
          <t>LV|3/C+G|4</t>
        </is>
      </c>
      <c r="L5114" s="12" t="inlineStr">
        <is>
          <t>3/C+G</t>
        </is>
      </c>
      <c r="M5114" s="12" t="inlineStr">
        <is>
          <t>4</t>
        </is>
      </c>
      <c r="N5114" s="12" t="n">
        <v>1</v>
      </c>
      <c r="O5114" s="12" t="n">
        <v>1</v>
      </c>
      <c r="P5114" s="12" t="n">
        <v>480</v>
      </c>
      <c r="Q5114" s="12" t="n">
        <v>30</v>
      </c>
      <c r="R5114" s="12" t="n">
        <v>42.5</v>
      </c>
      <c r="S5114" s="12" t="inlineStr">
        <is>
          <t>Duct bank</t>
        </is>
      </c>
      <c r="T5114" s="15" t="n">
        <v>379</v>
      </c>
      <c r="U5114" s="15" t="n">
        <v>32</v>
      </c>
      <c r="V5114" s="15">
        <f>ROUNDUP((T5114+U5114+2*'Read Me'!$B$13)*(1+'Read Me'!$B$12),-1)</f>
        <v/>
      </c>
      <c r="W5114" s="15">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I-P-0213</t>
        </is>
      </c>
      <c r="B5115" s="12" t="inlineStr">
        <is>
          <t>I</t>
        </is>
      </c>
      <c r="C5115" s="12" t="inlineStr">
        <is>
          <t>Modular / portable power</t>
        </is>
      </c>
      <c r="D5115" s="12" t="inlineStr">
        <is>
          <t>Motor 1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5" t="n">
        <v>346</v>
      </c>
      <c r="U5115" s="15" t="n">
        <v>146</v>
      </c>
      <c r="V5115" s="15">
        <f>ROUNDUP((T5115+U5115+2*'Read Me'!$B$13)*(1+'Read Me'!$B$12),-1)</f>
        <v/>
      </c>
      <c r="W5115" s="15">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2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5" t="n">
        <v>346</v>
      </c>
      <c r="U5116" s="15" t="n">
        <v>146</v>
      </c>
      <c r="V5116" s="15">
        <f>ROUNDUP((T5116+U5116+2*'Read Me'!$B$13)*(1+'Read Me'!$B$12),-1)</f>
        <v/>
      </c>
      <c r="W5116" s="15">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3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5" t="n">
        <v>346</v>
      </c>
      <c r="U5117" s="15" t="n">
        <v>146</v>
      </c>
      <c r="V5117" s="15">
        <f>ROUNDUP((T5117+U5117+2*'Read Me'!$B$13)*(1+'Read Me'!$B$12),-1)</f>
        <v/>
      </c>
      <c r="W5117" s="15">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4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5" t="n">
        <v>346</v>
      </c>
      <c r="U5118" s="15" t="n">
        <v>146</v>
      </c>
      <c r="V5118" s="15">
        <f>ROUNDUP((T5118+U5118+2*'Read Me'!$B$13)*(1+'Read Me'!$B$12),-1)</f>
        <v/>
      </c>
      <c r="W5118" s="15">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5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5" t="n">
        <v>346</v>
      </c>
      <c r="U5119" s="15" t="n">
        <v>146</v>
      </c>
      <c r="V5119" s="15">
        <f>ROUNDUP((T5119+U5119+2*'Read Me'!$B$13)*(1+'Read Me'!$B$12),-1)</f>
        <v/>
      </c>
      <c r="W5119" s="15">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6 of 6, 2 kW</t>
        </is>
      </c>
      <c r="E5120" s="12" t="inlineStr"/>
      <c r="F5120" s="12" t="inlineStr">
        <is>
          <t>MOD-LV 480 V board + 480 V : 13.8 kV step-up</t>
        </is>
      </c>
      <c r="G5120" s="12" t="inlineStr"/>
      <c r="H5120" s="12" t="inlineStr">
        <is>
          <t>T-MOD 230 kV take-off gantry with arresters</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5" t="n">
        <v>346</v>
      </c>
      <c r="U5120" s="15" t="n">
        <v>146</v>
      </c>
      <c r="V5120" s="15">
        <f>ROUNDUP((T5120+U5120+2*'Read Me'!$B$13)*(1+'Read Me'!$B$12),-1)</f>
        <v/>
      </c>
      <c r="W5120" s="15">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1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5" t="n">
        <v>306</v>
      </c>
      <c r="U5121" s="15" t="n">
        <v>171</v>
      </c>
      <c r="V5121" s="15">
        <f>ROUNDUP((T5121+U5121+2*'Read Me'!$B$13)*(1+'Read Me'!$B$12),-1)</f>
        <v/>
      </c>
      <c r="W5121" s="15">
        <f>V5121*N5121*O5121</f>
        <v/>
      </c>
      <c r="X5121" s="12">
        <f>IF(LEFT(I5121,2)="MV",2*N5121*IF(L5121="1/C",O5121,1),0)</f>
        <v/>
      </c>
      <c r="Y5121" s="12">
        <f>IF(OR(LEFT(K5121,4)="LVAX",LEFT(K5121,6)="MV15AX",LEFT(K5121,4)="CTAX",LEFT(K5121,2)="W|"),2*N5121*O5121,0)</f>
        <v/>
      </c>
      <c r="Z5121" s="12" t="inlineStr">
        <is>
          <t>VD 0.6 %</t>
        </is>
      </c>
      <c r="AA5121" s="12">
        <f>N5121*O5121</f>
        <v/>
      </c>
    </row>
    <row r="5122">
      <c r="A5122" s="12" t="inlineStr">
        <is>
          <t>I-P-0220</t>
        </is>
      </c>
      <c r="B5122" s="12" t="inlineStr">
        <is>
          <t>I</t>
        </is>
      </c>
      <c r="C5122" s="12" t="inlineStr">
        <is>
          <t>Modular / portable power</t>
        </is>
      </c>
      <c r="D5122" s="12" t="inlineStr">
        <is>
          <t>Motor 2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5" t="n">
        <v>306</v>
      </c>
      <c r="U5122" s="15" t="n">
        <v>171</v>
      </c>
      <c r="V5122" s="15">
        <f>ROUNDUP((T5122+U5122+2*'Read Me'!$B$13)*(1+'Read Me'!$B$12),-1)</f>
        <v/>
      </c>
      <c r="W5122" s="15">
        <f>V5122*N5122*O5122</f>
        <v/>
      </c>
      <c r="X5122" s="12">
        <f>IF(LEFT(I5122,2)="MV",2*N5122*IF(L5122="1/C",O5122,1),0)</f>
        <v/>
      </c>
      <c r="Y5122" s="12">
        <f>IF(OR(LEFT(K5122,4)="LVAX",LEFT(K5122,6)="MV15AX",LEFT(K5122,4)="CTAX",LEFT(K5122,2)="W|"),2*N5122*O5122,0)</f>
        <v/>
      </c>
      <c r="Z5122" s="12" t="inlineStr">
        <is>
          <t>VD 0.6 %</t>
        </is>
      </c>
      <c r="AA5122" s="12">
        <f>N5122*O5122</f>
        <v/>
      </c>
    </row>
    <row r="5123">
      <c r="A5123" s="12" t="inlineStr">
        <is>
          <t>I-P-0221</t>
        </is>
      </c>
      <c r="B5123" s="12" t="inlineStr">
        <is>
          <t>I</t>
        </is>
      </c>
      <c r="C5123" s="12" t="inlineStr">
        <is>
          <t>Modular / portable power</t>
        </is>
      </c>
      <c r="D5123" s="12" t="inlineStr">
        <is>
          <t>Motor 3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5" t="n">
        <v>306</v>
      </c>
      <c r="U5123" s="15" t="n">
        <v>171</v>
      </c>
      <c r="V5123" s="15">
        <f>ROUNDUP((T5123+U5123+2*'Read Me'!$B$13)*(1+'Read Me'!$B$12),-1)</f>
        <v/>
      </c>
      <c r="W5123" s="15">
        <f>V5123*N5123*O5123</f>
        <v/>
      </c>
      <c r="X5123" s="12">
        <f>IF(LEFT(I5123,2)="MV",2*N5123*IF(L5123="1/C",O5123,1),0)</f>
        <v/>
      </c>
      <c r="Y5123" s="12">
        <f>IF(OR(LEFT(K5123,4)="LVAX",LEFT(K5123,6)="MV15AX",LEFT(K5123,4)="CTAX",LEFT(K5123,2)="W|"),2*N5123*O5123,0)</f>
        <v/>
      </c>
      <c r="Z5123" s="12" t="inlineStr">
        <is>
          <t>VD 0.6 %</t>
        </is>
      </c>
      <c r="AA5123" s="12">
        <f>N5123*O5123</f>
        <v/>
      </c>
    </row>
    <row r="5124">
      <c r="A5124" s="12" t="inlineStr">
        <is>
          <t>I-P-0222</t>
        </is>
      </c>
      <c r="B5124" s="12" t="inlineStr">
        <is>
          <t>I</t>
        </is>
      </c>
      <c r="C5124" s="12" t="inlineStr">
        <is>
          <t>Modular / portable power</t>
        </is>
      </c>
      <c r="D5124" s="12" t="inlineStr">
        <is>
          <t>Motor 4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5" t="n">
        <v>306</v>
      </c>
      <c r="U5124" s="15" t="n">
        <v>171</v>
      </c>
      <c r="V5124" s="15">
        <f>ROUNDUP((T5124+U5124+2*'Read Me'!$B$13)*(1+'Read Me'!$B$12),-1)</f>
        <v/>
      </c>
      <c r="W5124" s="15">
        <f>V5124*N5124*O5124</f>
        <v/>
      </c>
      <c r="X5124" s="12">
        <f>IF(LEFT(I5124,2)="MV",2*N5124*IF(L5124="1/C",O5124,1),0)</f>
        <v/>
      </c>
      <c r="Y5124" s="12">
        <f>IF(OR(LEFT(K5124,4)="LVAX",LEFT(K5124,6)="MV15AX",LEFT(K5124,4)="CTAX",LEFT(K5124,2)="W|"),2*N5124*O5124,0)</f>
        <v/>
      </c>
      <c r="Z5124" s="12" t="inlineStr">
        <is>
          <t>VD 0.6 %</t>
        </is>
      </c>
      <c r="AA5124" s="12">
        <f>N5124*O5124</f>
        <v/>
      </c>
    </row>
    <row r="5125">
      <c r="A5125" s="12" t="inlineStr">
        <is>
          <t>I-P-0223</t>
        </is>
      </c>
      <c r="B5125" s="12" t="inlineStr">
        <is>
          <t>I</t>
        </is>
      </c>
      <c r="C5125" s="12" t="inlineStr">
        <is>
          <t>Modular / portable power</t>
        </is>
      </c>
      <c r="D5125" s="12" t="inlineStr">
        <is>
          <t>Motor 5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5" t="n">
        <v>306</v>
      </c>
      <c r="U5125" s="15" t="n">
        <v>171</v>
      </c>
      <c r="V5125" s="15">
        <f>ROUNDUP((T5125+U5125+2*'Read Me'!$B$13)*(1+'Read Me'!$B$12),-1)</f>
        <v/>
      </c>
      <c r="W5125" s="15">
        <f>V5125*N5125*O5125</f>
        <v/>
      </c>
      <c r="X5125" s="12">
        <f>IF(LEFT(I5125,2)="MV",2*N5125*IF(L5125="1/C",O5125,1),0)</f>
        <v/>
      </c>
      <c r="Y5125" s="12">
        <f>IF(OR(LEFT(K5125,4)="LVAX",LEFT(K5125,6)="MV15AX",LEFT(K5125,4)="CTAX",LEFT(K5125,2)="W|"),2*N5125*O5125,0)</f>
        <v/>
      </c>
      <c r="Z5125" s="12" t="inlineStr">
        <is>
          <t>VD 0.6 %</t>
        </is>
      </c>
      <c r="AA5125" s="12">
        <f>N5125*O5125</f>
        <v/>
      </c>
    </row>
    <row r="5126">
      <c r="A5126" s="12" t="inlineStr">
        <is>
          <t>I-P-0224</t>
        </is>
      </c>
      <c r="B5126" s="12" t="inlineStr">
        <is>
          <t>I</t>
        </is>
      </c>
      <c r="C5126" s="12" t="inlineStr">
        <is>
          <t>Modular / portable power</t>
        </is>
      </c>
      <c r="D5126" s="12" t="inlineStr">
        <is>
          <t>Motor 6 of 6, 2 kW</t>
        </is>
      </c>
      <c r="E5126" s="12" t="inlineStr"/>
      <c r="F5126" s="12" t="inlineStr">
        <is>
          <t>MOD-LV 480 V board + 480 V : 13.8 kV step-up</t>
        </is>
      </c>
      <c r="G5126" s="12" t="inlineStr"/>
      <c r="H5126" s="12" t="inlineStr">
        <is>
          <t>T-MOD-1 / T-MOD-2 firewall</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5" t="n">
        <v>306</v>
      </c>
      <c r="U5126" s="15" t="n">
        <v>171</v>
      </c>
      <c r="V5126" s="15">
        <f>ROUNDUP((T5126+U5126+2*'Read Me'!$B$13)*(1+'Read Me'!$B$12),-1)</f>
        <v/>
      </c>
      <c r="W5126" s="15">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1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5" t="n">
        <v>306</v>
      </c>
      <c r="U5127" s="15" t="n">
        <v>127</v>
      </c>
      <c r="V5127" s="15">
        <f>ROUNDUP((T5127+U5127+2*'Read Me'!$B$13)*(1+'Read Me'!$B$12),-1)</f>
        <v/>
      </c>
      <c r="W5127" s="15">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2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5" t="n">
        <v>306</v>
      </c>
      <c r="U5128" s="15" t="n">
        <v>127</v>
      </c>
      <c r="V5128" s="15">
        <f>ROUNDUP((T5128+U5128+2*'Read Me'!$B$13)*(1+'Read Me'!$B$12),-1)</f>
        <v/>
      </c>
      <c r="W5128" s="15">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3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5" t="n">
        <v>306</v>
      </c>
      <c r="U5129" s="15" t="n">
        <v>127</v>
      </c>
      <c r="V5129" s="15">
        <f>ROUNDUP((T5129+U5129+2*'Read Me'!$B$13)*(1+'Read Me'!$B$12),-1)</f>
        <v/>
      </c>
      <c r="W5129" s="15">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4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5" t="n">
        <v>306</v>
      </c>
      <c r="U5130" s="15" t="n">
        <v>127</v>
      </c>
      <c r="V5130" s="15">
        <f>ROUNDUP((T5130+U5130+2*'Read Me'!$B$13)*(1+'Read Me'!$B$12),-1)</f>
        <v/>
      </c>
      <c r="W5130" s="15">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5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5" t="n">
        <v>306</v>
      </c>
      <c r="U5131" s="15" t="n">
        <v>127</v>
      </c>
      <c r="V5131" s="15">
        <f>ROUNDUP((T5131+U5131+2*'Read Me'!$B$13)*(1+'Read Me'!$B$12),-1)</f>
        <v/>
      </c>
      <c r="W5131" s="15">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6 of 6, 2 kW</t>
        </is>
      </c>
      <c r="E5132" s="12" t="inlineStr"/>
      <c r="F5132" s="12" t="inlineStr">
        <is>
          <t>MOD-LV 480 V board + 480 V : 13.8 kV step-up</t>
        </is>
      </c>
      <c r="G5132" s="12" t="inlineStr">
        <is>
          <t>T-MOD-1</t>
        </is>
      </c>
      <c r="H5132" s="12" t="inlineStr">
        <is>
          <t>T-MOD-1: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Duct bank</t>
        </is>
      </c>
      <c r="T5132" s="15" t="n">
        <v>306</v>
      </c>
      <c r="U5132" s="15" t="n">
        <v>127</v>
      </c>
      <c r="V5132" s="15">
        <f>ROUNDUP((T5132+U5132+2*'Read Me'!$B$13)*(1+'Read Me'!$B$12),-1)</f>
        <v/>
      </c>
      <c r="W5132" s="15">
        <f>V5132*N5132*O5132</f>
        <v/>
      </c>
      <c r="X5132" s="12">
        <f>IF(LEFT(I5132,2)="MV",2*N5132*IF(L5132="1/C",O5132,1),0)</f>
        <v/>
      </c>
      <c r="Y5132" s="12">
        <f>IF(OR(LEFT(K5132,4)="LVAX",LEFT(K5132,6)="MV15AX",LEFT(K5132,4)="CTAX",LEFT(K5132,2)="W|"),2*N5132*O5132,0)</f>
        <v/>
      </c>
      <c r="Z5132" s="12" t="inlineStr">
        <is>
          <t>VD 0.6 %</t>
        </is>
      </c>
      <c r="AA5132" s="12">
        <f>N5132*O5132</f>
        <v/>
      </c>
    </row>
    <row r="5133">
      <c r="A5133" s="12" t="inlineStr">
        <is>
          <t>I-P-0231</t>
        </is>
      </c>
      <c r="B5133" s="12" t="inlineStr">
        <is>
          <t>I</t>
        </is>
      </c>
      <c r="C5133" s="12" t="inlineStr">
        <is>
          <t>Modular / portable power</t>
        </is>
      </c>
      <c r="D5133" s="12" t="inlineStr">
        <is>
          <t>Motor 1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Duct bank</t>
        </is>
      </c>
      <c r="T5133" s="15" t="n">
        <v>161</v>
      </c>
      <c r="U5133" s="15" t="n">
        <v>150</v>
      </c>
      <c r="V5133" s="15">
        <f>ROUNDUP((T5133+U5133+2*'Read Me'!$B$13)*(1+'Read Me'!$B$12),-1)</f>
        <v/>
      </c>
      <c r="W5133" s="15">
        <f>V5133*N5133*O5133</f>
        <v/>
      </c>
      <c r="X5133" s="12">
        <f>IF(LEFT(I5133,2)="MV",2*N5133*IF(L5133="1/C",O5133,1),0)</f>
        <v/>
      </c>
      <c r="Y5133" s="12">
        <f>IF(OR(LEFT(K5133,4)="LVAX",LEFT(K5133,6)="MV15AX",LEFT(K5133,4)="CTAX",LEFT(K5133,2)="W|"),2*N5133*O5133,0)</f>
        <v/>
      </c>
      <c r="Z5133" s="12" t="inlineStr">
        <is>
          <t>VD 0.4 %</t>
        </is>
      </c>
      <c r="AA5133" s="12">
        <f>N5133*O5133</f>
        <v/>
      </c>
    </row>
    <row r="5134">
      <c r="A5134" s="12" t="inlineStr">
        <is>
          <t>I-P-0232</t>
        </is>
      </c>
      <c r="B5134" s="12" t="inlineStr">
        <is>
          <t>I</t>
        </is>
      </c>
      <c r="C5134" s="12" t="inlineStr">
        <is>
          <t>Modular / portable power</t>
        </is>
      </c>
      <c r="D5134" s="12" t="inlineStr">
        <is>
          <t>Motor 2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Duct bank</t>
        </is>
      </c>
      <c r="T5134" s="15" t="n">
        <v>161</v>
      </c>
      <c r="U5134" s="15" t="n">
        <v>150</v>
      </c>
      <c r="V5134" s="15">
        <f>ROUNDUP((T5134+U5134+2*'Read Me'!$B$13)*(1+'Read Me'!$B$12),-1)</f>
        <v/>
      </c>
      <c r="W5134" s="15">
        <f>V5134*N5134*O5134</f>
        <v/>
      </c>
      <c r="X5134" s="12">
        <f>IF(LEFT(I5134,2)="MV",2*N5134*IF(L5134="1/C",O5134,1),0)</f>
        <v/>
      </c>
      <c r="Y5134" s="12">
        <f>IF(OR(LEFT(K5134,4)="LVAX",LEFT(K5134,6)="MV15AX",LEFT(K5134,4)="CTAX",LEFT(K5134,2)="W|"),2*N5134*O5134,0)</f>
        <v/>
      </c>
      <c r="Z5134" s="12" t="inlineStr">
        <is>
          <t>VD 0.4 %</t>
        </is>
      </c>
      <c r="AA5134" s="12">
        <f>N5134*O5134</f>
        <v/>
      </c>
    </row>
    <row r="5135">
      <c r="A5135" s="12" t="inlineStr">
        <is>
          <t>I-P-0233</t>
        </is>
      </c>
      <c r="B5135" s="12" t="inlineStr">
        <is>
          <t>I</t>
        </is>
      </c>
      <c r="C5135" s="12" t="inlineStr">
        <is>
          <t>Modular / portable power</t>
        </is>
      </c>
      <c r="D5135" s="12" t="inlineStr">
        <is>
          <t>Motor 3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Duct bank</t>
        </is>
      </c>
      <c r="T5135" s="15" t="n">
        <v>161</v>
      </c>
      <c r="U5135" s="15" t="n">
        <v>150</v>
      </c>
      <c r="V5135" s="15">
        <f>ROUNDUP((T5135+U5135+2*'Read Me'!$B$13)*(1+'Read Me'!$B$12),-1)</f>
        <v/>
      </c>
      <c r="W5135" s="15">
        <f>V5135*N5135*O5135</f>
        <v/>
      </c>
      <c r="X5135" s="12">
        <f>IF(LEFT(I5135,2)="MV",2*N5135*IF(L5135="1/C",O5135,1),0)</f>
        <v/>
      </c>
      <c r="Y5135" s="12">
        <f>IF(OR(LEFT(K5135,4)="LVAX",LEFT(K5135,6)="MV15AX",LEFT(K5135,4)="CTAX",LEFT(K5135,2)="W|"),2*N5135*O5135,0)</f>
        <v/>
      </c>
      <c r="Z5135" s="12" t="inlineStr">
        <is>
          <t>VD 0.4 %</t>
        </is>
      </c>
      <c r="AA5135" s="12">
        <f>N5135*O5135</f>
        <v/>
      </c>
    </row>
    <row r="5136">
      <c r="A5136" s="12" t="inlineStr">
        <is>
          <t>I-P-0234</t>
        </is>
      </c>
      <c r="B5136" s="12" t="inlineStr">
        <is>
          <t>I</t>
        </is>
      </c>
      <c r="C5136" s="12" t="inlineStr">
        <is>
          <t>Modular / portable power</t>
        </is>
      </c>
      <c r="D5136" s="12" t="inlineStr">
        <is>
          <t>Motor 4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Duct bank</t>
        </is>
      </c>
      <c r="T5136" s="15" t="n">
        <v>161</v>
      </c>
      <c r="U5136" s="15" t="n">
        <v>150</v>
      </c>
      <c r="V5136" s="15">
        <f>ROUNDUP((T5136+U5136+2*'Read Me'!$B$13)*(1+'Read Me'!$B$12),-1)</f>
        <v/>
      </c>
      <c r="W5136" s="15">
        <f>V5136*N5136*O5136</f>
        <v/>
      </c>
      <c r="X5136" s="12">
        <f>IF(LEFT(I5136,2)="MV",2*N5136*IF(L5136="1/C",O5136,1),0)</f>
        <v/>
      </c>
      <c r="Y5136" s="12">
        <f>IF(OR(LEFT(K5136,4)="LVAX",LEFT(K5136,6)="MV15AX",LEFT(K5136,4)="CTAX",LEFT(K5136,2)="W|"),2*N5136*O5136,0)</f>
        <v/>
      </c>
      <c r="Z5136" s="12" t="inlineStr">
        <is>
          <t>VD 0.4 %</t>
        </is>
      </c>
      <c r="AA5136" s="12">
        <f>N5136*O5136</f>
        <v/>
      </c>
    </row>
    <row r="5137">
      <c r="A5137" s="12" t="inlineStr">
        <is>
          <t>I-P-0235</t>
        </is>
      </c>
      <c r="B5137" s="12" t="inlineStr">
        <is>
          <t>I</t>
        </is>
      </c>
      <c r="C5137" s="12" t="inlineStr">
        <is>
          <t>Modular / portable power</t>
        </is>
      </c>
      <c r="D5137" s="12" t="inlineStr">
        <is>
          <t>Motor 5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Duct bank</t>
        </is>
      </c>
      <c r="T5137" s="15" t="n">
        <v>161</v>
      </c>
      <c r="U5137" s="15" t="n">
        <v>150</v>
      </c>
      <c r="V5137" s="15">
        <f>ROUNDUP((T5137+U5137+2*'Read Me'!$B$13)*(1+'Read Me'!$B$12),-1)</f>
        <v/>
      </c>
      <c r="W5137" s="15">
        <f>V5137*N5137*O5137</f>
        <v/>
      </c>
      <c r="X5137" s="12">
        <f>IF(LEFT(I5137,2)="MV",2*N5137*IF(L5137="1/C",O5137,1),0)</f>
        <v/>
      </c>
      <c r="Y5137" s="12">
        <f>IF(OR(LEFT(K5137,4)="LVAX",LEFT(K5137,6)="MV15AX",LEFT(K5137,4)="CTAX",LEFT(K5137,2)="W|"),2*N5137*O5137,0)</f>
        <v/>
      </c>
      <c r="Z5137" s="12" t="inlineStr">
        <is>
          <t>VD 0.4 %</t>
        </is>
      </c>
      <c r="AA5137" s="12">
        <f>N5137*O5137</f>
        <v/>
      </c>
    </row>
    <row r="5138">
      <c r="A5138" s="12" t="inlineStr">
        <is>
          <t>I-P-0236</t>
        </is>
      </c>
      <c r="B5138" s="12" t="inlineStr">
        <is>
          <t>I</t>
        </is>
      </c>
      <c r="C5138" s="12" t="inlineStr">
        <is>
          <t>Modular / portable power</t>
        </is>
      </c>
      <c r="D5138" s="12" t="inlineStr">
        <is>
          <t>Motor 6 of 6, 2 kW</t>
        </is>
      </c>
      <c r="E5138" s="12" t="inlineStr"/>
      <c r="F5138" s="12" t="inlineStr">
        <is>
          <t>MOD-LV 480 V board + 480 V : 13.8 kV step-up</t>
        </is>
      </c>
      <c r="G5138" s="12" t="inlineStr">
        <is>
          <t>T-MOD-2</t>
        </is>
      </c>
      <c r="H5138" s="12" t="inlineStr">
        <is>
          <t>T-MOD-2: 13.8/230 kV</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2</v>
      </c>
      <c r="R5138" s="12" t="n">
        <v>2.8</v>
      </c>
      <c r="S5138" s="12" t="inlineStr">
        <is>
          <t>Duct bank</t>
        </is>
      </c>
      <c r="T5138" s="15" t="n">
        <v>161</v>
      </c>
      <c r="U5138" s="15" t="n">
        <v>150</v>
      </c>
      <c r="V5138" s="15">
        <f>ROUNDUP((T5138+U5138+2*'Read Me'!$B$13)*(1+'Read Me'!$B$12),-1)</f>
        <v/>
      </c>
      <c r="W5138" s="15">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I-P-0237</t>
        </is>
      </c>
      <c r="B5139" s="12" t="inlineStr">
        <is>
          <t>I</t>
        </is>
      </c>
      <c r="C5139" s="12" t="inlineStr">
        <is>
          <t>Modular / portable power</t>
        </is>
      </c>
      <c r="D5139" s="12" t="inlineStr">
        <is>
          <t>Motor 1 of 6, 22 kW</t>
        </is>
      </c>
      <c r="E5139" s="12" t="inlineStr">
        <is>
          <t>PAD-LV</t>
        </is>
      </c>
      <c r="F5139" s="12" t="inlineStr">
        <is>
          <t>PAD-LV 480 V paralleling switchboard</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22</v>
      </c>
      <c r="R5139" s="12" t="n">
        <v>31.1</v>
      </c>
      <c r="S5139" s="12" t="inlineStr">
        <is>
          <t>Surface</t>
        </is>
      </c>
      <c r="T5139" s="15" t="n">
        <v>132</v>
      </c>
      <c r="U5139" s="15" t="n">
        <v>61</v>
      </c>
      <c r="V5139" s="15">
        <f>ROUNDUP((T5139+U5139+2*'Read Me'!$B$13)*(1+'Read Me'!$B$12),-1)</f>
        <v/>
      </c>
      <c r="W5139" s="15">
        <f>V5139*N5139*O5139</f>
        <v/>
      </c>
      <c r="X5139" s="12">
        <f>IF(LEFT(I5139,2)="MV",2*N5139*IF(L5139="1/C",O5139,1),0)</f>
        <v/>
      </c>
      <c r="Y5139" s="12">
        <f>IF(OR(LEFT(K5139,4)="LVAX",LEFT(K5139,6)="MV15AX",LEFT(K5139,4)="CTAX",LEFT(K5139,2)="W|"),2*N5139*O5139,0)</f>
        <v/>
      </c>
      <c r="Z5139" s="12" t="inlineStr">
        <is>
          <t>VD 1.8 %</t>
        </is>
      </c>
      <c r="AA5139" s="12">
        <f>N5139*O5139</f>
        <v/>
      </c>
    </row>
    <row r="5140">
      <c r="A5140" s="12" t="inlineStr">
        <is>
          <t>I-P-0238</t>
        </is>
      </c>
      <c r="B5140" s="12" t="inlineStr">
        <is>
          <t>I</t>
        </is>
      </c>
      <c r="C5140" s="12" t="inlineStr">
        <is>
          <t>Modular / portable power</t>
        </is>
      </c>
      <c r="D5140" s="12" t="inlineStr">
        <is>
          <t>Motor 2 of 6, 22 kW</t>
        </is>
      </c>
      <c r="E5140" s="12" t="inlineStr">
        <is>
          <t>PAD-LV</t>
        </is>
      </c>
      <c r="F5140" s="12" t="inlineStr">
        <is>
          <t>PAD-LV 480 V paralleling switchboard</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LV|3/C+G|8</t>
        </is>
      </c>
      <c r="L5140" s="12" t="inlineStr">
        <is>
          <t>3/C+G</t>
        </is>
      </c>
      <c r="M5140" s="12" t="inlineStr">
        <is>
          <t>8</t>
        </is>
      </c>
      <c r="N5140" s="12" t="n">
        <v>1</v>
      </c>
      <c r="O5140" s="12" t="n">
        <v>1</v>
      </c>
      <c r="P5140" s="12" t="n">
        <v>480</v>
      </c>
      <c r="Q5140" s="12" t="n">
        <v>22</v>
      </c>
      <c r="R5140" s="12" t="n">
        <v>31.1</v>
      </c>
      <c r="S5140" s="12" t="inlineStr">
        <is>
          <t>Surface</t>
        </is>
      </c>
      <c r="T5140" s="15" t="n">
        <v>132</v>
      </c>
      <c r="U5140" s="15" t="n">
        <v>61</v>
      </c>
      <c r="V5140" s="15">
        <f>ROUNDUP((T5140+U5140+2*'Read Me'!$B$13)*(1+'Read Me'!$B$12),-1)</f>
        <v/>
      </c>
      <c r="W5140" s="15">
        <f>V5140*N5140*O5140</f>
        <v/>
      </c>
      <c r="X5140" s="12">
        <f>IF(LEFT(I5140,2)="MV",2*N5140*IF(L5140="1/C",O5140,1),0)</f>
        <v/>
      </c>
      <c r="Y5140" s="12">
        <f>IF(OR(LEFT(K5140,4)="LVAX",LEFT(K5140,6)="MV15AX",LEFT(K5140,4)="CTAX",LEFT(K5140,2)="W|"),2*N5140*O5140,0)</f>
        <v/>
      </c>
      <c r="Z5140" s="12" t="inlineStr">
        <is>
          <t>VD 1.8 %</t>
        </is>
      </c>
      <c r="AA5140" s="12">
        <f>N5140*O5140</f>
        <v/>
      </c>
    </row>
    <row r="5141">
      <c r="A5141" s="12" t="inlineStr">
        <is>
          <t>I-P-0239</t>
        </is>
      </c>
      <c r="B5141" s="12" t="inlineStr">
        <is>
          <t>I</t>
        </is>
      </c>
      <c r="C5141" s="12" t="inlineStr">
        <is>
          <t>Modular / portable power</t>
        </is>
      </c>
      <c r="D5141" s="12" t="inlineStr">
        <is>
          <t>Motor 3 of 6, 22 kW</t>
        </is>
      </c>
      <c r="E5141" s="12" t="inlineStr">
        <is>
          <t>PAD-LV</t>
        </is>
      </c>
      <c r="F5141" s="12" t="inlineStr">
        <is>
          <t>PAD-LV 480 V paralleling switchboard</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LV|3/C+G|8</t>
        </is>
      </c>
      <c r="L5141" s="12" t="inlineStr">
        <is>
          <t>3/C+G</t>
        </is>
      </c>
      <c r="M5141" s="12" t="inlineStr">
        <is>
          <t>8</t>
        </is>
      </c>
      <c r="N5141" s="12" t="n">
        <v>1</v>
      </c>
      <c r="O5141" s="12" t="n">
        <v>1</v>
      </c>
      <c r="P5141" s="12" t="n">
        <v>480</v>
      </c>
      <c r="Q5141" s="12" t="n">
        <v>22</v>
      </c>
      <c r="R5141" s="12" t="n">
        <v>31.1</v>
      </c>
      <c r="S5141" s="12" t="inlineStr">
        <is>
          <t>Surface</t>
        </is>
      </c>
      <c r="T5141" s="15" t="n">
        <v>132</v>
      </c>
      <c r="U5141" s="15" t="n">
        <v>61</v>
      </c>
      <c r="V5141" s="15">
        <f>ROUNDUP((T5141+U5141+2*'Read Me'!$B$13)*(1+'Read Me'!$B$12),-1)</f>
        <v/>
      </c>
      <c r="W5141" s="15">
        <f>V5141*N5141*O5141</f>
        <v/>
      </c>
      <c r="X5141" s="12">
        <f>IF(LEFT(I5141,2)="MV",2*N5141*IF(L5141="1/C",O5141,1),0)</f>
        <v/>
      </c>
      <c r="Y5141" s="12">
        <f>IF(OR(LEFT(K5141,4)="LVAX",LEFT(K5141,6)="MV15AX",LEFT(K5141,4)="CTAX",LEFT(K5141,2)="W|"),2*N5141*O5141,0)</f>
        <v/>
      </c>
      <c r="Z5141" s="12" t="inlineStr">
        <is>
          <t>VD 1.8 %</t>
        </is>
      </c>
      <c r="AA5141" s="12">
        <f>N5141*O5141</f>
        <v/>
      </c>
    </row>
    <row r="5142">
      <c r="A5142" s="12" t="inlineStr">
        <is>
          <t>I-P-0240</t>
        </is>
      </c>
      <c r="B5142" s="12" t="inlineStr">
        <is>
          <t>I</t>
        </is>
      </c>
      <c r="C5142" s="12" t="inlineStr">
        <is>
          <t>Modular / portable power</t>
        </is>
      </c>
      <c r="D5142" s="12" t="inlineStr">
        <is>
          <t>Motor 4 of 6, 22 kW</t>
        </is>
      </c>
      <c r="E5142" s="12" t="inlineStr">
        <is>
          <t>PAD-LV</t>
        </is>
      </c>
      <c r="F5142" s="12" t="inlineStr">
        <is>
          <t>PAD-LV 480 V paralleling switchboard</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LV|3/C+G|8</t>
        </is>
      </c>
      <c r="L5142" s="12" t="inlineStr">
        <is>
          <t>3/C+G</t>
        </is>
      </c>
      <c r="M5142" s="12" t="inlineStr">
        <is>
          <t>8</t>
        </is>
      </c>
      <c r="N5142" s="12" t="n">
        <v>1</v>
      </c>
      <c r="O5142" s="12" t="n">
        <v>1</v>
      </c>
      <c r="P5142" s="12" t="n">
        <v>480</v>
      </c>
      <c r="Q5142" s="12" t="n">
        <v>22</v>
      </c>
      <c r="R5142" s="12" t="n">
        <v>31.1</v>
      </c>
      <c r="S5142" s="12" t="inlineStr">
        <is>
          <t>Surface</t>
        </is>
      </c>
      <c r="T5142" s="15" t="n">
        <v>132</v>
      </c>
      <c r="U5142" s="15" t="n">
        <v>61</v>
      </c>
      <c r="V5142" s="15">
        <f>ROUNDUP((T5142+U5142+2*'Read Me'!$B$13)*(1+'Read Me'!$B$12),-1)</f>
        <v/>
      </c>
      <c r="W5142" s="15">
        <f>V5142*N5142*O5142</f>
        <v/>
      </c>
      <c r="X5142" s="12">
        <f>IF(LEFT(I5142,2)="MV",2*N5142*IF(L5142="1/C",O5142,1),0)</f>
        <v/>
      </c>
      <c r="Y5142" s="12">
        <f>IF(OR(LEFT(K5142,4)="LVAX",LEFT(K5142,6)="MV15AX",LEFT(K5142,4)="CTAX",LEFT(K5142,2)="W|"),2*N5142*O5142,0)</f>
        <v/>
      </c>
      <c r="Z5142" s="12" t="inlineStr">
        <is>
          <t>VD 1.8 %</t>
        </is>
      </c>
      <c r="AA5142" s="12">
        <f>N5142*O5142</f>
        <v/>
      </c>
    </row>
    <row r="5143">
      <c r="A5143" s="12" t="inlineStr">
        <is>
          <t>I-P-0241</t>
        </is>
      </c>
      <c r="B5143" s="12" t="inlineStr">
        <is>
          <t>I</t>
        </is>
      </c>
      <c r="C5143" s="12" t="inlineStr">
        <is>
          <t>Modular / portable power</t>
        </is>
      </c>
      <c r="D5143" s="12" t="inlineStr">
        <is>
          <t>Motor 5 of 6, 22 kW</t>
        </is>
      </c>
      <c r="E5143" s="12" t="inlineStr">
        <is>
          <t>PAD-LV</t>
        </is>
      </c>
      <c r="F5143" s="12" t="inlineStr">
        <is>
          <t>PAD-LV 480 V paralleling switchboard</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LV|3/C+G|8</t>
        </is>
      </c>
      <c r="L5143" s="12" t="inlineStr">
        <is>
          <t>3/C+G</t>
        </is>
      </c>
      <c r="M5143" s="12" t="inlineStr">
        <is>
          <t>8</t>
        </is>
      </c>
      <c r="N5143" s="12" t="n">
        <v>1</v>
      </c>
      <c r="O5143" s="12" t="n">
        <v>1</v>
      </c>
      <c r="P5143" s="12" t="n">
        <v>480</v>
      </c>
      <c r="Q5143" s="12" t="n">
        <v>22</v>
      </c>
      <c r="R5143" s="12" t="n">
        <v>31.1</v>
      </c>
      <c r="S5143" s="12" t="inlineStr">
        <is>
          <t>Surface</t>
        </is>
      </c>
      <c r="T5143" s="15" t="n">
        <v>132</v>
      </c>
      <c r="U5143" s="15" t="n">
        <v>61</v>
      </c>
      <c r="V5143" s="15">
        <f>ROUNDUP((T5143+U5143+2*'Read Me'!$B$13)*(1+'Read Me'!$B$12),-1)</f>
        <v/>
      </c>
      <c r="W5143" s="15">
        <f>V5143*N5143*O5143</f>
        <v/>
      </c>
      <c r="X5143" s="12">
        <f>IF(LEFT(I5143,2)="MV",2*N5143*IF(L5143="1/C",O5143,1),0)</f>
        <v/>
      </c>
      <c r="Y5143" s="12">
        <f>IF(OR(LEFT(K5143,4)="LVAX",LEFT(K5143,6)="MV15AX",LEFT(K5143,4)="CTAX",LEFT(K5143,2)="W|"),2*N5143*O5143,0)</f>
        <v/>
      </c>
      <c r="Z5143" s="12" t="inlineStr">
        <is>
          <t>VD 1.8 %</t>
        </is>
      </c>
      <c r="AA5143" s="12">
        <f>N5143*O5143</f>
        <v/>
      </c>
    </row>
    <row r="5144">
      <c r="A5144" s="12" t="inlineStr">
        <is>
          <t>I-P-0242</t>
        </is>
      </c>
      <c r="B5144" s="12" t="inlineStr">
        <is>
          <t>I</t>
        </is>
      </c>
      <c r="C5144" s="12" t="inlineStr">
        <is>
          <t>Modular / portable power</t>
        </is>
      </c>
      <c r="D5144" s="12" t="inlineStr">
        <is>
          <t>Motor 6 of 6, 22 kW</t>
        </is>
      </c>
      <c r="E5144" s="12" t="inlineStr">
        <is>
          <t>PAD-LV</t>
        </is>
      </c>
      <c r="F5144" s="12" t="inlineStr">
        <is>
          <t>PAD-LV 480 V paralleling switchboard</t>
        </is>
      </c>
      <c r="G5144" s="12" t="inlineStr">
        <is>
          <t>TM-1</t>
        </is>
      </c>
      <c r="H5144" s="12" t="inlineStr">
        <is>
          <t>TM-1: trailer-mounted aeroderivative GT (TM2500 class, ~35 MW)</t>
        </is>
      </c>
      <c r="I5144" s="12" t="inlineStr">
        <is>
          <t>LV 600 V</t>
        </is>
      </c>
      <c r="J5144" s="12" t="inlineStr">
        <is>
          <t>Type TC-ER 600 V 3/C Cu XHHW-2 + ground, PVC jacket</t>
        </is>
      </c>
      <c r="K5144" s="12" t="inlineStr">
        <is>
          <t>LV|3/C+G|8</t>
        </is>
      </c>
      <c r="L5144" s="12" t="inlineStr">
        <is>
          <t>3/C+G</t>
        </is>
      </c>
      <c r="M5144" s="12" t="inlineStr">
        <is>
          <t>8</t>
        </is>
      </c>
      <c r="N5144" s="12" t="n">
        <v>1</v>
      </c>
      <c r="O5144" s="12" t="n">
        <v>1</v>
      </c>
      <c r="P5144" s="12" t="n">
        <v>480</v>
      </c>
      <c r="Q5144" s="12" t="n">
        <v>22</v>
      </c>
      <c r="R5144" s="12" t="n">
        <v>31.1</v>
      </c>
      <c r="S5144" s="12" t="inlineStr">
        <is>
          <t>Surface</t>
        </is>
      </c>
      <c r="T5144" s="15" t="n">
        <v>132</v>
      </c>
      <c r="U5144" s="15" t="n">
        <v>61</v>
      </c>
      <c r="V5144" s="15">
        <f>ROUNDUP((T5144+U5144+2*'Read Me'!$B$13)*(1+'Read Me'!$B$12),-1)</f>
        <v/>
      </c>
      <c r="W5144" s="15">
        <f>V5144*N5144*O5144</f>
        <v/>
      </c>
      <c r="X5144" s="12">
        <f>IF(LEFT(I5144,2)="MV",2*N5144*IF(L5144="1/C",O5144,1),0)</f>
        <v/>
      </c>
      <c r="Y5144" s="12">
        <f>IF(OR(LEFT(K5144,4)="LVAX",LEFT(K5144,6)="MV15AX",LEFT(K5144,4)="CTAX",LEFT(K5144,2)="W|"),2*N5144*O5144,0)</f>
        <v/>
      </c>
      <c r="Z5144" s="12" t="inlineStr">
        <is>
          <t>VD 1.8 %</t>
        </is>
      </c>
      <c r="AA5144" s="12">
        <f>N5144*O5144</f>
        <v/>
      </c>
    </row>
    <row r="5145">
      <c r="A5145" s="12" t="inlineStr">
        <is>
          <t>I-P-0243</t>
        </is>
      </c>
      <c r="B5145" s="12" t="inlineStr">
        <is>
          <t>I</t>
        </is>
      </c>
      <c r="C5145" s="12" t="inlineStr">
        <is>
          <t>Modular / portable power</t>
        </is>
      </c>
      <c r="D5145" s="12" t="inlineStr">
        <is>
          <t>Motor 1 of 6, 22 kW</t>
        </is>
      </c>
      <c r="E5145" s="12" t="inlineStr">
        <is>
          <t>PAD-LV</t>
        </is>
      </c>
      <c r="F5145" s="12" t="inlineStr">
        <is>
          <t>PAD-LV 480 V paralleling switchboard</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LV|3/C+G|8</t>
        </is>
      </c>
      <c r="L5145" s="12" t="inlineStr">
        <is>
          <t>3/C+G</t>
        </is>
      </c>
      <c r="M5145" s="12" t="inlineStr">
        <is>
          <t>8</t>
        </is>
      </c>
      <c r="N5145" s="12" t="n">
        <v>1</v>
      </c>
      <c r="O5145" s="12" t="n">
        <v>1</v>
      </c>
      <c r="P5145" s="12" t="n">
        <v>480</v>
      </c>
      <c r="Q5145" s="12" t="n">
        <v>22</v>
      </c>
      <c r="R5145" s="12" t="n">
        <v>31.1</v>
      </c>
      <c r="S5145" s="12" t="inlineStr">
        <is>
          <t>Conduit link</t>
        </is>
      </c>
      <c r="T5145" s="15" t="n">
        <v>63</v>
      </c>
      <c r="U5145" s="15" t="n">
        <v>27</v>
      </c>
      <c r="V5145" s="15">
        <f>ROUNDUP((T5145+U5145+2*'Read Me'!$B$13)*(1+'Read Me'!$B$12),-1)</f>
        <v/>
      </c>
      <c r="W5145" s="15">
        <f>V5145*N5145*O5145</f>
        <v/>
      </c>
      <c r="X5145" s="12">
        <f>IF(LEFT(I5145,2)="MV",2*N5145*IF(L5145="1/C",O5145,1),0)</f>
        <v/>
      </c>
      <c r="Y5145" s="12">
        <f>IF(OR(LEFT(K5145,4)="LVAX",LEFT(K5145,6)="MV15AX",LEFT(K5145,4)="CTAX",LEFT(K5145,2)="W|"),2*N5145*O5145,0)</f>
        <v/>
      </c>
      <c r="Z5145" s="12" t="inlineStr">
        <is>
          <t>VD 0.9 %</t>
        </is>
      </c>
      <c r="AA5145" s="12">
        <f>N5145*O5145</f>
        <v/>
      </c>
    </row>
    <row r="5146">
      <c r="A5146" s="12" t="inlineStr">
        <is>
          <t>I-P-0244</t>
        </is>
      </c>
      <c r="B5146" s="12" t="inlineStr">
        <is>
          <t>I</t>
        </is>
      </c>
      <c r="C5146" s="12" t="inlineStr">
        <is>
          <t>Modular / portable power</t>
        </is>
      </c>
      <c r="D5146" s="12" t="inlineStr">
        <is>
          <t>Motor 2 of 6, 22 kW</t>
        </is>
      </c>
      <c r="E5146" s="12" t="inlineStr">
        <is>
          <t>PAD-LV</t>
        </is>
      </c>
      <c r="F5146" s="12" t="inlineStr">
        <is>
          <t>PAD-LV 480 V paralleling switchboard</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LV|3/C+G|8</t>
        </is>
      </c>
      <c r="L5146" s="12" t="inlineStr">
        <is>
          <t>3/C+G</t>
        </is>
      </c>
      <c r="M5146" s="12" t="inlineStr">
        <is>
          <t>8</t>
        </is>
      </c>
      <c r="N5146" s="12" t="n">
        <v>1</v>
      </c>
      <c r="O5146" s="12" t="n">
        <v>1</v>
      </c>
      <c r="P5146" s="12" t="n">
        <v>480</v>
      </c>
      <c r="Q5146" s="12" t="n">
        <v>22</v>
      </c>
      <c r="R5146" s="12" t="n">
        <v>31.1</v>
      </c>
      <c r="S5146" s="12" t="inlineStr">
        <is>
          <t>Conduit link</t>
        </is>
      </c>
      <c r="T5146" s="15" t="n">
        <v>63</v>
      </c>
      <c r="U5146" s="15" t="n">
        <v>27</v>
      </c>
      <c r="V5146" s="15">
        <f>ROUNDUP((T5146+U5146+2*'Read Me'!$B$13)*(1+'Read Me'!$B$12),-1)</f>
        <v/>
      </c>
      <c r="W5146" s="15">
        <f>V5146*N5146*O5146</f>
        <v/>
      </c>
      <c r="X5146" s="12">
        <f>IF(LEFT(I5146,2)="MV",2*N5146*IF(L5146="1/C",O5146,1),0)</f>
        <v/>
      </c>
      <c r="Y5146" s="12">
        <f>IF(OR(LEFT(K5146,4)="LVAX",LEFT(K5146,6)="MV15AX",LEFT(K5146,4)="CTAX",LEFT(K5146,2)="W|"),2*N5146*O5146,0)</f>
        <v/>
      </c>
      <c r="Z5146" s="12" t="inlineStr">
        <is>
          <t>VD 0.9 %</t>
        </is>
      </c>
      <c r="AA5146" s="12">
        <f>N5146*O5146</f>
        <v/>
      </c>
    </row>
    <row r="5147">
      <c r="A5147" s="12" t="inlineStr">
        <is>
          <t>I-P-0245</t>
        </is>
      </c>
      <c r="B5147" s="12" t="inlineStr">
        <is>
          <t>I</t>
        </is>
      </c>
      <c r="C5147" s="12" t="inlineStr">
        <is>
          <t>Modular / portable power</t>
        </is>
      </c>
      <c r="D5147" s="12" t="inlineStr">
        <is>
          <t>Motor 3 of 6, 22 kW</t>
        </is>
      </c>
      <c r="E5147" s="12" t="inlineStr">
        <is>
          <t>PAD-LV</t>
        </is>
      </c>
      <c r="F5147" s="12" t="inlineStr">
        <is>
          <t>PAD-LV 480 V paralleling switchboard</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LV|3/C+G|8</t>
        </is>
      </c>
      <c r="L5147" s="12" t="inlineStr">
        <is>
          <t>3/C+G</t>
        </is>
      </c>
      <c r="M5147" s="12" t="inlineStr">
        <is>
          <t>8</t>
        </is>
      </c>
      <c r="N5147" s="12" t="n">
        <v>1</v>
      </c>
      <c r="O5147" s="12" t="n">
        <v>1</v>
      </c>
      <c r="P5147" s="12" t="n">
        <v>480</v>
      </c>
      <c r="Q5147" s="12" t="n">
        <v>22</v>
      </c>
      <c r="R5147" s="12" t="n">
        <v>31.1</v>
      </c>
      <c r="S5147" s="12" t="inlineStr">
        <is>
          <t>Conduit link</t>
        </is>
      </c>
      <c r="T5147" s="15" t="n">
        <v>63</v>
      </c>
      <c r="U5147" s="15" t="n">
        <v>27</v>
      </c>
      <c r="V5147" s="15">
        <f>ROUNDUP((T5147+U5147+2*'Read Me'!$B$13)*(1+'Read Me'!$B$12),-1)</f>
        <v/>
      </c>
      <c r="W5147" s="15">
        <f>V5147*N5147*O5147</f>
        <v/>
      </c>
      <c r="X5147" s="12">
        <f>IF(LEFT(I5147,2)="MV",2*N5147*IF(L5147="1/C",O5147,1),0)</f>
        <v/>
      </c>
      <c r="Y5147" s="12">
        <f>IF(OR(LEFT(K5147,4)="LVAX",LEFT(K5147,6)="MV15AX",LEFT(K5147,4)="CTAX",LEFT(K5147,2)="W|"),2*N5147*O5147,0)</f>
        <v/>
      </c>
      <c r="Z5147" s="12" t="inlineStr">
        <is>
          <t>VD 0.9 %</t>
        </is>
      </c>
      <c r="AA5147" s="12">
        <f>N5147*O5147</f>
        <v/>
      </c>
    </row>
    <row r="5148">
      <c r="A5148" s="12" t="inlineStr">
        <is>
          <t>I-P-0246</t>
        </is>
      </c>
      <c r="B5148" s="12" t="inlineStr">
        <is>
          <t>I</t>
        </is>
      </c>
      <c r="C5148" s="12" t="inlineStr">
        <is>
          <t>Modular / portable power</t>
        </is>
      </c>
      <c r="D5148" s="12" t="inlineStr">
        <is>
          <t>Motor 4 of 6, 22 kW</t>
        </is>
      </c>
      <c r="E5148" s="12" t="inlineStr">
        <is>
          <t>PAD-LV</t>
        </is>
      </c>
      <c r="F5148" s="12" t="inlineStr">
        <is>
          <t>PAD-LV 480 V paralleling switchboard</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LV|3/C+G|8</t>
        </is>
      </c>
      <c r="L5148" s="12" t="inlineStr">
        <is>
          <t>3/C+G</t>
        </is>
      </c>
      <c r="M5148" s="12" t="inlineStr">
        <is>
          <t>8</t>
        </is>
      </c>
      <c r="N5148" s="12" t="n">
        <v>1</v>
      </c>
      <c r="O5148" s="12" t="n">
        <v>1</v>
      </c>
      <c r="P5148" s="12" t="n">
        <v>480</v>
      </c>
      <c r="Q5148" s="12" t="n">
        <v>22</v>
      </c>
      <c r="R5148" s="12" t="n">
        <v>31.1</v>
      </c>
      <c r="S5148" s="12" t="inlineStr">
        <is>
          <t>Conduit link</t>
        </is>
      </c>
      <c r="T5148" s="15" t="n">
        <v>63</v>
      </c>
      <c r="U5148" s="15" t="n">
        <v>27</v>
      </c>
      <c r="V5148" s="15">
        <f>ROUNDUP((T5148+U5148+2*'Read Me'!$B$13)*(1+'Read Me'!$B$12),-1)</f>
        <v/>
      </c>
      <c r="W5148" s="15">
        <f>V5148*N5148*O5148</f>
        <v/>
      </c>
      <c r="X5148" s="12">
        <f>IF(LEFT(I5148,2)="MV",2*N5148*IF(L5148="1/C",O5148,1),0)</f>
        <v/>
      </c>
      <c r="Y5148" s="12">
        <f>IF(OR(LEFT(K5148,4)="LVAX",LEFT(K5148,6)="MV15AX",LEFT(K5148,4)="CTAX",LEFT(K5148,2)="W|"),2*N5148*O5148,0)</f>
        <v/>
      </c>
      <c r="Z5148" s="12" t="inlineStr">
        <is>
          <t>VD 0.9 %</t>
        </is>
      </c>
      <c r="AA5148" s="12">
        <f>N5148*O5148</f>
        <v/>
      </c>
    </row>
    <row r="5149">
      <c r="A5149" s="12" t="inlineStr">
        <is>
          <t>I-P-0247</t>
        </is>
      </c>
      <c r="B5149" s="12" t="inlineStr">
        <is>
          <t>I</t>
        </is>
      </c>
      <c r="C5149" s="12" t="inlineStr">
        <is>
          <t>Modular / portable power</t>
        </is>
      </c>
      <c r="D5149" s="12" t="inlineStr">
        <is>
          <t>Motor 5 of 6, 22 kW</t>
        </is>
      </c>
      <c r="E5149" s="12" t="inlineStr">
        <is>
          <t>PAD-LV</t>
        </is>
      </c>
      <c r="F5149" s="12" t="inlineStr">
        <is>
          <t>PAD-LV 480 V paralleling switchboard</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LV|3/C+G|8</t>
        </is>
      </c>
      <c r="L5149" s="12" t="inlineStr">
        <is>
          <t>3/C+G</t>
        </is>
      </c>
      <c r="M5149" s="12" t="inlineStr">
        <is>
          <t>8</t>
        </is>
      </c>
      <c r="N5149" s="12" t="n">
        <v>1</v>
      </c>
      <c r="O5149" s="12" t="n">
        <v>1</v>
      </c>
      <c r="P5149" s="12" t="n">
        <v>480</v>
      </c>
      <c r="Q5149" s="12" t="n">
        <v>22</v>
      </c>
      <c r="R5149" s="12" t="n">
        <v>31.1</v>
      </c>
      <c r="S5149" s="12" t="inlineStr">
        <is>
          <t>Conduit link</t>
        </is>
      </c>
      <c r="T5149" s="15" t="n">
        <v>63</v>
      </c>
      <c r="U5149" s="15" t="n">
        <v>27</v>
      </c>
      <c r="V5149" s="15">
        <f>ROUNDUP((T5149+U5149+2*'Read Me'!$B$13)*(1+'Read Me'!$B$12),-1)</f>
        <v/>
      </c>
      <c r="W5149" s="15">
        <f>V5149*N5149*O5149</f>
        <v/>
      </c>
      <c r="X5149" s="12">
        <f>IF(LEFT(I5149,2)="MV",2*N5149*IF(L5149="1/C",O5149,1),0)</f>
        <v/>
      </c>
      <c r="Y5149" s="12">
        <f>IF(OR(LEFT(K5149,4)="LVAX",LEFT(K5149,6)="MV15AX",LEFT(K5149,4)="CTAX",LEFT(K5149,2)="W|"),2*N5149*O5149,0)</f>
        <v/>
      </c>
      <c r="Z5149" s="12" t="inlineStr">
        <is>
          <t>VD 0.9 %</t>
        </is>
      </c>
      <c r="AA5149" s="12">
        <f>N5149*O5149</f>
        <v/>
      </c>
    </row>
    <row r="5150">
      <c r="A5150" s="12" t="inlineStr">
        <is>
          <t>I-P-0248</t>
        </is>
      </c>
      <c r="B5150" s="12" t="inlineStr">
        <is>
          <t>I</t>
        </is>
      </c>
      <c r="C5150" s="12" t="inlineStr">
        <is>
          <t>Modular / portable power</t>
        </is>
      </c>
      <c r="D5150" s="12" t="inlineStr">
        <is>
          <t>Motor 6 of 6, 22 kW</t>
        </is>
      </c>
      <c r="E5150" s="12" t="inlineStr">
        <is>
          <t>PAD-LV</t>
        </is>
      </c>
      <c r="F5150" s="12" t="inlineStr">
        <is>
          <t>PAD-LV 480 V paralleling switchboard</t>
        </is>
      </c>
      <c r="G5150" s="12" t="inlineStr">
        <is>
          <t>TM-2</t>
        </is>
      </c>
      <c r="H5150" s="12" t="inlineStr">
        <is>
          <t>TM-2: trailer-mounted aeroderivative GT (TM2500 class, ~35 MW)</t>
        </is>
      </c>
      <c r="I5150" s="12" t="inlineStr">
        <is>
          <t>LV 600 V</t>
        </is>
      </c>
      <c r="J5150" s="12" t="inlineStr">
        <is>
          <t>Type TC-ER 600 V 3/C Cu XHHW-2 + ground, PVC jacket</t>
        </is>
      </c>
      <c r="K5150" s="12" t="inlineStr">
        <is>
          <t>LV|3/C+G|8</t>
        </is>
      </c>
      <c r="L5150" s="12" t="inlineStr">
        <is>
          <t>3/C+G</t>
        </is>
      </c>
      <c r="M5150" s="12" t="inlineStr">
        <is>
          <t>8</t>
        </is>
      </c>
      <c r="N5150" s="12" t="n">
        <v>1</v>
      </c>
      <c r="O5150" s="12" t="n">
        <v>1</v>
      </c>
      <c r="P5150" s="12" t="n">
        <v>480</v>
      </c>
      <c r="Q5150" s="12" t="n">
        <v>22</v>
      </c>
      <c r="R5150" s="12" t="n">
        <v>31.1</v>
      </c>
      <c r="S5150" s="12" t="inlineStr">
        <is>
          <t>Conduit link</t>
        </is>
      </c>
      <c r="T5150" s="15" t="n">
        <v>63</v>
      </c>
      <c r="U5150" s="15" t="n">
        <v>27</v>
      </c>
      <c r="V5150" s="15">
        <f>ROUNDUP((T5150+U5150+2*'Read Me'!$B$13)*(1+'Read Me'!$B$12),-1)</f>
        <v/>
      </c>
      <c r="W5150" s="15">
        <f>V5150*N5150*O5150</f>
        <v/>
      </c>
      <c r="X5150" s="12">
        <f>IF(LEFT(I5150,2)="MV",2*N5150*IF(L5150="1/C",O5150,1),0)</f>
        <v/>
      </c>
      <c r="Y5150" s="12">
        <f>IF(OR(LEFT(K5150,4)="LVAX",LEFT(K5150,6)="MV15AX",LEFT(K5150,4)="CTAX",LEFT(K5150,2)="W|"),2*N5150*O5150,0)</f>
        <v/>
      </c>
      <c r="Z5150" s="12" t="inlineStr">
        <is>
          <t>VD 0.9 %</t>
        </is>
      </c>
      <c r="AA5150" s="12">
        <f>N5150*O5150</f>
        <v/>
      </c>
    </row>
    <row r="5151">
      <c r="A5151" s="12" t="inlineStr">
        <is>
          <t>I-P-0249</t>
        </is>
      </c>
      <c r="B5151" s="12" t="inlineStr">
        <is>
          <t>I</t>
        </is>
      </c>
      <c r="C5151" s="12" t="inlineStr">
        <is>
          <t>Modular / portable power</t>
        </is>
      </c>
      <c r="D5151" s="12" t="inlineStr">
        <is>
          <t>LV power feeder</t>
        </is>
      </c>
      <c r="E5151" s="12" t="inlineStr"/>
      <c r="F5151" s="12" t="inlineStr">
        <is>
          <t>MOD-LV 480 V board + 480 V : 13.8 kV step-up</t>
        </is>
      </c>
      <c r="G5151" s="12" t="inlineStr"/>
      <c r="H5151" s="12" t="inlineStr">
        <is>
          <t>Water-injection skid</t>
        </is>
      </c>
      <c r="I5151" s="12" t="inlineStr">
        <is>
          <t>LV 600 V</t>
        </is>
      </c>
      <c r="J5151" s="12" t="inlineStr">
        <is>
          <t>Type TC-ER 600 V 3/C Cu XHHW-2 + ground, PVC jacket</t>
        </is>
      </c>
      <c r="K5151" s="12" t="inlineStr">
        <is>
          <t>LV|3/C+G|8</t>
        </is>
      </c>
      <c r="L5151" s="12" t="inlineStr">
        <is>
          <t>3/C+G</t>
        </is>
      </c>
      <c r="M5151" s="12" t="inlineStr">
        <is>
          <t>8</t>
        </is>
      </c>
      <c r="N5151" s="12" t="n">
        <v>1</v>
      </c>
      <c r="O5151" s="12" t="n">
        <v>1</v>
      </c>
      <c r="P5151" s="12" t="n">
        <v>480</v>
      </c>
      <c r="Q5151" s="12" t="n">
        <v>15</v>
      </c>
      <c r="R5151" s="12" t="n">
        <v>21.2</v>
      </c>
      <c r="S5151" s="12" t="inlineStr">
        <is>
          <t>Duct bank</t>
        </is>
      </c>
      <c r="T5151" s="15" t="n">
        <v>375</v>
      </c>
      <c r="U5151" s="15" t="n">
        <v>74</v>
      </c>
      <c r="V5151" s="15">
        <f>ROUNDUP((T5151+U5151+2*'Read Me'!$B$13)*(1+'Read Me'!$B$12),-1)</f>
        <v/>
      </c>
      <c r="W5151" s="15">
        <f>V5151*N5151*O5151</f>
        <v/>
      </c>
      <c r="X5151" s="12">
        <f>IF(LEFT(I5151,2)="MV",2*N5151*IF(L5151="1/C",O5151,1),0)</f>
        <v/>
      </c>
      <c r="Y5151" s="12">
        <f>IF(OR(LEFT(K5151,4)="LVAX",LEFT(K5151,6)="MV15AX",LEFT(K5151,4)="CTAX",LEFT(K5151,2)="W|"),2*N5151*O5151,0)</f>
        <v/>
      </c>
      <c r="Z5151" s="12" t="inlineStr">
        <is>
          <t>VD 2.9 %</t>
        </is>
      </c>
      <c r="AA5151" s="12">
        <f>N5151*O5151</f>
        <v/>
      </c>
    </row>
    <row r="5152">
      <c r="A5152" s="12" t="inlineStr">
        <is>
          <t>I-MV-0001</t>
        </is>
      </c>
      <c r="B5152" s="12" t="inlineStr">
        <is>
          <t>I</t>
        </is>
      </c>
      <c r="C5152" s="12" t="inlineStr">
        <is>
          <t>Modular / portable power</t>
        </is>
      </c>
      <c r="D5152" s="12" t="inlineStr">
        <is>
          <t>CONT-3 13.8 kV to CONT-EH (ground tray)</t>
        </is>
      </c>
      <c r="E5152" s="12" t="inlineStr">
        <is>
          <t>CONT-3</t>
        </is>
      </c>
      <c r="F5152" s="12" t="inlineStr">
        <is>
          <t>CONT-3: containerized gas genset 13.8 kV (40 ft)</t>
        </is>
      </c>
      <c r="G5152" s="12" t="inlineStr">
        <is>
          <t>CONT-EH</t>
        </is>
      </c>
      <c r="H5152" s="12" t="inlineStr">
        <is>
          <t>CONT paralleling switchgear e-house</t>
        </is>
      </c>
      <c r="I5152" s="12" t="inlineStr">
        <is>
          <t>MV 15 kV</t>
        </is>
      </c>
      <c r="J5152" s="12" t="inlineStr">
        <is>
          <t>MV-105 15 kV 1/C Cu, EPR 133%, Cu tape shield, PVC jacket (triplexed)</t>
        </is>
      </c>
      <c r="K5152" s="12" t="inlineStr">
        <is>
          <t>MV15|1/C|2</t>
        </is>
      </c>
      <c r="L5152" s="12" t="inlineStr">
        <is>
          <t>1/C</t>
        </is>
      </c>
      <c r="M5152" s="12" t="inlineStr">
        <is>
          <t>2</t>
        </is>
      </c>
      <c r="N5152" s="12" t="n">
        <v>1</v>
      </c>
      <c r="O5152" s="12" t="n">
        <v>3</v>
      </c>
      <c r="P5152" s="12" t="n">
        <v>13800</v>
      </c>
      <c r="Q5152" s="12" t="n">
        <v>2000</v>
      </c>
      <c r="R5152" s="12" t="n">
        <v>93</v>
      </c>
      <c r="S5152" s="12" t="inlineStr">
        <is>
          <t>Surface</t>
        </is>
      </c>
      <c r="T5152" s="15" t="n">
        <v>184</v>
      </c>
      <c r="U5152" s="15" t="n">
        <v>58</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I-MV-0002</t>
        </is>
      </c>
      <c r="B5153" s="12" t="inlineStr">
        <is>
          <t>I</t>
        </is>
      </c>
      <c r="C5153" s="12" t="inlineStr">
        <is>
          <t>Modular / portable power</t>
        </is>
      </c>
      <c r="D5153" s="12" t="inlineStr">
        <is>
          <t>CONT-4 13.8 kV to CONT-EH (ground tray)</t>
        </is>
      </c>
      <c r="E5153" s="12" t="inlineStr">
        <is>
          <t>CONT-4</t>
        </is>
      </c>
      <c r="F5153" s="12" t="inlineStr">
        <is>
          <t>CONT-4: containerized gas genset 13.8 kV (40 ft)</t>
        </is>
      </c>
      <c r="G5153" s="12" t="inlineStr">
        <is>
          <t>CONT-EH</t>
        </is>
      </c>
      <c r="H5153" s="12" t="inlineStr">
        <is>
          <t>CONT paralleling switchgear e-house</t>
        </is>
      </c>
      <c r="I5153" s="12" t="inlineStr">
        <is>
          <t>MV 15 kV</t>
        </is>
      </c>
      <c r="J5153" s="12" t="inlineStr">
        <is>
          <t>MV-105 15 kV 1/C Cu, EPR 133%, Cu tape shield, PVC jacket (triplexed)</t>
        </is>
      </c>
      <c r="K5153" s="12" t="inlineStr">
        <is>
          <t>MV15|1/C|2</t>
        </is>
      </c>
      <c r="L5153" s="12" t="inlineStr">
        <is>
          <t>1/C</t>
        </is>
      </c>
      <c r="M5153" s="12" t="inlineStr">
        <is>
          <t>2</t>
        </is>
      </c>
      <c r="N5153" s="12" t="n">
        <v>1</v>
      </c>
      <c r="O5153" s="12" t="n">
        <v>3</v>
      </c>
      <c r="P5153" s="12" t="n">
        <v>13800</v>
      </c>
      <c r="Q5153" s="12" t="n">
        <v>2000</v>
      </c>
      <c r="R5153" s="12" t="n">
        <v>93</v>
      </c>
      <c r="S5153" s="12" t="inlineStr">
        <is>
          <t>Conduit link</t>
        </is>
      </c>
      <c r="T5153" s="15" t="n">
        <v>152</v>
      </c>
      <c r="U5153" s="15" t="n">
        <v>98</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I-MV-0003</t>
        </is>
      </c>
      <c r="B5154" s="12" t="inlineStr">
        <is>
          <t>I</t>
        </is>
      </c>
      <c r="C5154" s="12" t="inlineStr">
        <is>
          <t>Modular / portable power</t>
        </is>
      </c>
      <c r="D5154" s="12" t="inlineStr">
        <is>
          <t>CONT-5 13.8 kV to CONT-EH (ground tray)</t>
        </is>
      </c>
      <c r="E5154" s="12" t="inlineStr">
        <is>
          <t>CONT-5</t>
        </is>
      </c>
      <c r="F5154" s="12" t="inlineStr">
        <is>
          <t>CONT-5: containerized gas genset 13.8 kV (40 ft)</t>
        </is>
      </c>
      <c r="G5154" s="12" t="inlineStr">
        <is>
          <t>CONT-EH</t>
        </is>
      </c>
      <c r="H5154" s="12" t="inlineStr">
        <is>
          <t>CONT paralleling switchgear e-house</t>
        </is>
      </c>
      <c r="I5154" s="12" t="inlineStr">
        <is>
          <t>MV 15 kV</t>
        </is>
      </c>
      <c r="J5154" s="12" t="inlineStr">
        <is>
          <t>MV-105 15 kV 1/C Cu, EPR 133%, Cu tape shield, PVC jacket (triplexed)</t>
        </is>
      </c>
      <c r="K5154" s="12" t="inlineStr">
        <is>
          <t>MV15|1/C|2</t>
        </is>
      </c>
      <c r="L5154" s="12" t="inlineStr">
        <is>
          <t>1/C</t>
        </is>
      </c>
      <c r="M5154" s="12" t="inlineStr">
        <is>
          <t>2</t>
        </is>
      </c>
      <c r="N5154" s="12" t="n">
        <v>1</v>
      </c>
      <c r="O5154" s="12" t="n">
        <v>3</v>
      </c>
      <c r="P5154" s="12" t="n">
        <v>13800</v>
      </c>
      <c r="Q5154" s="12" t="n">
        <v>2000</v>
      </c>
      <c r="R5154" s="12" t="n">
        <v>93</v>
      </c>
      <c r="S5154" s="12" t="inlineStr">
        <is>
          <t>Tray</t>
        </is>
      </c>
      <c r="T5154" s="15" t="n">
        <v>4</v>
      </c>
      <c r="U5154" s="15" t="n">
        <v>98</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I-MV-0004</t>
        </is>
      </c>
      <c r="B5155" s="12" t="inlineStr">
        <is>
          <t>I</t>
        </is>
      </c>
      <c r="C5155" s="12" t="inlineStr">
        <is>
          <t>Modular / portable power</t>
        </is>
      </c>
      <c r="D5155" s="12" t="inlineStr">
        <is>
          <t>CONT-6 13.8 kV to CONT-EH (ground tray)</t>
        </is>
      </c>
      <c r="E5155" s="12" t="inlineStr">
        <is>
          <t>CONT-6</t>
        </is>
      </c>
      <c r="F5155" s="12" t="inlineStr">
        <is>
          <t>CONT-6: containerized gas genset 13.8 kV (40 ft)</t>
        </is>
      </c>
      <c r="G5155" s="12" t="inlineStr">
        <is>
          <t>CONT-EH</t>
        </is>
      </c>
      <c r="H5155" s="12" t="inlineStr">
        <is>
          <t>CONT paralleling switchgear e-house</t>
        </is>
      </c>
      <c r="I5155" s="12" t="inlineStr">
        <is>
          <t>MV 15 kV</t>
        </is>
      </c>
      <c r="J5155" s="12" t="inlineStr">
        <is>
          <t>MV-105 15 kV 1/C Cu, EPR 133%, Cu tape shield, PVC jacket (triplexed)</t>
        </is>
      </c>
      <c r="K5155" s="12" t="inlineStr">
        <is>
          <t>MV15|1/C|2</t>
        </is>
      </c>
      <c r="L5155" s="12" t="inlineStr">
        <is>
          <t>1/C</t>
        </is>
      </c>
      <c r="M5155" s="12" t="inlineStr">
        <is>
          <t>2</t>
        </is>
      </c>
      <c r="N5155" s="12" t="n">
        <v>1</v>
      </c>
      <c r="O5155" s="12" t="n">
        <v>3</v>
      </c>
      <c r="P5155" s="12" t="n">
        <v>13800</v>
      </c>
      <c r="Q5155" s="12" t="n">
        <v>2000</v>
      </c>
      <c r="R5155" s="12" t="n">
        <v>93</v>
      </c>
      <c r="S5155" s="12" t="inlineStr">
        <is>
          <t>Surface</t>
        </is>
      </c>
      <c r="T5155" s="15" t="n">
        <v>225</v>
      </c>
      <c r="U5155" s="15" t="n">
        <v>27</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I-MV-0005</t>
        </is>
      </c>
      <c r="B5156" s="12" t="inlineStr">
        <is>
          <t>I</t>
        </is>
      </c>
      <c r="C5156" s="12" t="inlineStr">
        <is>
          <t>Modular / portable power</t>
        </is>
      </c>
      <c r="D5156" s="12" t="inlineStr">
        <is>
          <t>CONT-7 13.8 kV to CONT-EH (ground tray)</t>
        </is>
      </c>
      <c r="E5156" s="12" t="inlineStr">
        <is>
          <t>CONT-7</t>
        </is>
      </c>
      <c r="F5156" s="12" t="inlineStr">
        <is>
          <t>CONT-7: containerized gas genset 13.8 kV (40 ft)</t>
        </is>
      </c>
      <c r="G5156" s="12" t="inlineStr">
        <is>
          <t>CONT-EH</t>
        </is>
      </c>
      <c r="H5156" s="12" t="inlineStr">
        <is>
          <t>CONT paralleling switchgear e-house</t>
        </is>
      </c>
      <c r="I5156" s="12" t="inlineStr">
        <is>
          <t>MV 15 kV</t>
        </is>
      </c>
      <c r="J5156" s="12" t="inlineStr">
        <is>
          <t>MV-105 15 kV 1/C Cu, EPR 133%, Cu tape shield, PVC jacket (triplexed)</t>
        </is>
      </c>
      <c r="K5156" s="12" t="inlineStr">
        <is>
          <t>MV15|1/C|2</t>
        </is>
      </c>
      <c r="L5156" s="12" t="inlineStr">
        <is>
          <t>1/C</t>
        </is>
      </c>
      <c r="M5156" s="12" t="inlineStr">
        <is>
          <t>2</t>
        </is>
      </c>
      <c r="N5156" s="12" t="n">
        <v>1</v>
      </c>
      <c r="O5156" s="12" t="n">
        <v>3</v>
      </c>
      <c r="P5156" s="12" t="n">
        <v>13800</v>
      </c>
      <c r="Q5156" s="12" t="n">
        <v>2000</v>
      </c>
      <c r="R5156" s="12" t="n">
        <v>93</v>
      </c>
      <c r="S5156" s="12" t="inlineStr">
        <is>
          <t>Surface</t>
        </is>
      </c>
      <c r="T5156" s="15" t="n">
        <v>225</v>
      </c>
      <c r="U5156" s="15" t="n">
        <v>67</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I-MV-0006</t>
        </is>
      </c>
      <c r="B5157" s="12" t="inlineStr">
        <is>
          <t>I</t>
        </is>
      </c>
      <c r="C5157" s="12" t="inlineStr">
        <is>
          <t>Modular / portable power</t>
        </is>
      </c>
      <c r="D5157" s="12" t="inlineStr">
        <is>
          <t>CONT-8 13.8 kV to CONT-EH (ground tray)</t>
        </is>
      </c>
      <c r="E5157" s="12" t="inlineStr">
        <is>
          <t>CONT-8</t>
        </is>
      </c>
      <c r="F5157" s="12" t="inlineStr">
        <is>
          <t>CONT-8: containerized gas genset 13.8 kV (40 ft)</t>
        </is>
      </c>
      <c r="G5157" s="12" t="inlineStr">
        <is>
          <t>CONT-EH</t>
        </is>
      </c>
      <c r="H5157" s="12" t="inlineStr">
        <is>
          <t>CONT paralleling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5" t="n">
        <v>25</v>
      </c>
      <c r="U5157" s="15" t="n">
        <v>71</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I-MV-0007</t>
        </is>
      </c>
      <c r="B5158" s="12" t="inlineStr">
        <is>
          <t>I</t>
        </is>
      </c>
      <c r="C5158" s="12" t="inlineStr">
        <is>
          <t>Modular / portable power</t>
        </is>
      </c>
      <c r="D5158" s="12" t="inlineStr">
        <is>
          <t>Modular-yard fuel-gas compressor</t>
        </is>
      </c>
      <c r="E5158" s="12" t="inlineStr">
        <is>
          <t>MOD-EH</t>
        </is>
      </c>
      <c r="F5158" s="12" t="inlineStr">
        <is>
          <t>MOD-EH: 13.8 kV modular collector e-house</t>
        </is>
      </c>
      <c r="G5158" s="12" t="inlineStr"/>
      <c r="H5158" s="12" t="inlineStr">
        <is>
          <t>Fuel-gas compressors 3 x 100% electric</t>
        </is>
      </c>
      <c r="I5158" s="12" t="inlineStr">
        <is>
          <t>MV 15 kV</t>
        </is>
      </c>
      <c r="J5158" s="12" t="inlineStr">
        <is>
          <t>ARMOR-X MC-HL / MV-105 15 kV 3/C Cu, EPR 133%, tape shield, gnd, CWA, red PVC</t>
        </is>
      </c>
      <c r="K5158" s="12" t="inlineStr">
        <is>
          <t>MV15AX|3/C|2</t>
        </is>
      </c>
      <c r="L5158" s="12" t="inlineStr">
        <is>
          <t>3/C</t>
        </is>
      </c>
      <c r="M5158" s="12" t="inlineStr">
        <is>
          <t>2</t>
        </is>
      </c>
      <c r="N5158" s="12" t="n">
        <v>1</v>
      </c>
      <c r="O5158" s="12" t="n">
        <v>1</v>
      </c>
      <c r="P5158" s="12" t="n">
        <v>13800</v>
      </c>
      <c r="Q5158" s="12" t="n">
        <v>1500</v>
      </c>
      <c r="R5158" s="12" t="n">
        <v>70</v>
      </c>
      <c r="S5158" s="12" t="inlineStr">
        <is>
          <t>Duct bank</t>
        </is>
      </c>
      <c r="T5158" s="15" t="n">
        <v>527</v>
      </c>
      <c r="U5158" s="15" t="n">
        <v>136</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I-MV-0008</t>
        </is>
      </c>
      <c r="B5159" s="12" t="inlineStr">
        <is>
          <t>I</t>
        </is>
      </c>
      <c r="C5159" s="12" t="inlineStr">
        <is>
          <t>Modular / portable power</t>
        </is>
      </c>
      <c r="D5159" s="12" t="inlineStr">
        <is>
          <t>Modular-yard fuel-gas compressor</t>
        </is>
      </c>
      <c r="E5159" s="12" t="inlineStr">
        <is>
          <t>MOD-EH</t>
        </is>
      </c>
      <c r="F5159" s="12" t="inlineStr">
        <is>
          <t>MOD-EH: 13.8 kV modular collector e-house</t>
        </is>
      </c>
      <c r="G5159" s="12" t="inlineStr"/>
      <c r="H5159" s="12" t="inlineStr">
        <is>
          <t>Fuel-gas compressors 3 x 100% electric</t>
        </is>
      </c>
      <c r="I5159" s="12" t="inlineStr">
        <is>
          <t>MV 15 kV</t>
        </is>
      </c>
      <c r="J5159" s="12" t="inlineStr">
        <is>
          <t>ARMOR-X MC-HL / MV-105 15 kV 3/C Cu, EPR 133%, tape shield, gnd, CWA, red PVC</t>
        </is>
      </c>
      <c r="K5159" s="12" t="inlineStr">
        <is>
          <t>MV15AX|3/C|2</t>
        </is>
      </c>
      <c r="L5159" s="12" t="inlineStr">
        <is>
          <t>3/C</t>
        </is>
      </c>
      <c r="M5159" s="12" t="inlineStr">
        <is>
          <t>2</t>
        </is>
      </c>
      <c r="N5159" s="12" t="n">
        <v>1</v>
      </c>
      <c r="O5159" s="12" t="n">
        <v>1</v>
      </c>
      <c r="P5159" s="12" t="n">
        <v>13800</v>
      </c>
      <c r="Q5159" s="12" t="n">
        <v>1500</v>
      </c>
      <c r="R5159" s="12" t="n">
        <v>70</v>
      </c>
      <c r="S5159" s="12" t="inlineStr">
        <is>
          <t>Duct bank</t>
        </is>
      </c>
      <c r="T5159" s="15" t="n">
        <v>527</v>
      </c>
      <c r="U5159" s="15" t="n">
        <v>136</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I-MV-0009</t>
        </is>
      </c>
      <c r="B5160" s="12" t="inlineStr">
        <is>
          <t>I</t>
        </is>
      </c>
      <c r="C5160" s="12" t="inlineStr">
        <is>
          <t>Modular / portable power</t>
        </is>
      </c>
      <c r="D5160" s="12" t="inlineStr">
        <is>
          <t>Modular-yard fuel-gas compressor</t>
        </is>
      </c>
      <c r="E5160" s="12" t="inlineStr">
        <is>
          <t>MOD-EH</t>
        </is>
      </c>
      <c r="F5160" s="12" t="inlineStr">
        <is>
          <t>MOD-EH: 13.8 kV modular collector e-house</t>
        </is>
      </c>
      <c r="G5160" s="12" t="inlineStr"/>
      <c r="H5160" s="12" t="inlineStr">
        <is>
          <t>Fuel-gas compressors 3 x 100% electric</t>
        </is>
      </c>
      <c r="I5160" s="12" t="inlineStr">
        <is>
          <t>MV 15 kV</t>
        </is>
      </c>
      <c r="J5160" s="12" t="inlineStr">
        <is>
          <t>ARMOR-X MC-HL / MV-105 15 kV 3/C Cu, EPR 133%, tape shield, gnd, CWA, red PVC</t>
        </is>
      </c>
      <c r="K5160" s="12" t="inlineStr">
        <is>
          <t>MV15AX|3/C|2</t>
        </is>
      </c>
      <c r="L5160" s="12" t="inlineStr">
        <is>
          <t>3/C</t>
        </is>
      </c>
      <c r="M5160" s="12" t="inlineStr">
        <is>
          <t>2</t>
        </is>
      </c>
      <c r="N5160" s="12" t="n">
        <v>1</v>
      </c>
      <c r="O5160" s="12" t="n">
        <v>1</v>
      </c>
      <c r="P5160" s="12" t="n">
        <v>13800</v>
      </c>
      <c r="Q5160" s="12" t="n">
        <v>1500</v>
      </c>
      <c r="R5160" s="12" t="n">
        <v>70</v>
      </c>
      <c r="S5160" s="12" t="inlineStr">
        <is>
          <t>Duct bank</t>
        </is>
      </c>
      <c r="T5160" s="15" t="n">
        <v>527</v>
      </c>
      <c r="U5160" s="15" t="n">
        <v>136</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I-MV-0010</t>
        </is>
      </c>
      <c r="B5161" s="12" t="inlineStr">
        <is>
          <t>I</t>
        </is>
      </c>
      <c r="C5161" s="12" t="inlineStr">
        <is>
          <t>Modular / portable power</t>
        </is>
      </c>
      <c r="D5161" s="12" t="inlineStr">
        <is>
          <t>SC-1 PCM to MOD-EH</t>
        </is>
      </c>
      <c r="E5161" s="12" t="inlineStr"/>
      <c r="F5161" s="12" t="inlineStr">
        <is>
          <t>SC-1 PCM + 15 kV GCB</t>
        </is>
      </c>
      <c r="G5161" s="12" t="inlineStr">
        <is>
          <t>MOD-EH</t>
        </is>
      </c>
      <c r="H5161" s="12" t="inlineStr">
        <is>
          <t>MOD-EH: 13.8 kV modular collector e-house</t>
        </is>
      </c>
      <c r="I5161" s="12" t="inlineStr">
        <is>
          <t>MV 15 kV</t>
        </is>
      </c>
      <c r="J5161" s="12" t="inlineStr">
        <is>
          <t>MV-105 15 kV 1/C Cu, EPR 133%, Cu tape shield, PVC jacket (triplexed)</t>
        </is>
      </c>
      <c r="K5161" s="12" t="inlineStr">
        <is>
          <t>MV15|1/C|750</t>
        </is>
      </c>
      <c r="L5161" s="12" t="inlineStr">
        <is>
          <t>1/C</t>
        </is>
      </c>
      <c r="M5161" s="12" t="inlineStr">
        <is>
          <t>750 kcmil</t>
        </is>
      </c>
      <c r="N5161" s="12" t="n">
        <v>5</v>
      </c>
      <c r="O5161" s="12" t="n">
        <v>3</v>
      </c>
      <c r="P5161" s="12" t="n">
        <v>13800</v>
      </c>
      <c r="Q5161" s="12" t="n">
        <v>50000</v>
      </c>
      <c r="R5161" s="12" t="n">
        <v>2092</v>
      </c>
      <c r="S5161" s="12" t="inlineStr">
        <is>
          <t>Duct bank</t>
        </is>
      </c>
      <c r="T5161" s="15" t="n">
        <v>397</v>
      </c>
      <c r="U5161" s="15" t="n">
        <v>32</v>
      </c>
      <c r="V5161" s="15">
        <f>ROUNDUP((T5161+U5161+2*'Read Me'!$B$13)*(1+'Read Me'!$B$12),-1)</f>
        <v/>
      </c>
      <c r="W5161" s="15">
        <f>V5161*N5161*O5161</f>
        <v/>
      </c>
      <c r="X5161" s="12">
        <f>IF(LEFT(I5161,2)="MV",2*N5161*IF(L5161="1/C",O5161,1),0)</f>
        <v/>
      </c>
      <c r="Y5161" s="12">
        <f>IF(OR(LEFT(K5161,4)="LVAX",LEFT(K5161,6)="MV15AX",LEFT(K5161,4)="CTAX",LEFT(K5161,2)="W|"),2*N5161*O5161,0)</f>
        <v/>
      </c>
      <c r="Z5161" s="12" t="inlineStr"/>
      <c r="AA5161" s="12">
        <f>N5161*O5161</f>
        <v/>
      </c>
    </row>
    <row r="5162">
      <c r="A5162" s="12" t="inlineStr">
        <is>
          <t>I-MV-0011</t>
        </is>
      </c>
      <c r="B5162" s="12" t="inlineStr">
        <is>
          <t>I</t>
        </is>
      </c>
      <c r="C5162" s="12" t="inlineStr">
        <is>
          <t>Modular / portable power</t>
        </is>
      </c>
      <c r="D5162" s="12" t="inlineStr">
        <is>
          <t>SC-2 PCM to MOD-EH</t>
        </is>
      </c>
      <c r="E5162" s="12" t="inlineStr"/>
      <c r="F5162" s="12" t="inlineStr">
        <is>
          <t>SC-2 PCM + 15 kV GCB</t>
        </is>
      </c>
      <c r="G5162" s="12" t="inlineStr">
        <is>
          <t>MOD-EH</t>
        </is>
      </c>
      <c r="H5162" s="12" t="inlineStr">
        <is>
          <t>MOD-EH: 13.8 kV modular collector e-house</t>
        </is>
      </c>
      <c r="I5162" s="12" t="inlineStr">
        <is>
          <t>MV 15 kV</t>
        </is>
      </c>
      <c r="J5162" s="12" t="inlineStr">
        <is>
          <t>MV-105 15 kV 1/C Cu, EPR 133%, Cu tape shield, PVC jacket (triplexed)</t>
        </is>
      </c>
      <c r="K5162" s="12" t="inlineStr">
        <is>
          <t>MV15|1/C|750</t>
        </is>
      </c>
      <c r="L5162" s="12" t="inlineStr">
        <is>
          <t>1/C</t>
        </is>
      </c>
      <c r="M5162" s="12" t="inlineStr">
        <is>
          <t>750 kcmil</t>
        </is>
      </c>
      <c r="N5162" s="12" t="n">
        <v>5</v>
      </c>
      <c r="O5162" s="12" t="n">
        <v>3</v>
      </c>
      <c r="P5162" s="12" t="n">
        <v>13800</v>
      </c>
      <c r="Q5162" s="12" t="n">
        <v>50000</v>
      </c>
      <c r="R5162" s="12" t="n">
        <v>2092</v>
      </c>
      <c r="S5162" s="12" t="inlineStr">
        <is>
          <t>Duct bank</t>
        </is>
      </c>
      <c r="T5162" s="15" t="n">
        <v>665</v>
      </c>
      <c r="U5162" s="15" t="n">
        <v>76</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I-MV-0012</t>
        </is>
      </c>
      <c r="B5163" s="12" t="inlineStr">
        <is>
          <t>I</t>
        </is>
      </c>
      <c r="C5163" s="12" t="inlineStr">
        <is>
          <t>Modular / portable power</t>
        </is>
      </c>
      <c r="D5163" s="12" t="inlineStr">
        <is>
          <t>MOD-LV step-up to MOD-EH</t>
        </is>
      </c>
      <c r="E5163" s="12" t="inlineStr"/>
      <c r="F5163" s="12" t="inlineStr">
        <is>
          <t>MOD-LV 480 V board + 480 V : 13.8 kV step-up</t>
        </is>
      </c>
      <c r="G5163" s="12" t="inlineStr">
        <is>
          <t>MOD-EH</t>
        </is>
      </c>
      <c r="H5163" s="12" t="inlineStr">
        <is>
          <t>MOD-EH: 13.8 kV modular collector e-house</t>
        </is>
      </c>
      <c r="I5163" s="12" t="inlineStr">
        <is>
          <t>MV 15 kV</t>
        </is>
      </c>
      <c r="J5163" s="12" t="inlineStr">
        <is>
          <t>MV-105 15 kV 1/C Cu, EPR 133%, Cu tape shield, PVC jacket (triplexed)</t>
        </is>
      </c>
      <c r="K5163" s="12" t="inlineStr">
        <is>
          <t>MV15|1/C|500</t>
        </is>
      </c>
      <c r="L5163" s="12" t="inlineStr">
        <is>
          <t>1/C</t>
        </is>
      </c>
      <c r="M5163" s="12" t="inlineStr">
        <is>
          <t>500 kcmil</t>
        </is>
      </c>
      <c r="N5163" s="12" t="n">
        <v>1</v>
      </c>
      <c r="O5163" s="12" t="n">
        <v>3</v>
      </c>
      <c r="P5163" s="12" t="n">
        <v>13800</v>
      </c>
      <c r="Q5163" s="12" t="n">
        <v>7500</v>
      </c>
      <c r="R5163" s="12" t="n">
        <v>314</v>
      </c>
      <c r="S5163" s="12" t="inlineStr">
        <is>
          <t>Duct bank</t>
        </is>
      </c>
      <c r="T5163" s="15" t="n">
        <v>346</v>
      </c>
      <c r="U5163" s="15" t="n">
        <v>32</v>
      </c>
      <c r="V5163" s="15">
        <f>ROUNDUP((T5163+U5163+2*'Read Me'!$B$13)*(1+'Read Me'!$B$12),-1)</f>
        <v/>
      </c>
      <c r="W5163" s="15">
        <f>V5163*N5163*O5163</f>
        <v/>
      </c>
      <c r="X5163" s="12">
        <f>IF(LEFT(I5163,2)="MV",2*N5163*IF(L5163="1/C",O5163,1),0)</f>
        <v/>
      </c>
      <c r="Y5163" s="12">
        <f>IF(OR(LEFT(K5163,4)="LVAX",LEFT(K5163,6)="MV15AX",LEFT(K5163,4)="CTAX",LEFT(K5163,2)="W|"),2*N5163*O5163,0)</f>
        <v/>
      </c>
      <c r="Z5163" s="12" t="inlineStr"/>
      <c r="AA5163" s="12">
        <f>N5163*O5163</f>
        <v/>
      </c>
    </row>
    <row r="5164">
      <c r="A5164" s="12" t="inlineStr">
        <is>
          <t>I-MV-0013</t>
        </is>
      </c>
      <c r="B5164" s="12" t="inlineStr">
        <is>
          <t>I</t>
        </is>
      </c>
      <c r="C5164" s="12" t="inlineStr">
        <is>
          <t>Modular / portable power</t>
        </is>
      </c>
      <c r="D5164" s="12" t="inlineStr">
        <is>
          <t>CONT-EH to PAD-EH</t>
        </is>
      </c>
      <c r="E5164" s="12" t="inlineStr">
        <is>
          <t>CONT-EH</t>
        </is>
      </c>
      <c r="F5164" s="12" t="inlineStr">
        <is>
          <t>CONT paralleling switchgear e-house</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MV15|1/C|500</t>
        </is>
      </c>
      <c r="L5164" s="12" t="inlineStr">
        <is>
          <t>1/C</t>
        </is>
      </c>
      <c r="M5164" s="12" t="inlineStr">
        <is>
          <t>500 kcmil</t>
        </is>
      </c>
      <c r="N5164" s="12" t="n">
        <v>2</v>
      </c>
      <c r="O5164" s="12" t="n">
        <v>3</v>
      </c>
      <c r="P5164" s="12" t="n">
        <v>13800</v>
      </c>
      <c r="Q5164" s="12" t="n">
        <v>12000</v>
      </c>
      <c r="R5164" s="12" t="n">
        <v>558</v>
      </c>
      <c r="S5164" s="12" t="inlineStr">
        <is>
          <t>Surface</t>
        </is>
      </c>
      <c r="T5164" s="15" t="n">
        <v>56</v>
      </c>
      <c r="U5164" s="15" t="n">
        <v>27</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I-MV-0014</t>
        </is>
      </c>
      <c r="B5165" s="12" t="inlineStr">
        <is>
          <t>I</t>
        </is>
      </c>
      <c r="C5165" s="12" t="inlineStr">
        <is>
          <t>Modular / portable power</t>
        </is>
      </c>
      <c r="D5165" s="12" t="inlineStr">
        <is>
          <t>TM-1 (TM2500) generator leads to PAD-EH</t>
        </is>
      </c>
      <c r="E5165" s="12" t="inlineStr">
        <is>
          <t>TM-1</t>
        </is>
      </c>
      <c r="F5165" s="12" t="inlineStr">
        <is>
          <t>TM-1: trailer-mounted aeroderivative GT (TM2500 class, ~35 MW)</t>
        </is>
      </c>
      <c r="G5165" s="12" t="inlineStr">
        <is>
          <t>PAD-EH</t>
        </is>
      </c>
      <c r="H5165" s="12" t="inlineStr">
        <is>
          <t>PAD-EH 13.8 kV switchgear e-house</t>
        </is>
      </c>
      <c r="I5165" s="12" t="inlineStr">
        <is>
          <t>MV 15 kV</t>
        </is>
      </c>
      <c r="J5165" s="12" t="inlineStr">
        <is>
          <t>MV-105 15 kV 1/C Cu, EPR 133%, Cu tape shield, PVC jacket (triplexed)</t>
        </is>
      </c>
      <c r="K5165" s="12" t="inlineStr">
        <is>
          <t>MV15|1/C|1000</t>
        </is>
      </c>
      <c r="L5165" s="12" t="inlineStr">
        <is>
          <t>1/C</t>
        </is>
      </c>
      <c r="M5165" s="12" t="inlineStr">
        <is>
          <t>1000 kcmil</t>
        </is>
      </c>
      <c r="N5165" s="12" t="n">
        <v>3</v>
      </c>
      <c r="O5165" s="12" t="n">
        <v>3</v>
      </c>
      <c r="P5165" s="12" t="n">
        <v>13800</v>
      </c>
      <c r="Q5165" s="12" t="n">
        <v>35000</v>
      </c>
      <c r="R5165" s="12" t="n">
        <v>1464</v>
      </c>
      <c r="S5165" s="12" t="inlineStr">
        <is>
          <t>Surface</t>
        </is>
      </c>
      <c r="T5165" s="15" t="n">
        <v>185</v>
      </c>
      <c r="U5165" s="15" t="n">
        <v>27</v>
      </c>
      <c r="V5165" s="15">
        <f>ROUNDUP((T5165+U5165+2*'Read Me'!$B$13)*(1+'Read Me'!$B$12),-1)</f>
        <v/>
      </c>
      <c r="W5165" s="15">
        <f>V5165*N5165*O5165</f>
        <v/>
      </c>
      <c r="X5165" s="12">
        <f>IF(LEFT(I5165,2)="MV",2*N5165*IF(L5165="1/C",O5165,1),0)</f>
        <v/>
      </c>
      <c r="Y5165" s="12">
        <f>IF(OR(LEFT(K5165,4)="LVAX",LEFT(K5165,6)="MV15AX",LEFT(K5165,4)="CTAX",LEFT(K5165,2)="W|"),2*N5165*O5165,0)</f>
        <v/>
      </c>
      <c r="Z5165" s="12" t="inlineStr">
        <is>
          <t>3 per phase for 125 % (the model shows 2 per phase: update the model)</t>
        </is>
      </c>
      <c r="AA5165" s="12">
        <f>N5165*O5165</f>
        <v/>
      </c>
    </row>
    <row r="5166">
      <c r="A5166" s="12" t="inlineStr">
        <is>
          <t>I-MV-0015</t>
        </is>
      </c>
      <c r="B5166" s="12" t="inlineStr">
        <is>
          <t>I</t>
        </is>
      </c>
      <c r="C5166" s="12" t="inlineStr">
        <is>
          <t>Modular / portable power</t>
        </is>
      </c>
      <c r="D5166" s="12" t="inlineStr">
        <is>
          <t>TM-2 (TM2500) generator leads to PAD-EH</t>
        </is>
      </c>
      <c r="E5166" s="12" t="inlineStr">
        <is>
          <t>TM-2</t>
        </is>
      </c>
      <c r="F5166" s="12" t="inlineStr">
        <is>
          <t>TM-2: trailer-mounted aeroderivative GT (TM2500 class, ~35 MW)</t>
        </is>
      </c>
      <c r="G5166" s="12" t="inlineStr">
        <is>
          <t>PAD-EH</t>
        </is>
      </c>
      <c r="H5166" s="12" t="inlineStr">
        <is>
          <t>PAD-EH 13.8 kV switchgear e-house</t>
        </is>
      </c>
      <c r="I5166" s="12" t="inlineStr">
        <is>
          <t>MV 15 kV</t>
        </is>
      </c>
      <c r="J5166" s="12" t="inlineStr">
        <is>
          <t>MV-105 15 kV 1/C Cu, EPR 133%, Cu tape shield, PVC jacket (triplexed)</t>
        </is>
      </c>
      <c r="K5166" s="12" t="inlineStr">
        <is>
          <t>MV15|1/C|1000</t>
        </is>
      </c>
      <c r="L5166" s="12" t="inlineStr">
        <is>
          <t>1/C</t>
        </is>
      </c>
      <c r="M5166" s="12" t="inlineStr">
        <is>
          <t>1000 kcmil</t>
        </is>
      </c>
      <c r="N5166" s="12" t="n">
        <v>3</v>
      </c>
      <c r="O5166" s="12" t="n">
        <v>3</v>
      </c>
      <c r="P5166" s="12" t="n">
        <v>13800</v>
      </c>
      <c r="Q5166" s="12" t="n">
        <v>35000</v>
      </c>
      <c r="R5166" s="12" t="n">
        <v>1464</v>
      </c>
      <c r="S5166" s="12" t="inlineStr">
        <is>
          <t>Surface</t>
        </is>
      </c>
      <c r="T5166" s="15" t="n">
        <v>90</v>
      </c>
      <c r="U5166" s="15" t="n">
        <v>27</v>
      </c>
      <c r="V5166" s="15">
        <f>ROUNDUP((T5166+U5166+2*'Read Me'!$B$13)*(1+'Read Me'!$B$12),-1)</f>
        <v/>
      </c>
      <c r="W5166" s="15">
        <f>V5166*N5166*O5166</f>
        <v/>
      </c>
      <c r="X5166" s="12">
        <f>IF(LEFT(I5166,2)="MV",2*N5166*IF(L5166="1/C",O5166,1),0)</f>
        <v/>
      </c>
      <c r="Y5166" s="12">
        <f>IF(OR(LEFT(K5166,4)="LVAX",LEFT(K5166,6)="MV15AX",LEFT(K5166,4)="CTAX",LEFT(K5166,2)="W|"),2*N5166*O5166,0)</f>
        <v/>
      </c>
      <c r="Z5166" s="12" t="inlineStr">
        <is>
          <t>3 per phase for 125 % (the model shows 2 per phase: update the model)</t>
        </is>
      </c>
      <c r="AA5166" s="12">
        <f>N5166*O5166</f>
        <v/>
      </c>
    </row>
    <row r="5167">
      <c r="A5167" s="12" t="inlineStr">
        <is>
          <t>I-MV-0016</t>
        </is>
      </c>
      <c r="B5167" s="12" t="inlineStr">
        <is>
          <t>I</t>
        </is>
      </c>
      <c r="C5167" s="12" t="inlineStr">
        <is>
          <t>Modular / portable power</t>
        </is>
      </c>
      <c r="D5167" s="12" t="inlineStr">
        <is>
          <t>RICE-1 generator leads to the PCM</t>
        </is>
      </c>
      <c r="E5167" s="12" t="inlineStr">
        <is>
          <t>RICE-1</t>
        </is>
      </c>
      <c r="F5167" s="12" t="inlineStr">
        <is>
          <t>RICE engine-generator 1</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5" t="n">
        <v>576</v>
      </c>
      <c r="U5167" s="15" t="n">
        <v>111</v>
      </c>
      <c r="V5167" s="15">
        <f>ROUNDUP((T5167+U5167+2*'Read Me'!$B$13)*(1+'Read Me'!$B$12),-1)</f>
        <v/>
      </c>
      <c r="W5167" s="15">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I-MV-0017</t>
        </is>
      </c>
      <c r="B5168" s="12" t="inlineStr">
        <is>
          <t>I</t>
        </is>
      </c>
      <c r="C5168" s="12" t="inlineStr">
        <is>
          <t>Modular / portable power</t>
        </is>
      </c>
      <c r="D5168" s="12" t="inlineStr">
        <is>
          <t>RICE-2 generator leads to the PCM</t>
        </is>
      </c>
      <c r="E5168" s="12" t="inlineStr">
        <is>
          <t>RICE-2</t>
        </is>
      </c>
      <c r="F5168" s="12" t="inlineStr">
        <is>
          <t>RICE engine-generator 2</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5" t="n">
        <v>550</v>
      </c>
      <c r="U5168" s="15" t="n">
        <v>109</v>
      </c>
      <c r="V5168" s="15">
        <f>ROUNDUP((T5168+U5168+2*'Read Me'!$B$13)*(1+'Read Me'!$B$12),-1)</f>
        <v/>
      </c>
      <c r="W5168" s="15">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I-MV-0018</t>
        </is>
      </c>
      <c r="B5169" s="12" t="inlineStr">
        <is>
          <t>I</t>
        </is>
      </c>
      <c r="C5169" s="12" t="inlineStr">
        <is>
          <t>Modular / portable power</t>
        </is>
      </c>
      <c r="D5169" s="12" t="inlineStr">
        <is>
          <t>RICE-3 generator leads to the PCM</t>
        </is>
      </c>
      <c r="E5169" s="12" t="inlineStr">
        <is>
          <t>RICE-3</t>
        </is>
      </c>
      <c r="F5169" s="12" t="inlineStr">
        <is>
          <t>RICE engine-generator 3</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5" t="n">
        <v>550</v>
      </c>
      <c r="U5169" s="15" t="n">
        <v>81</v>
      </c>
      <c r="V5169" s="15">
        <f>ROUNDUP((T5169+U5169+2*'Read Me'!$B$13)*(1+'Read Me'!$B$12),-1)</f>
        <v/>
      </c>
      <c r="W5169" s="15">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I-MV-0019</t>
        </is>
      </c>
      <c r="B5170" s="12" t="inlineStr">
        <is>
          <t>I</t>
        </is>
      </c>
      <c r="C5170" s="12" t="inlineStr">
        <is>
          <t>Modular / portable power</t>
        </is>
      </c>
      <c r="D5170" s="12" t="inlineStr">
        <is>
          <t>RICE-4 generator leads to the PCM</t>
        </is>
      </c>
      <c r="E5170" s="12" t="inlineStr">
        <is>
          <t>RICE-4</t>
        </is>
      </c>
      <c r="F5170" s="12" t="inlineStr">
        <is>
          <t>RICE engine-generator 4</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5" t="n">
        <v>550</v>
      </c>
      <c r="U5170" s="15" t="n">
        <v>53</v>
      </c>
      <c r="V5170" s="15">
        <f>ROUNDUP((T5170+U5170+2*'Read Me'!$B$13)*(1+'Read Me'!$B$12),-1)</f>
        <v/>
      </c>
      <c r="W5170" s="15">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I-MV-0020</t>
        </is>
      </c>
      <c r="B5171" s="12" t="inlineStr">
        <is>
          <t>I</t>
        </is>
      </c>
      <c r="C5171" s="12" t="inlineStr">
        <is>
          <t>Modular / portable power</t>
        </is>
      </c>
      <c r="D5171" s="12" t="inlineStr">
        <is>
          <t>RICE-5 generator leads to the PCM</t>
        </is>
      </c>
      <c r="E5171" s="12" t="inlineStr">
        <is>
          <t>RICE-5</t>
        </is>
      </c>
      <c r="F5171" s="12" t="inlineStr">
        <is>
          <t>RICE engine-generator 5</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Duct bank</t>
        </is>
      </c>
      <c r="T5171" s="15" t="n">
        <v>525</v>
      </c>
      <c r="U5171" s="15" t="n">
        <v>50</v>
      </c>
      <c r="V5171" s="15">
        <f>ROUNDUP((T5171+U5171+2*'Read Me'!$B$13)*(1+'Read Me'!$B$12),-1)</f>
        <v/>
      </c>
      <c r="W5171" s="15">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I-MV-0021</t>
        </is>
      </c>
      <c r="B5172" s="12" t="inlineStr">
        <is>
          <t>I</t>
        </is>
      </c>
      <c r="C5172" s="12" t="inlineStr">
        <is>
          <t>Modular / portable power</t>
        </is>
      </c>
      <c r="D5172" s="12" t="inlineStr">
        <is>
          <t>RICE-6 generator leads to the PCM</t>
        </is>
      </c>
      <c r="E5172" s="12" t="inlineStr">
        <is>
          <t>RICE-6</t>
        </is>
      </c>
      <c r="F5172" s="12" t="inlineStr">
        <is>
          <t>RICE engine-generator 6</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Duct bank</t>
        </is>
      </c>
      <c r="T5172" s="15" t="n">
        <v>469</v>
      </c>
      <c r="U5172" s="15" t="n">
        <v>78</v>
      </c>
      <c r="V5172" s="15">
        <f>ROUNDUP((T5172+U5172+2*'Read Me'!$B$13)*(1+'Read Me'!$B$12),-1)</f>
        <v/>
      </c>
      <c r="W5172" s="15">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I-MV-0022</t>
        </is>
      </c>
      <c r="B5173" s="12" t="inlineStr">
        <is>
          <t>I</t>
        </is>
      </c>
      <c r="C5173" s="12" t="inlineStr">
        <is>
          <t>Modular / portable power</t>
        </is>
      </c>
      <c r="D5173" s="12" t="inlineStr">
        <is>
          <t>RICE-7 generator leads to the PCM</t>
        </is>
      </c>
      <c r="E5173" s="12" t="inlineStr">
        <is>
          <t>RICE-7</t>
        </is>
      </c>
      <c r="F5173" s="12" t="inlineStr">
        <is>
          <t>RICE engine-generator 7</t>
        </is>
      </c>
      <c r="G5173" s="12" t="inlineStr"/>
      <c r="H5173" s="12" t="inlineStr">
        <is>
          <t>PCM: power control module</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2</v>
      </c>
      <c r="O5173" s="12" t="n">
        <v>3</v>
      </c>
      <c r="P5173" s="12" t="n">
        <v>13800</v>
      </c>
      <c r="Q5173" s="12" t="n">
        <v>18400</v>
      </c>
      <c r="R5173" s="12" t="n">
        <v>770</v>
      </c>
      <c r="S5173" s="12" t="inlineStr">
        <is>
          <t>Tray</t>
        </is>
      </c>
      <c r="T5173" s="15" t="n">
        <v>83</v>
      </c>
      <c r="U5173" s="15" t="n">
        <v>106</v>
      </c>
      <c r="V5173" s="15">
        <f>ROUNDUP((T5173+U5173+2*'Read Me'!$B$13)*(1+'Read Me'!$B$12),-1)</f>
        <v/>
      </c>
      <c r="W5173" s="15">
        <f>V5173*N5173*O5173</f>
        <v/>
      </c>
      <c r="X5173" s="12">
        <f>IF(LEFT(I5173,2)="MV",2*N5173*IF(L5173="1/C",O5173,1),0)</f>
        <v/>
      </c>
      <c r="Y5173" s="12">
        <f>IF(OR(LEFT(K5173,4)="LVAX",LEFT(K5173,6)="MV15AX",LEFT(K5173,4)="CTAX",LEFT(K5173,2)="W|"),2*N5173*O5173,0)</f>
        <v/>
      </c>
      <c r="Z5173" s="12" t="inlineStr">
        <is>
          <t>18V50 class ~18 MW (typ.)</t>
        </is>
      </c>
      <c r="AA5173" s="12">
        <f>N5173*O5173</f>
        <v/>
      </c>
    </row>
    <row r="5174">
      <c r="A5174" s="12" t="inlineStr">
        <is>
          <t>I-MV-0023</t>
        </is>
      </c>
      <c r="B5174" s="12" t="inlineStr">
        <is>
          <t>I</t>
        </is>
      </c>
      <c r="C5174" s="12" t="inlineStr">
        <is>
          <t>Modular / portable power</t>
        </is>
      </c>
      <c r="D5174" s="12" t="inlineStr">
        <is>
          <t>RICE-8 generator leads to the PCM</t>
        </is>
      </c>
      <c r="E5174" s="12" t="inlineStr">
        <is>
          <t>RICE-8</t>
        </is>
      </c>
      <c r="F5174" s="12" t="inlineStr">
        <is>
          <t>RICE engine-generator 8</t>
        </is>
      </c>
      <c r="G5174" s="12" t="inlineStr"/>
      <c r="H5174" s="12" t="inlineStr">
        <is>
          <t>PCM: power control module</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2</v>
      </c>
      <c r="O5174" s="12" t="n">
        <v>3</v>
      </c>
      <c r="P5174" s="12" t="n">
        <v>13800</v>
      </c>
      <c r="Q5174" s="12" t="n">
        <v>18400</v>
      </c>
      <c r="R5174" s="12" t="n">
        <v>770</v>
      </c>
      <c r="S5174" s="12" t="inlineStr">
        <is>
          <t>Tray</t>
        </is>
      </c>
      <c r="T5174" s="15" t="n">
        <v>37</v>
      </c>
      <c r="U5174" s="15" t="n">
        <v>124</v>
      </c>
      <c r="V5174" s="15">
        <f>ROUNDUP((T5174+U5174+2*'Read Me'!$B$13)*(1+'Read Me'!$B$12),-1)</f>
        <v/>
      </c>
      <c r="W5174" s="15">
        <f>V5174*N5174*O5174</f>
        <v/>
      </c>
      <c r="X5174" s="12">
        <f>IF(LEFT(I5174,2)="MV",2*N5174*IF(L5174="1/C",O5174,1),0)</f>
        <v/>
      </c>
      <c r="Y5174" s="12">
        <f>IF(OR(LEFT(K5174,4)="LVAX",LEFT(K5174,6)="MV15AX",LEFT(K5174,4)="CTAX",LEFT(K5174,2)="W|"),2*N5174*O5174,0)</f>
        <v/>
      </c>
      <c r="Z5174" s="12" t="inlineStr">
        <is>
          <t>18V50 class ~18 MW (typ.)</t>
        </is>
      </c>
      <c r="AA5174" s="12">
        <f>N5174*O5174</f>
        <v/>
      </c>
    </row>
    <row r="5175">
      <c r="A5175" s="12" t="inlineStr">
        <is>
          <t>I-MV-0024</t>
        </is>
      </c>
      <c r="B5175" s="12" t="inlineStr">
        <is>
          <t>I</t>
        </is>
      </c>
      <c r="C5175" s="12" t="inlineStr">
        <is>
          <t>Modular / portable power</t>
        </is>
      </c>
      <c r="D5175" s="12" t="inlineStr">
        <is>
          <t>SC-1 (LM6000 class) generator leads to its PCM / GCB</t>
        </is>
      </c>
      <c r="E5175" s="12" t="inlineStr">
        <is>
          <t>SC-1</t>
        </is>
      </c>
      <c r="F5175" s="12" t="inlineStr">
        <is>
          <t>SC-1: aeroderivative simple-cycle unit (LM6000 class)</t>
        </is>
      </c>
      <c r="G5175" s="12" t="inlineStr"/>
      <c r="H5175" s="12" t="inlineStr">
        <is>
          <t>SC-1 PCM + 15 kV GCB</t>
        </is>
      </c>
      <c r="I5175" s="12" t="inlineStr">
        <is>
          <t>MV 15 kV</t>
        </is>
      </c>
      <c r="J5175" s="12" t="inlineStr">
        <is>
          <t>MV-105 15 kV 1/C Cu, EPR 133%, Cu tape shield, PVC jacket (triplexed)</t>
        </is>
      </c>
      <c r="K5175" s="12" t="inlineStr">
        <is>
          <t>MV15|1/C|750</t>
        </is>
      </c>
      <c r="L5175" s="12" t="inlineStr">
        <is>
          <t>1/C</t>
        </is>
      </c>
      <c r="M5175" s="12" t="inlineStr">
        <is>
          <t>750 kcmil</t>
        </is>
      </c>
      <c r="N5175" s="12" t="n">
        <v>5</v>
      </c>
      <c r="O5175" s="12" t="n">
        <v>3</v>
      </c>
      <c r="P5175" s="12" t="n">
        <v>13800</v>
      </c>
      <c r="Q5175" s="12" t="n">
        <v>50000</v>
      </c>
      <c r="R5175" s="12" t="n">
        <v>2092</v>
      </c>
      <c r="S5175" s="12" t="inlineStr">
        <is>
          <t>Tray</t>
        </is>
      </c>
      <c r="T5175" s="15" t="n">
        <v>12</v>
      </c>
      <c r="U5175" s="15" t="n">
        <v>52</v>
      </c>
      <c r="V5175" s="15">
        <f>ROUNDUP((T5175+U5175+2*'Read Me'!$B$13)*(1+'Read Me'!$B$12),-1)</f>
        <v/>
      </c>
      <c r="W5175" s="15">
        <f>V5175*N5175*O5175</f>
        <v/>
      </c>
      <c r="X5175" s="12">
        <f>IF(LEFT(I5175,2)="MV",2*N5175*IF(L5175="1/C",O5175,1),0)</f>
        <v/>
      </c>
      <c r="Y5175" s="12">
        <f>IF(OR(LEFT(K5175,4)="LVAX",LEFT(K5175,6)="MV15AX",LEFT(K5175,4)="CTAX",LEFT(K5175,2)="W|"),2*N5175*O5175,0)</f>
        <v/>
      </c>
      <c r="Z5175" s="12" t="inlineStr"/>
      <c r="AA5175" s="12">
        <f>N5175*O5175</f>
        <v/>
      </c>
    </row>
    <row r="5176">
      <c r="A5176" s="12" t="inlineStr">
        <is>
          <t>I-MV-0025</t>
        </is>
      </c>
      <c r="B5176" s="12" t="inlineStr">
        <is>
          <t>I</t>
        </is>
      </c>
      <c r="C5176" s="12" t="inlineStr">
        <is>
          <t>Modular / portable power</t>
        </is>
      </c>
      <c r="D5176" s="12" t="inlineStr">
        <is>
          <t>SC-2 (LM6000 class) generator leads to its PCM / GCB</t>
        </is>
      </c>
      <c r="E5176" s="12" t="inlineStr">
        <is>
          <t>SC-2</t>
        </is>
      </c>
      <c r="F5176" s="12" t="inlineStr">
        <is>
          <t>SC-2: aeroderivative simple-cycle unit (LM6000 class)</t>
        </is>
      </c>
      <c r="G5176" s="12" t="inlineStr"/>
      <c r="H5176" s="12" t="inlineStr">
        <is>
          <t>SC-2 PCM + 15 kV GCB</t>
        </is>
      </c>
      <c r="I5176" s="12" t="inlineStr">
        <is>
          <t>MV 15 kV</t>
        </is>
      </c>
      <c r="J5176" s="12" t="inlineStr">
        <is>
          <t>MV-105 15 kV 1/C Cu, EPR 133%, Cu tape shield, PVC jacket (triplexed)</t>
        </is>
      </c>
      <c r="K5176" s="12" t="inlineStr">
        <is>
          <t>MV15|1/C|750</t>
        </is>
      </c>
      <c r="L5176" s="12" t="inlineStr">
        <is>
          <t>1/C</t>
        </is>
      </c>
      <c r="M5176" s="12" t="inlineStr">
        <is>
          <t>750 kcmil</t>
        </is>
      </c>
      <c r="N5176" s="12" t="n">
        <v>5</v>
      </c>
      <c r="O5176" s="12" t="n">
        <v>3</v>
      </c>
      <c r="P5176" s="12" t="n">
        <v>13800</v>
      </c>
      <c r="Q5176" s="12" t="n">
        <v>50000</v>
      </c>
      <c r="R5176" s="12" t="n">
        <v>2092</v>
      </c>
      <c r="S5176" s="12" t="inlineStr">
        <is>
          <t>Tray</t>
        </is>
      </c>
      <c r="T5176" s="15" t="n">
        <v>83</v>
      </c>
      <c r="U5176" s="15" t="n">
        <v>76</v>
      </c>
      <c r="V5176" s="15">
        <f>ROUNDUP((T5176+U5176+2*'Read Me'!$B$13)*(1+'Read Me'!$B$12),-1)</f>
        <v/>
      </c>
      <c r="W5176" s="15">
        <f>V5176*N5176*O5176</f>
        <v/>
      </c>
      <c r="X5176" s="12">
        <f>IF(LEFT(I5176,2)="MV",2*N5176*IF(L5176="1/C",O5176,1),0)</f>
        <v/>
      </c>
      <c r="Y5176" s="12">
        <f>IF(OR(LEFT(K5176,4)="LVAX",LEFT(K5176,6)="MV15AX",LEFT(K5176,4)="CTAX",LEFT(K5176,2)="W|"),2*N5176*O5176,0)</f>
        <v/>
      </c>
      <c r="Z5176" s="12" t="inlineStr"/>
      <c r="AA5176" s="12">
        <f>N5176*O5176</f>
        <v/>
      </c>
    </row>
    <row r="5177">
      <c r="A5177" s="12" t="inlineStr">
        <is>
          <t>I-PP-0001</t>
        </is>
      </c>
      <c r="B5177" s="12" t="inlineStr">
        <is>
          <t>I</t>
        </is>
      </c>
      <c r="C5177" s="12" t="inlineStr">
        <is>
          <t>Modular / portable power</t>
        </is>
      </c>
      <c r="D5177" s="12" t="inlineStr">
        <is>
          <t>GEN-E 480 V to PAD-LV (Type W sets, cam-lock)</t>
        </is>
      </c>
      <c r="E5177" s="12" t="inlineStr">
        <is>
          <t>GEN-E</t>
        </is>
      </c>
      <c r="F5177" s="12" t="inlineStr">
        <is>
          <t>GEN-E: enclosed industrial gas genset 2 MW</t>
        </is>
      </c>
      <c r="G5177" s="12" t="inlineStr">
        <is>
          <t>PAD-LV</t>
        </is>
      </c>
      <c r="H5177" s="12" t="inlineStr">
        <is>
          <t>PAD-LV 480 V paralleling switchboard</t>
        </is>
      </c>
      <c r="I5177" s="12" t="inlineStr">
        <is>
          <t>Portable LV</t>
        </is>
      </c>
      <c r="J5177" s="12" t="inlineStr">
        <is>
          <t>Type W 2 kV 1/C Cu, EPDM / CPE (portable, cam-lock)</t>
        </is>
      </c>
      <c r="K5177" s="12" t="inlineStr">
        <is>
          <t>W|1/C|4/0</t>
        </is>
      </c>
      <c r="L5177" s="12" t="inlineStr">
        <is>
          <t>1/C</t>
        </is>
      </c>
      <c r="M5177" s="12" t="inlineStr">
        <is>
          <t>4/0</t>
        </is>
      </c>
      <c r="N5177" s="12" t="n">
        <v>8</v>
      </c>
      <c r="O5177" s="12" t="n">
        <v>4</v>
      </c>
      <c r="P5177" s="12" t="n">
        <v>480</v>
      </c>
      <c r="Q5177" s="12" t="n">
        <v>2000</v>
      </c>
      <c r="R5177" s="12" t="n">
        <v>2406</v>
      </c>
      <c r="S5177" s="12" t="inlineStr">
        <is>
          <t>Surface</t>
        </is>
      </c>
      <c r="T5177" s="15" t="n">
        <v>143</v>
      </c>
      <c r="U5177" s="15" t="n">
        <v>27</v>
      </c>
      <c r="V5177" s="15">
        <f>ROUNDUP((T5177+U5177+2*'Read Me'!$B$13)*(1+'Read Me'!$B$12),-1)</f>
        <v/>
      </c>
      <c r="W5177" s="15">
        <f>V5177*N5177*O5177</f>
        <v/>
      </c>
      <c r="X5177" s="12">
        <f>IF(LEFT(I5177,2)="MV",2*N5177*IF(L5177="1/C",O5177,1),0)</f>
        <v/>
      </c>
      <c r="Y5177" s="12">
        <f>IF(OR(LEFT(K5177,4)="LVAX",LEFT(K5177,6)="MV15AX",LEFT(K5177,4)="CTAX",LEFT(K5177,2)="W|"),2*N5177*O5177,0)</f>
        <v/>
      </c>
      <c r="Z5177" s="12" t="inlineStr">
        <is>
          <t>4 x 1/C per set incl. ground</t>
        </is>
      </c>
      <c r="AA5177" s="12">
        <f>N5177*O5177</f>
        <v/>
      </c>
    </row>
    <row r="5178">
      <c r="A5178" s="12" t="inlineStr">
        <is>
          <t>I-PP-0002</t>
        </is>
      </c>
      <c r="B5178" s="12" t="inlineStr">
        <is>
          <t>I</t>
        </is>
      </c>
      <c r="C5178" s="12" t="inlineStr">
        <is>
          <t>Modular / portable power</t>
        </is>
      </c>
      <c r="D5178" s="12" t="inlineStr">
        <is>
          <t>GEN-O 480 V to PAD-LV (Type W sets, cam-lock)</t>
        </is>
      </c>
      <c r="E5178" s="12" t="inlineStr">
        <is>
          <t>GEN-O</t>
        </is>
      </c>
      <c r="F5178" s="12" t="inlineStr">
        <is>
          <t>GEN-O: open engine-generator skid</t>
        </is>
      </c>
      <c r="G5178" s="12" t="inlineStr">
        <is>
          <t>PAD-LV</t>
        </is>
      </c>
      <c r="H5178" s="12" t="inlineStr">
        <is>
          <t>PAD-LV 480 V paralleling switchboard</t>
        </is>
      </c>
      <c r="I5178" s="12" t="inlineStr">
        <is>
          <t>Portable LV</t>
        </is>
      </c>
      <c r="J5178" s="12" t="inlineStr">
        <is>
          <t>Type W 2 kV 1/C Cu, EPDM / CPE (portable, cam-lock)</t>
        </is>
      </c>
      <c r="K5178" s="12" t="inlineStr">
        <is>
          <t>W|1/C|4/0</t>
        </is>
      </c>
      <c r="L5178" s="12" t="inlineStr">
        <is>
          <t>1/C</t>
        </is>
      </c>
      <c r="M5178" s="12" t="inlineStr">
        <is>
          <t>4/0</t>
        </is>
      </c>
      <c r="N5178" s="12" t="n">
        <v>4</v>
      </c>
      <c r="O5178" s="12" t="n">
        <v>4</v>
      </c>
      <c r="P5178" s="12" t="n">
        <v>480</v>
      </c>
      <c r="Q5178" s="12" t="n">
        <v>1000</v>
      </c>
      <c r="R5178" s="12" t="n">
        <v>1203</v>
      </c>
      <c r="S5178" s="12" t="inlineStr">
        <is>
          <t>Surface</t>
        </is>
      </c>
      <c r="T5178" s="15" t="n">
        <v>132</v>
      </c>
      <c r="U5178" s="15" t="n">
        <v>27</v>
      </c>
      <c r="V5178" s="15">
        <f>ROUNDUP((T5178+U5178+2*'Read Me'!$B$13)*(1+'Read Me'!$B$12),-1)</f>
        <v/>
      </c>
      <c r="W5178" s="15">
        <f>V5178*N5178*O5178</f>
        <v/>
      </c>
      <c r="X5178" s="12">
        <f>IF(LEFT(I5178,2)="MV",2*N5178*IF(L5178="1/C",O5178,1),0)</f>
        <v/>
      </c>
      <c r="Y5178" s="12">
        <f>IF(OR(LEFT(K5178,4)="LVAX",LEFT(K5178,6)="MV15AX",LEFT(K5178,4)="CTAX",LEFT(K5178,2)="W|"),2*N5178*O5178,0)</f>
        <v/>
      </c>
      <c r="Z5178" s="12" t="inlineStr">
        <is>
          <t>4 x 1/C per set incl. ground</t>
        </is>
      </c>
      <c r="AA5178" s="12">
        <f>N5178*O5178</f>
        <v/>
      </c>
    </row>
    <row r="5179">
      <c r="A5179" s="12" t="inlineStr">
        <is>
          <t>I-PP-0003</t>
        </is>
      </c>
      <c r="B5179" s="12" t="inlineStr">
        <is>
          <t>I</t>
        </is>
      </c>
      <c r="C5179" s="12" t="inlineStr">
        <is>
          <t>Modular / portable power</t>
        </is>
      </c>
      <c r="D5179" s="12" t="inlineStr">
        <is>
          <t>CONT-1 13.8 kV leads to GSP-1</t>
        </is>
      </c>
      <c r="E5179" s="12" t="inlineStr">
        <is>
          <t>CONT-1</t>
        </is>
      </c>
      <c r="F5179" s="12" t="inlineStr">
        <is>
          <t>CONT-1: containerized genset 13.8 kV (40 ft)</t>
        </is>
      </c>
      <c r="G5179" s="12" t="inlineStr">
        <is>
          <t>GSP-1</t>
        </is>
      </c>
      <c r="H5179" s="12" t="inlineStr">
        <is>
          <t>GSP-1: generator breaker / protection</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Tray</t>
        </is>
      </c>
      <c r="T5179" s="15" t="n">
        <v>0</v>
      </c>
      <c r="U5179" s="15" t="n">
        <v>29</v>
      </c>
      <c r="V5179" s="15">
        <f>ROUNDUP((T5179+U5179+2*'Read Me'!$B$13)*(1+'Read Me'!$B$12),-1)</f>
        <v/>
      </c>
      <c r="W5179" s="15">
        <f>V5179*N5179*O5179</f>
        <v/>
      </c>
      <c r="X5179" s="12">
        <f>IF(LEFT(I5179,2)="MV",2*N5179*IF(L5179="1/C",O5179,1),0)</f>
        <v/>
      </c>
      <c r="Y5179" s="12">
        <f>IF(OR(LEFT(K5179,4)="LVAX",LEFT(K5179,6)="MV15AX",LEFT(K5179,4)="CTAX",LEFT(K5179,2)="W|"),2*N5179*O5179,0)</f>
        <v/>
      </c>
      <c r="Z5179" s="12" t="inlineStr">
        <is>
          <t>portable, on grade</t>
        </is>
      </c>
      <c r="AA5179" s="12">
        <f>N5179*O5179</f>
        <v/>
      </c>
    </row>
    <row r="5180">
      <c r="A5180" s="12" t="inlineStr">
        <is>
          <t>I-PP-0004</t>
        </is>
      </c>
      <c r="B5180" s="12" t="inlineStr">
        <is>
          <t>I</t>
        </is>
      </c>
      <c r="C5180" s="12" t="inlineStr">
        <is>
          <t>Modular / portable power</t>
        </is>
      </c>
      <c r="D5180" s="12" t="inlineStr">
        <is>
          <t>CONT-2 13.8 kV leads to GSP-2</t>
        </is>
      </c>
      <c r="E5180" s="12" t="inlineStr">
        <is>
          <t>CONT-2</t>
        </is>
      </c>
      <c r="F5180" s="12" t="inlineStr">
        <is>
          <t>CONT-2: containerized genset 13.8 kV (40 ft)</t>
        </is>
      </c>
      <c r="G5180" s="12" t="inlineStr">
        <is>
          <t>GSP-2</t>
        </is>
      </c>
      <c r="H5180" s="12" t="inlineStr">
        <is>
          <t>GSP-2: generator breaker / protection</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Riser</t>
        </is>
      </c>
      <c r="T5180" s="15" t="n">
        <v>2</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I-PP-0005</t>
        </is>
      </c>
      <c r="B5181" s="12" t="inlineStr">
        <is>
          <t>I</t>
        </is>
      </c>
      <c r="C5181" s="12" t="inlineStr">
        <is>
          <t>Modular / portable power</t>
        </is>
      </c>
      <c r="D5181" s="12" t="inlineStr">
        <is>
          <t>PIC to commissioning load bank</t>
        </is>
      </c>
      <c r="E5181" s="12" t="inlineStr">
        <is>
          <t>PIC</t>
        </is>
      </c>
      <c r="F5181" s="12" t="inlineStr">
        <is>
          <t>PIC: portable input cabinet</t>
        </is>
      </c>
      <c r="G5181" s="12" t="inlineStr">
        <is>
          <t>LB</t>
        </is>
      </c>
      <c r="H5181" s="12" t="inlineStr">
        <is>
          <t>LB: commissioning load bank (trailer)</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5" t="n">
        <v>27</v>
      </c>
      <c r="U5181" s="15" t="n">
        <v>39</v>
      </c>
      <c r="V5181" s="15">
        <f>ROUNDUP((T5181+U5181+2*'Read Me'!$B$13)*(1+'Read Me'!$B$12),-1)</f>
        <v/>
      </c>
      <c r="W5181" s="15">
        <f>V5181*N5181*O5181</f>
        <v/>
      </c>
      <c r="X5181" s="12">
        <f>IF(LEFT(I5181,2)="MV",2*N5181*IF(L5181="1/C",O5181,1),0)</f>
        <v/>
      </c>
      <c r="Y5181" s="12">
        <f>IF(OR(LEFT(K5181,4)="LVAX",LEFT(K5181,6)="MV15AX",LEFT(K5181,4)="CTAX",LEFT(K5181,2)="W|"),2*N5181*O5181,0)</f>
        <v/>
      </c>
      <c r="Z5181" s="12" t="inlineStr">
        <is>
          <t>portable</t>
        </is>
      </c>
      <c r="AA5181" s="12">
        <f>N5181*O5181</f>
        <v/>
      </c>
    </row>
    <row r="5182">
      <c r="A5182" s="12" t="inlineStr">
        <is>
          <t>I-PP-0006</t>
        </is>
      </c>
      <c r="B5182" s="12" t="inlineStr">
        <is>
          <t>I</t>
        </is>
      </c>
      <c r="C5182" s="12" t="inlineStr">
        <is>
          <t>Modular / portable power</t>
        </is>
      </c>
      <c r="D5182" s="12" t="inlineStr">
        <is>
          <t>GSP-1 to PAD-EH</t>
        </is>
      </c>
      <c r="E5182" s="12" t="inlineStr">
        <is>
          <t>GSP-1</t>
        </is>
      </c>
      <c r="F5182" s="12" t="inlineStr">
        <is>
          <t>GSP-1: generator breaker / protection</t>
        </is>
      </c>
      <c r="G5182" s="12" t="inlineStr">
        <is>
          <t>PAD-EH</t>
        </is>
      </c>
      <c r="H5182" s="12" t="inlineStr">
        <is>
          <t>PAD-EH 13.8 kV switchgear e-house</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5" t="n">
        <v>348</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portable, on grade</t>
        </is>
      </c>
      <c r="AA5182" s="12">
        <f>N5182*O5182</f>
        <v/>
      </c>
    </row>
    <row r="5183">
      <c r="A5183" s="12" t="inlineStr">
        <is>
          <t>I-PP-0007</t>
        </is>
      </c>
      <c r="B5183" s="12" t="inlineStr">
        <is>
          <t>I</t>
        </is>
      </c>
      <c r="C5183" s="12" t="inlineStr">
        <is>
          <t>Modular / portable power</t>
        </is>
      </c>
      <c r="D5183" s="12" t="inlineStr">
        <is>
          <t>GSP-2 to PAD-EH</t>
        </is>
      </c>
      <c r="E5183" s="12" t="inlineStr">
        <is>
          <t>GSP-2</t>
        </is>
      </c>
      <c r="F5183" s="12" t="inlineStr">
        <is>
          <t>GSP-2: generator breaker / protection</t>
        </is>
      </c>
      <c r="G5183" s="12" t="inlineStr">
        <is>
          <t>PAD-EH</t>
        </is>
      </c>
      <c r="H5183" s="12" t="inlineStr">
        <is>
          <t>PAD-EH 13.8 kV switchgear e-house</t>
        </is>
      </c>
      <c r="I5183" s="12" t="inlineStr">
        <is>
          <t>Portable MV</t>
        </is>
      </c>
      <c r="J5183" s="12" t="inlineStr">
        <is>
          <t>Type SHD-GC 15 kV 3/C Cu, 2 grounds + GC, yellow CPE (portable)</t>
        </is>
      </c>
      <c r="K5183" s="12" t="inlineStr">
        <is>
          <t>SHD|3/C|2</t>
        </is>
      </c>
      <c r="L5183" s="12" t="inlineStr">
        <is>
          <t>3/C</t>
        </is>
      </c>
      <c r="M5183" s="12" t="inlineStr">
        <is>
          <t>2</t>
        </is>
      </c>
      <c r="N5183" s="12" t="n">
        <v>1</v>
      </c>
      <c r="O5183" s="12" t="n">
        <v>1</v>
      </c>
      <c r="P5183" s="12" t="n">
        <v>13800</v>
      </c>
      <c r="Q5183" s="12" t="n">
        <v>2000</v>
      </c>
      <c r="R5183" s="12" t="n">
        <v>93</v>
      </c>
      <c r="S5183" s="12" t="inlineStr">
        <is>
          <t>Surface</t>
        </is>
      </c>
      <c r="T5183" s="15" t="n">
        <v>361</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portable, on grade</t>
        </is>
      </c>
      <c r="AA5183" s="12">
        <f>N5183*O5183</f>
        <v/>
      </c>
    </row>
    <row r="5184">
      <c r="A5184" s="12" t="inlineStr">
        <is>
          <t>I-PP-0008</t>
        </is>
      </c>
      <c r="B5184" s="12" t="inlineStr">
        <is>
          <t>I</t>
        </is>
      </c>
      <c r="C5184" s="12" t="inlineStr">
        <is>
          <t>Modular / portable power</t>
        </is>
      </c>
      <c r="D5184" s="12" t="inlineStr">
        <is>
          <t>MOB-1 13.8 kV to PIC through the C-L01 ramp</t>
        </is>
      </c>
      <c r="E5184" s="12" t="inlineStr">
        <is>
          <t>MOB-1</t>
        </is>
      </c>
      <c r="F5184" s="12" t="inlineStr">
        <is>
          <t>MOB-1: trailer genset</t>
        </is>
      </c>
      <c r="G5184" s="12" t="inlineStr">
        <is>
          <t>PIC</t>
        </is>
      </c>
      <c r="H5184" s="12" t="inlineStr">
        <is>
          <t>PIC: portable input cabinet</t>
        </is>
      </c>
      <c r="I5184" s="12" t="inlineStr">
        <is>
          <t>Portable MV</t>
        </is>
      </c>
      <c r="J5184" s="12" t="inlineStr">
        <is>
          <t>Type SHD-GC 15 kV 3/C Cu, 2 grounds + GC, yellow CPE (portable)</t>
        </is>
      </c>
      <c r="K5184" s="12" t="inlineStr">
        <is>
          <t>SHD|3/C|2</t>
        </is>
      </c>
      <c r="L5184" s="12" t="inlineStr">
        <is>
          <t>3/C</t>
        </is>
      </c>
      <c r="M5184" s="12" t="inlineStr">
        <is>
          <t>2</t>
        </is>
      </c>
      <c r="N5184" s="12" t="n">
        <v>1</v>
      </c>
      <c r="O5184" s="12" t="n">
        <v>1</v>
      </c>
      <c r="P5184" s="12" t="n">
        <v>13800</v>
      </c>
      <c r="Q5184" s="12" t="n">
        <v>2000</v>
      </c>
      <c r="R5184" s="12" t="n">
        <v>93</v>
      </c>
      <c r="S5184" s="12" t="inlineStr">
        <is>
          <t>Surface</t>
        </is>
      </c>
      <c r="T5184" s="15" t="n">
        <v>162</v>
      </c>
      <c r="U5184" s="15" t="n">
        <v>27</v>
      </c>
      <c r="V5184" s="15">
        <f>ROUNDUP((T5184+U5184+2*'Read Me'!$B$13)*(1+'Read Me'!$B$12),-1)</f>
        <v/>
      </c>
      <c r="W5184" s="15">
        <f>V5184*N5184*O5184</f>
        <v/>
      </c>
      <c r="X5184" s="12">
        <f>IF(LEFT(I5184,2)="MV",2*N5184*IF(L5184="1/C",O5184,1),0)</f>
        <v/>
      </c>
      <c r="Y5184" s="12">
        <f>IF(OR(LEFT(K5184,4)="LVAX",LEFT(K5184,6)="MV15AX",LEFT(K5184,4)="CTAX",LEFT(K5184,2)="W|"),2*N5184*O5184,0)</f>
        <v/>
      </c>
      <c r="Z5184" s="12" t="inlineStr">
        <is>
          <t>portable</t>
        </is>
      </c>
      <c r="AA5184" s="12">
        <f>N5184*O5184</f>
        <v/>
      </c>
    </row>
    <row r="5185">
      <c r="A5185" s="12" t="inlineStr">
        <is>
          <t>J-C-0001</t>
        </is>
      </c>
      <c r="B5185" s="12" t="inlineStr">
        <is>
          <t>J</t>
        </is>
      </c>
      <c r="C5185" s="12" t="inlineStr">
        <is>
          <t>GT inlet chilling</t>
        </is>
      </c>
      <c r="D5185" s="12" t="inlineStr">
        <is>
          <t>Motor 1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Tray</t>
        </is>
      </c>
      <c r="T5185" s="15" t="n">
        <v>214</v>
      </c>
      <c r="U5185" s="15" t="n">
        <v>58</v>
      </c>
      <c r="V5185" s="15">
        <f>ROUNDUP((T5185+U5185+2*'Read Me'!$B$13)*(1+'Read Me'!$B$12),-1)</f>
        <v/>
      </c>
      <c r="W5185" s="15">
        <f>V5185*N5185*O5185</f>
        <v/>
      </c>
      <c r="X5185" s="12">
        <f>IF(LEFT(I5185,2)="MV",2*N5185*IF(L5185="1/C",O5185,1),0)</f>
        <v/>
      </c>
      <c r="Y5185" s="12">
        <f>IF(OR(LEFT(K5185,4)="LVAX",LEFT(K5185,6)="MV15AX",LEFT(K5185,4)="CTAX",LEFT(K5185,2)="W|"),2*N5185*O5185,0)</f>
        <v/>
      </c>
      <c r="Z5185" s="12" t="inlineStr"/>
      <c r="AA5185" s="12">
        <f>N5185*O5185</f>
        <v/>
      </c>
    </row>
    <row r="5186">
      <c r="A5186" s="12" t="inlineStr">
        <is>
          <t>J-C-0002</t>
        </is>
      </c>
      <c r="B5186" s="12" t="inlineStr">
        <is>
          <t>J</t>
        </is>
      </c>
      <c r="C5186" s="12" t="inlineStr">
        <is>
          <t>GT inlet chilling</t>
        </is>
      </c>
      <c r="D5186" s="12" t="inlineStr">
        <is>
          <t>Motor 2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Tray</t>
        </is>
      </c>
      <c r="T5186" s="15" t="n">
        <v>214</v>
      </c>
      <c r="U5186" s="15" t="n">
        <v>58</v>
      </c>
      <c r="V5186" s="15">
        <f>ROUNDUP((T5186+U5186+2*'Read Me'!$B$13)*(1+'Read Me'!$B$12),-1)</f>
        <v/>
      </c>
      <c r="W5186" s="15">
        <f>V5186*N5186*O5186</f>
        <v/>
      </c>
      <c r="X5186" s="12">
        <f>IF(LEFT(I5186,2)="MV",2*N5186*IF(L5186="1/C",O5186,1),0)</f>
        <v/>
      </c>
      <c r="Y5186" s="12">
        <f>IF(OR(LEFT(K5186,4)="LVAX",LEFT(K5186,6)="MV15AX",LEFT(K5186,4)="CTAX",LEFT(K5186,2)="W|"),2*N5186*O5186,0)</f>
        <v/>
      </c>
      <c r="Z5186" s="12" t="inlineStr"/>
      <c r="AA5186" s="12">
        <f>N5186*O5186</f>
        <v/>
      </c>
    </row>
    <row r="5187">
      <c r="A5187" s="12" t="inlineStr">
        <is>
          <t>J-C-0003</t>
        </is>
      </c>
      <c r="B5187" s="12" t="inlineStr">
        <is>
          <t>J</t>
        </is>
      </c>
      <c r="C5187" s="12" t="inlineStr">
        <is>
          <t>GT inlet chilling</t>
        </is>
      </c>
      <c r="D5187" s="12" t="inlineStr">
        <is>
          <t>Motor 3 of 4: control / local station</t>
        </is>
      </c>
      <c r="E5187" s="12" t="inlineStr"/>
      <c r="F5187" s="12" t="inlineStr">
        <is>
          <t>Inlet-chilling e-house / transformer</t>
        </is>
      </c>
      <c r="G5187" s="12" t="inlineStr"/>
      <c r="H5187" s="12" t="inlineStr">
        <is>
          <t>CHW pumps</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Tray</t>
        </is>
      </c>
      <c r="T5187" s="15" t="n">
        <v>214</v>
      </c>
      <c r="U5187" s="15" t="n">
        <v>58</v>
      </c>
      <c r="V5187" s="15">
        <f>ROUNDUP((T5187+U5187+2*'Read Me'!$B$13)*(1+'Read Me'!$B$12),-1)</f>
        <v/>
      </c>
      <c r="W5187" s="15">
        <f>V5187*N5187*O5187</f>
        <v/>
      </c>
      <c r="X5187" s="12">
        <f>IF(LEFT(I5187,2)="MV",2*N5187*IF(L5187="1/C",O5187,1),0)</f>
        <v/>
      </c>
      <c r="Y5187" s="12">
        <f>IF(OR(LEFT(K5187,4)="LVAX",LEFT(K5187,6)="MV15AX",LEFT(K5187,4)="CTAX",LEFT(K5187,2)="W|"),2*N5187*O5187,0)</f>
        <v/>
      </c>
      <c r="Z5187" s="12" t="inlineStr"/>
      <c r="AA5187" s="12">
        <f>N5187*O5187</f>
        <v/>
      </c>
    </row>
    <row r="5188">
      <c r="A5188" s="12" t="inlineStr">
        <is>
          <t>J-C-0004</t>
        </is>
      </c>
      <c r="B5188" s="12" t="inlineStr">
        <is>
          <t>J</t>
        </is>
      </c>
      <c r="C5188" s="12" t="inlineStr">
        <is>
          <t>GT inlet chilling</t>
        </is>
      </c>
      <c r="D5188" s="12" t="inlineStr">
        <is>
          <t>Motor 4 of 4: control / local station</t>
        </is>
      </c>
      <c r="E5188" s="12" t="inlineStr"/>
      <c r="F5188" s="12" t="inlineStr">
        <is>
          <t>Inlet-chilling e-house / transformer</t>
        </is>
      </c>
      <c r="G5188" s="12" t="inlineStr"/>
      <c r="H5188" s="12" t="inlineStr">
        <is>
          <t>CHW pumps</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Tray</t>
        </is>
      </c>
      <c r="T5188" s="15" t="n">
        <v>214</v>
      </c>
      <c r="U5188" s="15" t="n">
        <v>58</v>
      </c>
      <c r="V5188" s="15">
        <f>ROUNDUP((T5188+U5188+2*'Read Me'!$B$13)*(1+'Read Me'!$B$12),-1)</f>
        <v/>
      </c>
      <c r="W5188" s="15">
        <f>V5188*N5188*O5188</f>
        <v/>
      </c>
      <c r="X5188" s="12">
        <f>IF(LEFT(I5188,2)="MV",2*N5188*IF(L5188="1/C",O5188,1),0)</f>
        <v/>
      </c>
      <c r="Y5188" s="12">
        <f>IF(OR(LEFT(K5188,4)="LVAX",LEFT(K5188,6)="MV15AX",LEFT(K5188,4)="CTAX",LEFT(K5188,2)="W|"),2*N5188*O5188,0)</f>
        <v/>
      </c>
      <c r="Z5188" s="12" t="inlineStr"/>
      <c r="AA5188" s="12">
        <f>N5188*O5188</f>
        <v/>
      </c>
    </row>
    <row r="5189">
      <c r="A5189" s="12" t="inlineStr">
        <is>
          <t>J-C-0005</t>
        </is>
      </c>
      <c r="B5189" s="12" t="inlineStr">
        <is>
          <t>J</t>
        </is>
      </c>
      <c r="C5189" s="12" t="inlineStr">
        <is>
          <t>GT inlet chilling</t>
        </is>
      </c>
      <c r="D5189" s="12" t="inlineStr">
        <is>
          <t>Motor 1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5" t="n">
        <v>10</v>
      </c>
      <c r="U5189" s="15" t="n">
        <v>32</v>
      </c>
      <c r="V5189" s="15">
        <f>ROUNDUP((T5189+U5189+2*'Read Me'!$B$13)*(1+'Read Me'!$B$12),-1)</f>
        <v/>
      </c>
      <c r="W5189" s="15">
        <f>V5189*N5189*O5189</f>
        <v/>
      </c>
      <c r="X5189" s="12">
        <f>IF(LEFT(I5189,2)="MV",2*N5189*IF(L5189="1/C",O5189,1),0)</f>
        <v/>
      </c>
      <c r="Y5189" s="12">
        <f>IF(OR(LEFT(K5189,4)="LVAX",LEFT(K5189,6)="MV15AX",LEFT(K5189,4)="CTAX",LEFT(K5189,2)="W|"),2*N5189*O5189,0)</f>
        <v/>
      </c>
      <c r="Z5189" s="12" t="inlineStr"/>
      <c r="AA5189" s="12">
        <f>N5189*O5189</f>
        <v/>
      </c>
    </row>
    <row r="5190">
      <c r="A5190" s="12" t="inlineStr">
        <is>
          <t>J-C-0006</t>
        </is>
      </c>
      <c r="B5190" s="12" t="inlineStr">
        <is>
          <t>J</t>
        </is>
      </c>
      <c r="C5190" s="12" t="inlineStr">
        <is>
          <t>GT inlet chilling</t>
        </is>
      </c>
      <c r="D5190" s="12" t="inlineStr">
        <is>
          <t>Motor 2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5" t="n">
        <v>10</v>
      </c>
      <c r="U5190" s="15" t="n">
        <v>32</v>
      </c>
      <c r="V5190" s="15">
        <f>ROUNDUP((T5190+U5190+2*'Read Me'!$B$13)*(1+'Read Me'!$B$12),-1)</f>
        <v/>
      </c>
      <c r="W5190" s="15">
        <f>V5190*N5190*O5190</f>
        <v/>
      </c>
      <c r="X5190" s="12">
        <f>IF(LEFT(I5190,2)="MV",2*N5190*IF(L5190="1/C",O5190,1),0)</f>
        <v/>
      </c>
      <c r="Y5190" s="12">
        <f>IF(OR(LEFT(K5190,4)="LVAX",LEFT(K5190,6)="MV15AX",LEFT(K5190,4)="CTAX",LEFT(K5190,2)="W|"),2*N5190*O5190,0)</f>
        <v/>
      </c>
      <c r="Z5190" s="12" t="inlineStr"/>
      <c r="AA5190" s="12">
        <f>N5190*O5190</f>
        <v/>
      </c>
    </row>
    <row r="5191">
      <c r="A5191" s="12" t="inlineStr">
        <is>
          <t>J-C-0007</t>
        </is>
      </c>
      <c r="B5191" s="12" t="inlineStr">
        <is>
          <t>J</t>
        </is>
      </c>
      <c r="C5191" s="12" t="inlineStr">
        <is>
          <t>GT inlet chilling</t>
        </is>
      </c>
      <c r="D5191" s="12" t="inlineStr">
        <is>
          <t>Motor 3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5" t="n">
        <v>10</v>
      </c>
      <c r="U5191" s="15" t="n">
        <v>32</v>
      </c>
      <c r="V5191" s="15">
        <f>ROUNDUP((T5191+U5191+2*'Read Me'!$B$13)*(1+'Read Me'!$B$12),-1)</f>
        <v/>
      </c>
      <c r="W5191" s="15">
        <f>V5191*N5191*O5191</f>
        <v/>
      </c>
      <c r="X5191" s="12">
        <f>IF(LEFT(I5191,2)="MV",2*N5191*IF(L5191="1/C",O5191,1),0)</f>
        <v/>
      </c>
      <c r="Y5191" s="12">
        <f>IF(OR(LEFT(K5191,4)="LVAX",LEFT(K5191,6)="MV15AX",LEFT(K5191,4)="CTAX",LEFT(K5191,2)="W|"),2*N5191*O5191,0)</f>
        <v/>
      </c>
      <c r="Z5191" s="12" t="inlineStr"/>
      <c r="AA5191" s="12">
        <f>N5191*O5191</f>
        <v/>
      </c>
    </row>
    <row r="5192">
      <c r="A5192" s="12" t="inlineStr">
        <is>
          <t>J-C-0008</t>
        </is>
      </c>
      <c r="B5192" s="12" t="inlineStr">
        <is>
          <t>J</t>
        </is>
      </c>
      <c r="C5192" s="12" t="inlineStr">
        <is>
          <t>GT inlet chilling</t>
        </is>
      </c>
      <c r="D5192" s="12" t="inlineStr">
        <is>
          <t>Motor 4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5" t="n">
        <v>10</v>
      </c>
      <c r="U5192" s="15" t="n">
        <v>32</v>
      </c>
      <c r="V5192" s="15">
        <f>ROUNDUP((T5192+U5192+2*'Read Me'!$B$13)*(1+'Read Me'!$B$12),-1)</f>
        <v/>
      </c>
      <c r="W5192" s="15">
        <f>V5192*N5192*O5192</f>
        <v/>
      </c>
      <c r="X5192" s="12">
        <f>IF(LEFT(I5192,2)="MV",2*N5192*IF(L5192="1/C",O5192,1),0)</f>
        <v/>
      </c>
      <c r="Y5192" s="12">
        <f>IF(OR(LEFT(K5192,4)="LVAX",LEFT(K5192,6)="MV15AX",LEFT(K5192,4)="CTAX",LEFT(K5192,2)="W|"),2*N5192*O5192,0)</f>
        <v/>
      </c>
      <c r="Z5192" s="12" t="inlineStr"/>
      <c r="AA5192" s="12">
        <f>N5192*O5192</f>
        <v/>
      </c>
    </row>
    <row r="5193">
      <c r="A5193" s="12" t="inlineStr">
        <is>
          <t>J-C-0009</t>
        </is>
      </c>
      <c r="B5193" s="12" t="inlineStr">
        <is>
          <t>J</t>
        </is>
      </c>
      <c r="C5193" s="12" t="inlineStr">
        <is>
          <t>GT inlet chilling</t>
        </is>
      </c>
      <c r="D5193" s="12" t="inlineStr">
        <is>
          <t>Motor 5 of 6: control / local station</t>
        </is>
      </c>
      <c r="E5193" s="12" t="inlineStr"/>
      <c r="F5193" s="12" t="inlineStr">
        <is>
          <t>Inlet-chilling e-house / transformer</t>
        </is>
      </c>
      <c r="G5193" s="12" t="inlineStr"/>
      <c r="H5193" s="12" t="inlineStr">
        <is>
          <t>Chillers x6 (water-cooled)</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Duct bank</t>
        </is>
      </c>
      <c r="T5193" s="15" t="n">
        <v>10</v>
      </c>
      <c r="U5193" s="15" t="n">
        <v>32</v>
      </c>
      <c r="V5193" s="15">
        <f>ROUNDUP((T5193+U5193+2*'Read Me'!$B$13)*(1+'Read Me'!$B$12),-1)</f>
        <v/>
      </c>
      <c r="W5193" s="15">
        <f>V5193*N5193*O5193</f>
        <v/>
      </c>
      <c r="X5193" s="12">
        <f>IF(LEFT(I5193,2)="MV",2*N5193*IF(L5193="1/C",O5193,1),0)</f>
        <v/>
      </c>
      <c r="Y5193" s="12">
        <f>IF(OR(LEFT(K5193,4)="LVAX",LEFT(K5193,6)="MV15AX",LEFT(K5193,4)="CTAX",LEFT(K5193,2)="W|"),2*N5193*O5193,0)</f>
        <v/>
      </c>
      <c r="Z5193" s="12" t="inlineStr"/>
      <c r="AA5193" s="12">
        <f>N5193*O5193</f>
        <v/>
      </c>
    </row>
    <row r="5194">
      <c r="A5194" s="12" t="inlineStr">
        <is>
          <t>J-C-0010</t>
        </is>
      </c>
      <c r="B5194" s="12" t="inlineStr">
        <is>
          <t>J</t>
        </is>
      </c>
      <c r="C5194" s="12" t="inlineStr">
        <is>
          <t>GT inlet chilling</t>
        </is>
      </c>
      <c r="D5194" s="12" t="inlineStr">
        <is>
          <t>Motor 6 of 6: control / local station</t>
        </is>
      </c>
      <c r="E5194" s="12" t="inlineStr"/>
      <c r="F5194" s="12" t="inlineStr">
        <is>
          <t>Inlet-chilling e-house / transformer</t>
        </is>
      </c>
      <c r="G5194" s="12" t="inlineStr"/>
      <c r="H5194" s="12" t="inlineStr">
        <is>
          <t>Chillers x6 (water-cooled)</t>
        </is>
      </c>
      <c r="I5194" s="12" t="inlineStr">
        <is>
          <t>Control</t>
        </is>
      </c>
      <c r="J5194" s="12" t="inlineStr">
        <is>
          <t>Control cable 600 V Type TC-ER, Cu #14 AWG, PVC jacket</t>
        </is>
      </c>
      <c r="K5194" s="12" t="inlineStr">
        <is>
          <t>CT|7/C|14</t>
        </is>
      </c>
      <c r="L5194" s="12" t="inlineStr">
        <is>
          <t>7/C</t>
        </is>
      </c>
      <c r="M5194" s="12" t="inlineStr">
        <is>
          <t>14</t>
        </is>
      </c>
      <c r="N5194" s="12" t="n">
        <v>1</v>
      </c>
      <c r="O5194" s="12" t="n">
        <v>1</v>
      </c>
      <c r="P5194" s="12" t="n"/>
      <c r="Q5194" s="12" t="n"/>
      <c r="R5194" s="12" t="n"/>
      <c r="S5194" s="12" t="inlineStr">
        <is>
          <t>Duct bank</t>
        </is>
      </c>
      <c r="T5194" s="15" t="n">
        <v>10</v>
      </c>
      <c r="U5194" s="15" t="n">
        <v>32</v>
      </c>
      <c r="V5194" s="15">
        <f>ROUNDUP((T5194+U5194+2*'Read Me'!$B$13)*(1+'Read Me'!$B$12),-1)</f>
        <v/>
      </c>
      <c r="W5194" s="15">
        <f>V5194*N5194*O5194</f>
        <v/>
      </c>
      <c r="X5194" s="12">
        <f>IF(LEFT(I5194,2)="MV",2*N5194*IF(L5194="1/C",O5194,1),0)</f>
        <v/>
      </c>
      <c r="Y5194" s="12">
        <f>IF(OR(LEFT(K5194,4)="LVAX",LEFT(K5194,6)="MV15AX",LEFT(K5194,4)="CTAX",LEFT(K5194,2)="W|"),2*N5194*O5194,0)</f>
        <v/>
      </c>
      <c r="Z5194" s="12" t="inlineStr"/>
      <c r="AA5194" s="12">
        <f>N5194*O5194</f>
        <v/>
      </c>
    </row>
    <row r="5195">
      <c r="A5195" s="12" t="inlineStr">
        <is>
          <t>J-C-0011</t>
        </is>
      </c>
      <c r="B5195" s="12" t="inlineStr">
        <is>
          <t>J</t>
        </is>
      </c>
      <c r="C5195" s="12" t="inlineStr">
        <is>
          <t>GT inlet chilling</t>
        </is>
      </c>
      <c r="D5195" s="12" t="inlineStr">
        <is>
          <t>Control</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#14 AWG, PVC jacket</t>
        </is>
      </c>
      <c r="K5195" s="12" t="inlineStr">
        <is>
          <t>CT|7/C|14</t>
        </is>
      </c>
      <c r="L5195" s="12" t="inlineStr">
        <is>
          <t>7/C</t>
        </is>
      </c>
      <c r="M5195" s="12" t="inlineStr">
        <is>
          <t>14</t>
        </is>
      </c>
      <c r="N5195" s="12" t="n">
        <v>1</v>
      </c>
      <c r="O5195" s="12" t="n">
        <v>1</v>
      </c>
      <c r="P5195" s="12" t="n"/>
      <c r="Q5195" s="12" t="n"/>
      <c r="R5195" s="12" t="n"/>
      <c r="S5195" s="12" t="inlineStr">
        <is>
          <t>Tray</t>
        </is>
      </c>
      <c r="T5195" s="15" t="n">
        <v>0</v>
      </c>
      <c r="U5195" s="15" t="n">
        <v>32</v>
      </c>
      <c r="V5195" s="15">
        <f>ROUNDUP((T5195+U5195+2*'Read Me'!$B$13)*(1+'Read Me'!$B$12),-1)</f>
        <v/>
      </c>
      <c r="W5195" s="15">
        <f>V5195*N5195*O5195</f>
        <v/>
      </c>
      <c r="X5195" s="12">
        <f>IF(LEFT(I5195,2)="MV",2*N5195*IF(L5195="1/C",O5195,1),0)</f>
        <v/>
      </c>
      <c r="Y5195" s="12">
        <f>IF(OR(LEFT(K5195,4)="LVAX",LEFT(K5195,6)="MV15AX",LEFT(K5195,4)="CTAX",LEFT(K5195,2)="W|"),2*N5195*O5195,0)</f>
        <v/>
      </c>
      <c r="Z5195" s="12" t="inlineStr"/>
      <c r="AA5195" s="12">
        <f>N5195*O5195</f>
        <v/>
      </c>
    </row>
    <row r="5196">
      <c r="A5196" s="12" t="inlineStr">
        <is>
          <t>J-C-0012</t>
        </is>
      </c>
      <c r="B5196" s="12" t="inlineStr">
        <is>
          <t>J</t>
        </is>
      </c>
      <c r="C5196" s="12" t="inlineStr">
        <is>
          <t>GT inlet chilling</t>
        </is>
      </c>
      <c r="D5196" s="12" t="inlineStr">
        <is>
          <t>Control</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#14 AWG, PVC jacket</t>
        </is>
      </c>
      <c r="K5196" s="12" t="inlineStr">
        <is>
          <t>CT|12/C|14</t>
        </is>
      </c>
      <c r="L5196" s="12" t="inlineStr">
        <is>
          <t>12/C</t>
        </is>
      </c>
      <c r="M5196" s="12" t="inlineStr">
        <is>
          <t>14</t>
        </is>
      </c>
      <c r="N5196" s="12" t="n">
        <v>1</v>
      </c>
      <c r="O5196" s="12" t="n">
        <v>1</v>
      </c>
      <c r="P5196" s="12" t="n"/>
      <c r="Q5196" s="12" t="n"/>
      <c r="R5196" s="12" t="n"/>
      <c r="S5196" s="12" t="inlineStr">
        <is>
          <t>Tray</t>
        </is>
      </c>
      <c r="T5196" s="15" t="n">
        <v>0</v>
      </c>
      <c r="U5196" s="15" t="n">
        <v>32</v>
      </c>
      <c r="V5196" s="15">
        <f>ROUNDUP((T5196+U5196+2*'Read Me'!$B$13)*(1+'Read Me'!$B$12),-1)</f>
        <v/>
      </c>
      <c r="W5196" s="15">
        <f>V5196*N5196*O5196</f>
        <v/>
      </c>
      <c r="X5196" s="12">
        <f>IF(LEFT(I5196,2)="MV",2*N5196*IF(L5196="1/C",O5196,1),0)</f>
        <v/>
      </c>
      <c r="Y5196" s="12">
        <f>IF(OR(LEFT(K5196,4)="LVAX",LEFT(K5196,6)="MV15AX",LEFT(K5196,4)="CTAX",LEFT(K5196,2)="W|"),2*N5196*O5196,0)</f>
        <v/>
      </c>
      <c r="Z5196" s="12" t="inlineStr"/>
      <c r="AA5196" s="12">
        <f>N5196*O5196</f>
        <v/>
      </c>
    </row>
    <row r="5197">
      <c r="A5197" s="12" t="inlineStr">
        <is>
          <t>J-C-0013</t>
        </is>
      </c>
      <c r="B5197" s="12" t="inlineStr">
        <is>
          <t>J</t>
        </is>
      </c>
      <c r="C5197" s="12" t="inlineStr">
        <is>
          <t>GT inlet chilling</t>
        </is>
      </c>
      <c r="D5197" s="12" t="inlineStr">
        <is>
          <t>CT / VT</t>
        </is>
      </c>
      <c r="E5197" s="12" t="inlineStr"/>
      <c r="F5197" s="12" t="inlineStr">
        <is>
          <t>Inlet-chilling e-house / transformer</t>
        </is>
      </c>
      <c r="G5197" s="12" t="inlineStr"/>
      <c r="H5197" s="12" t="inlineStr">
        <is>
          <t>Inlet-chilling e-house / transformer</t>
        </is>
      </c>
      <c r="I5197" s="12" t="inlineStr">
        <is>
          <t>Control</t>
        </is>
      </c>
      <c r="J5197" s="12" t="inlineStr">
        <is>
          <t>Control cable 600 V Type TC-ER, Cu #10 AWG (CT / VT circuits)</t>
        </is>
      </c>
      <c r="K5197" s="12" t="inlineStr">
        <is>
          <t>CTCT|4/C|10</t>
        </is>
      </c>
      <c r="L5197" s="12" t="inlineStr">
        <is>
          <t>4/C</t>
        </is>
      </c>
      <c r="M5197" s="12" t="inlineStr">
        <is>
          <t>10</t>
        </is>
      </c>
      <c r="N5197" s="12" t="n">
        <v>1</v>
      </c>
      <c r="O5197" s="12" t="n">
        <v>1</v>
      </c>
      <c r="P5197" s="12" t="n"/>
      <c r="Q5197" s="12" t="n"/>
      <c r="R5197" s="12" t="n"/>
      <c r="S5197" s="12" t="inlineStr">
        <is>
          <t>Tray</t>
        </is>
      </c>
      <c r="T5197" s="15" t="n">
        <v>0</v>
      </c>
      <c r="U5197" s="15" t="n">
        <v>32</v>
      </c>
      <c r="V5197" s="15">
        <f>ROUNDUP((T5197+U5197+2*'Read Me'!$B$13)*(1+'Read Me'!$B$12),-1)</f>
        <v/>
      </c>
      <c r="W5197" s="15">
        <f>V5197*N5197*O5197</f>
        <v/>
      </c>
      <c r="X5197" s="12">
        <f>IF(LEFT(I5197,2)="MV",2*N5197*IF(L5197="1/C",O5197,1),0)</f>
        <v/>
      </c>
      <c r="Y5197" s="12">
        <f>IF(OR(LEFT(K5197,4)="LVAX",LEFT(K5197,6)="MV15AX",LEFT(K5197,4)="CTAX",LEFT(K5197,2)="W|"),2*N5197*O5197,0)</f>
        <v/>
      </c>
      <c r="Z5197" s="12" t="inlineStr"/>
      <c r="AA5197" s="12">
        <f>N5197*O5197</f>
        <v/>
      </c>
    </row>
    <row r="5198">
      <c r="A5198" s="12" t="inlineStr">
        <is>
          <t>J-C-0014</t>
        </is>
      </c>
      <c r="B5198" s="12" t="inlineStr">
        <is>
          <t>J</t>
        </is>
      </c>
      <c r="C5198" s="12" t="inlineStr">
        <is>
          <t>GT inlet chilling</t>
        </is>
      </c>
      <c r="D5198" s="12" t="inlineStr">
        <is>
          <t>CT / VT</t>
        </is>
      </c>
      <c r="E5198" s="12" t="inlineStr"/>
      <c r="F5198" s="12" t="inlineStr">
        <is>
          <t>Inlet-chilling e-house / transformer</t>
        </is>
      </c>
      <c r="G5198" s="12" t="inlineStr"/>
      <c r="H5198" s="12" t="inlineStr">
        <is>
          <t>Inlet-chilling e-house / transformer</t>
        </is>
      </c>
      <c r="I5198" s="12" t="inlineStr">
        <is>
          <t>Control</t>
        </is>
      </c>
      <c r="J5198" s="12" t="inlineStr">
        <is>
          <t>Control cable 600 V Type TC-ER, Cu #10 AWG (CT / VT circuits)</t>
        </is>
      </c>
      <c r="K5198" s="12" t="inlineStr">
        <is>
          <t>CTCT|4/C|10</t>
        </is>
      </c>
      <c r="L5198" s="12" t="inlineStr">
        <is>
          <t>4/C</t>
        </is>
      </c>
      <c r="M5198" s="12" t="inlineStr">
        <is>
          <t>10</t>
        </is>
      </c>
      <c r="N5198" s="12" t="n">
        <v>1</v>
      </c>
      <c r="O5198" s="12" t="n">
        <v>1</v>
      </c>
      <c r="P5198" s="12" t="n"/>
      <c r="Q5198" s="12" t="n"/>
      <c r="R5198" s="12" t="n"/>
      <c r="S5198" s="12" t="inlineStr">
        <is>
          <t>Tray</t>
        </is>
      </c>
      <c r="T5198" s="15" t="n">
        <v>0</v>
      </c>
      <c r="U5198" s="15" t="n">
        <v>32</v>
      </c>
      <c r="V5198" s="15">
        <f>ROUNDUP((T5198+U5198+2*'Read Me'!$B$13)*(1+'Read Me'!$B$12),-1)</f>
        <v/>
      </c>
      <c r="W5198" s="15">
        <f>V5198*N5198*O5198</f>
        <v/>
      </c>
      <c r="X5198" s="12">
        <f>IF(LEFT(I5198,2)="MV",2*N5198*IF(L5198="1/C",O5198,1),0)</f>
        <v/>
      </c>
      <c r="Y5198" s="12">
        <f>IF(OR(LEFT(K5198,4)="LVAX",LEFT(K5198,6)="MV15AX",LEFT(K5198,4)="CTAX",LEFT(K5198,2)="W|"),2*N5198*O5198,0)</f>
        <v/>
      </c>
      <c r="Z5198" s="12" t="inlineStr"/>
      <c r="AA5198" s="12">
        <f>N5198*O5198</f>
        <v/>
      </c>
    </row>
    <row r="5199">
      <c r="A5199" s="12" t="inlineStr">
        <is>
          <t>J-C-0015</t>
        </is>
      </c>
      <c r="B5199" s="12" t="inlineStr">
        <is>
          <t>J</t>
        </is>
      </c>
      <c r="C5199" s="12" t="inlineStr">
        <is>
          <t>GT inlet chilling</t>
        </is>
      </c>
      <c r="D5199" s="12" t="inlineStr">
        <is>
          <t>Motor 1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Tray</t>
        </is>
      </c>
      <c r="T5199" s="15" t="n">
        <v>214</v>
      </c>
      <c r="U5199" s="15" t="n">
        <v>47</v>
      </c>
      <c r="V5199" s="15">
        <f>ROUNDUP((T5199+U5199+2*'Read Me'!$B$13)*(1+'Read Me'!$B$12),-1)</f>
        <v/>
      </c>
      <c r="W5199" s="15">
        <f>V5199*N5199*O5199</f>
        <v/>
      </c>
      <c r="X5199" s="12">
        <f>IF(LEFT(I5199,2)="MV",2*N5199*IF(L5199="1/C",O5199,1),0)</f>
        <v/>
      </c>
      <c r="Y5199" s="12">
        <f>IF(OR(LEFT(K5199,4)="LVAX",LEFT(K5199,6)="MV15AX",LEFT(K5199,4)="CTAX",LEFT(K5199,2)="W|"),2*N5199*O5199,0)</f>
        <v/>
      </c>
      <c r="Z5199" s="12" t="inlineStr"/>
      <c r="AA5199" s="12">
        <f>N5199*O5199</f>
        <v/>
      </c>
    </row>
    <row r="5200">
      <c r="A5200" s="12" t="inlineStr">
        <is>
          <t>J-C-0016</t>
        </is>
      </c>
      <c r="B5200" s="12" t="inlineStr">
        <is>
          <t>J</t>
        </is>
      </c>
      <c r="C5200" s="12" t="inlineStr">
        <is>
          <t>GT inlet chilling</t>
        </is>
      </c>
      <c r="D5200" s="12" t="inlineStr">
        <is>
          <t>Motor 2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Tray</t>
        </is>
      </c>
      <c r="T5200" s="15" t="n">
        <v>214</v>
      </c>
      <c r="U5200" s="15" t="n">
        <v>47</v>
      </c>
      <c r="V5200" s="15">
        <f>ROUNDUP((T5200+U5200+2*'Read Me'!$B$13)*(1+'Read Me'!$B$12),-1)</f>
        <v/>
      </c>
      <c r="W5200" s="15">
        <f>V5200*N5200*O5200</f>
        <v/>
      </c>
      <c r="X5200" s="12">
        <f>IF(LEFT(I5200,2)="MV",2*N5200*IF(L5200="1/C",O5200,1),0)</f>
        <v/>
      </c>
      <c r="Y5200" s="12">
        <f>IF(OR(LEFT(K5200,4)="LVAX",LEFT(K5200,6)="MV15AX",LEFT(K5200,4)="CTAX",LEFT(K5200,2)="W|"),2*N5200*O5200,0)</f>
        <v/>
      </c>
      <c r="Z5200" s="12" t="inlineStr"/>
      <c r="AA5200" s="12">
        <f>N5200*O5200</f>
        <v/>
      </c>
    </row>
    <row r="5201">
      <c r="A5201" s="12" t="inlineStr">
        <is>
          <t>J-C-0017</t>
        </is>
      </c>
      <c r="B5201" s="12" t="inlineStr">
        <is>
          <t>J</t>
        </is>
      </c>
      <c r="C5201" s="12" t="inlineStr">
        <is>
          <t>GT inlet chilling</t>
        </is>
      </c>
      <c r="D5201" s="12" t="inlineStr">
        <is>
          <t>Motor 3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Tray</t>
        </is>
      </c>
      <c r="T5201" s="15" t="n">
        <v>214</v>
      </c>
      <c r="U5201" s="15" t="n">
        <v>47</v>
      </c>
      <c r="V5201" s="15">
        <f>ROUNDUP((T5201+U5201+2*'Read Me'!$B$13)*(1+'Read Me'!$B$12),-1)</f>
        <v/>
      </c>
      <c r="W5201" s="15">
        <f>V5201*N5201*O5201</f>
        <v/>
      </c>
      <c r="X5201" s="12">
        <f>IF(LEFT(I5201,2)="MV",2*N5201*IF(L5201="1/C",O5201,1),0)</f>
        <v/>
      </c>
      <c r="Y5201" s="12">
        <f>IF(OR(LEFT(K5201,4)="LVAX",LEFT(K5201,6)="MV15AX",LEFT(K5201,4)="CTAX",LEFT(K5201,2)="W|"),2*N5201*O5201,0)</f>
        <v/>
      </c>
      <c r="Z5201" s="12" t="inlineStr"/>
      <c r="AA5201" s="12">
        <f>N5201*O5201</f>
        <v/>
      </c>
    </row>
    <row r="5202">
      <c r="A5202" s="12" t="inlineStr">
        <is>
          <t>J-C-0018</t>
        </is>
      </c>
      <c r="B5202" s="12" t="inlineStr">
        <is>
          <t>J</t>
        </is>
      </c>
      <c r="C5202" s="12" t="inlineStr">
        <is>
          <t>GT inlet chilling</t>
        </is>
      </c>
      <c r="D5202" s="12" t="inlineStr">
        <is>
          <t>Motor 4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Tray</t>
        </is>
      </c>
      <c r="T5202" s="15" t="n">
        <v>214</v>
      </c>
      <c r="U5202" s="15" t="n">
        <v>47</v>
      </c>
      <c r="V5202" s="15">
        <f>ROUNDUP((T5202+U5202+2*'Read Me'!$B$13)*(1+'Read Me'!$B$12),-1)</f>
        <v/>
      </c>
      <c r="W5202" s="15">
        <f>V5202*N5202*O5202</f>
        <v/>
      </c>
      <c r="X5202" s="12">
        <f>IF(LEFT(I5202,2)="MV",2*N5202*IF(L5202="1/C",O5202,1),0)</f>
        <v/>
      </c>
      <c r="Y5202" s="12">
        <f>IF(OR(LEFT(K5202,4)="LVAX",LEFT(K5202,6)="MV15AX",LEFT(K5202,4)="CTAX",LEFT(K5202,2)="W|"),2*N5202*O5202,0)</f>
        <v/>
      </c>
      <c r="Z5202" s="12" t="inlineStr"/>
      <c r="AA5202" s="12">
        <f>N5202*O5202</f>
        <v/>
      </c>
    </row>
    <row r="5203">
      <c r="A5203" s="12" t="inlineStr">
        <is>
          <t>J-C-0019</t>
        </is>
      </c>
      <c r="B5203" s="12" t="inlineStr">
        <is>
          <t>J</t>
        </is>
      </c>
      <c r="C5203" s="12" t="inlineStr">
        <is>
          <t>GT inlet chilling</t>
        </is>
      </c>
      <c r="D5203" s="12" t="inlineStr">
        <is>
          <t>Motor 5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Tray</t>
        </is>
      </c>
      <c r="T5203" s="15" t="n">
        <v>214</v>
      </c>
      <c r="U5203" s="15" t="n">
        <v>47</v>
      </c>
      <c r="V5203" s="15">
        <f>ROUNDUP((T5203+U5203+2*'Read Me'!$B$13)*(1+'Read Me'!$B$12),-1)</f>
        <v/>
      </c>
      <c r="W5203" s="15">
        <f>V5203*N5203*O5203</f>
        <v/>
      </c>
      <c r="X5203" s="12">
        <f>IF(LEFT(I5203,2)="MV",2*N5203*IF(L5203="1/C",O5203,1),0)</f>
        <v/>
      </c>
      <c r="Y5203" s="12">
        <f>IF(OR(LEFT(K5203,4)="LVAX",LEFT(K5203,6)="MV15AX",LEFT(K5203,4)="CTAX",LEFT(K5203,2)="W|"),2*N5203*O5203,0)</f>
        <v/>
      </c>
      <c r="Z5203" s="12" t="inlineStr"/>
      <c r="AA5203" s="12">
        <f>N5203*O5203</f>
        <v/>
      </c>
    </row>
    <row r="5204">
      <c r="A5204" s="12" t="inlineStr">
        <is>
          <t>J-C-0020</t>
        </is>
      </c>
      <c r="B5204" s="12" t="inlineStr">
        <is>
          <t>J</t>
        </is>
      </c>
      <c r="C5204" s="12" t="inlineStr">
        <is>
          <t>GT inlet chilling</t>
        </is>
      </c>
      <c r="D5204" s="12" t="inlineStr">
        <is>
          <t>Motor 6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Tray</t>
        </is>
      </c>
      <c r="T5204" s="15" t="n">
        <v>214</v>
      </c>
      <c r="U5204" s="15" t="n">
        <v>47</v>
      </c>
      <c r="V5204" s="15">
        <f>ROUNDUP((T5204+U5204+2*'Read Me'!$B$13)*(1+'Read Me'!$B$12),-1)</f>
        <v/>
      </c>
      <c r="W5204" s="15">
        <f>V5204*N5204*O5204</f>
        <v/>
      </c>
      <c r="X5204" s="12">
        <f>IF(LEFT(I5204,2)="MV",2*N5204*IF(L5204="1/C",O5204,1),0)</f>
        <v/>
      </c>
      <c r="Y5204" s="12">
        <f>IF(OR(LEFT(K5204,4)="LVAX",LEFT(K5204,6)="MV15AX",LEFT(K5204,4)="CTAX",LEFT(K5204,2)="W|"),2*N5204*O5204,0)</f>
        <v/>
      </c>
      <c r="Z5204" s="12" t="inlineStr"/>
      <c r="AA5204" s="12">
        <f>N5204*O5204</f>
        <v/>
      </c>
    </row>
    <row r="5205">
      <c r="A5205" s="12" t="inlineStr">
        <is>
          <t>J-C-0021</t>
        </is>
      </c>
      <c r="B5205" s="12" t="inlineStr">
        <is>
          <t>J</t>
        </is>
      </c>
      <c r="C5205" s="12" t="inlineStr">
        <is>
          <t>GT inlet chilling</t>
        </is>
      </c>
      <c r="D5205" s="12" t="inlineStr">
        <is>
          <t>Motor 7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Tray</t>
        </is>
      </c>
      <c r="T5205" s="15" t="n">
        <v>214</v>
      </c>
      <c r="U5205" s="15" t="n">
        <v>47</v>
      </c>
      <c r="V5205" s="15">
        <f>ROUNDUP((T5205+U5205+2*'Read Me'!$B$13)*(1+'Read Me'!$B$12),-1)</f>
        <v/>
      </c>
      <c r="W5205" s="15">
        <f>V5205*N5205*O5205</f>
        <v/>
      </c>
      <c r="X5205" s="12">
        <f>IF(LEFT(I5205,2)="MV",2*N5205*IF(L5205="1/C",O5205,1),0)</f>
        <v/>
      </c>
      <c r="Y5205" s="12">
        <f>IF(OR(LEFT(K5205,4)="LVAX",LEFT(K5205,6)="MV15AX",LEFT(K5205,4)="CTAX",LEFT(K5205,2)="W|"),2*N5205*O5205,0)</f>
        <v/>
      </c>
      <c r="Z5205" s="12" t="inlineStr"/>
      <c r="AA5205" s="12">
        <f>N5205*O5205</f>
        <v/>
      </c>
    </row>
    <row r="5206">
      <c r="A5206" s="12" t="inlineStr">
        <is>
          <t>J-C-0022</t>
        </is>
      </c>
      <c r="B5206" s="12" t="inlineStr">
        <is>
          <t>J</t>
        </is>
      </c>
      <c r="C5206" s="12" t="inlineStr">
        <is>
          <t>GT inlet chilling</t>
        </is>
      </c>
      <c r="D5206" s="12" t="inlineStr">
        <is>
          <t>Motor 8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Tray</t>
        </is>
      </c>
      <c r="T5206" s="15" t="n">
        <v>214</v>
      </c>
      <c r="U5206" s="15" t="n">
        <v>47</v>
      </c>
      <c r="V5206" s="15">
        <f>ROUNDUP((T5206+U5206+2*'Read Me'!$B$13)*(1+'Read Me'!$B$12),-1)</f>
        <v/>
      </c>
      <c r="W5206" s="15">
        <f>V5206*N5206*O5206</f>
        <v/>
      </c>
      <c r="X5206" s="12">
        <f>IF(LEFT(I5206,2)="MV",2*N5206*IF(L5206="1/C",O5206,1),0)</f>
        <v/>
      </c>
      <c r="Y5206" s="12">
        <f>IF(OR(LEFT(K5206,4)="LVAX",LEFT(K5206,6)="MV15AX",LEFT(K5206,4)="CTAX",LEFT(K5206,2)="W|"),2*N5206*O5206,0)</f>
        <v/>
      </c>
      <c r="Z5206" s="12" t="inlineStr"/>
      <c r="AA5206" s="12">
        <f>N5206*O5206</f>
        <v/>
      </c>
    </row>
    <row r="5207">
      <c r="A5207" s="12" t="inlineStr">
        <is>
          <t>J-C-0023</t>
        </is>
      </c>
      <c r="B5207" s="12" t="inlineStr">
        <is>
          <t>J</t>
        </is>
      </c>
      <c r="C5207" s="12" t="inlineStr">
        <is>
          <t>GT inlet chilling</t>
        </is>
      </c>
      <c r="D5207" s="12" t="inlineStr">
        <is>
          <t>Motor 9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Tray</t>
        </is>
      </c>
      <c r="T5207" s="15" t="n">
        <v>214</v>
      </c>
      <c r="U5207" s="15" t="n">
        <v>47</v>
      </c>
      <c r="V5207" s="15">
        <f>ROUNDUP((T5207+U5207+2*'Read Me'!$B$13)*(1+'Read Me'!$B$12),-1)</f>
        <v/>
      </c>
      <c r="W5207" s="15">
        <f>V5207*N5207*O5207</f>
        <v/>
      </c>
      <c r="X5207" s="12">
        <f>IF(LEFT(I5207,2)="MV",2*N5207*IF(L5207="1/C",O5207,1),0)</f>
        <v/>
      </c>
      <c r="Y5207" s="12">
        <f>IF(OR(LEFT(K5207,4)="LVAX",LEFT(K5207,6)="MV15AX",LEFT(K5207,4)="CTAX",LEFT(K5207,2)="W|"),2*N5207*O5207,0)</f>
        <v/>
      </c>
      <c r="Z5207" s="12" t="inlineStr"/>
      <c r="AA5207" s="12">
        <f>N5207*O5207</f>
        <v/>
      </c>
    </row>
    <row r="5208">
      <c r="A5208" s="12" t="inlineStr">
        <is>
          <t>J-C-0024</t>
        </is>
      </c>
      <c r="B5208" s="12" t="inlineStr">
        <is>
          <t>J</t>
        </is>
      </c>
      <c r="C5208" s="12" t="inlineStr">
        <is>
          <t>GT inlet chilling</t>
        </is>
      </c>
      <c r="D5208" s="12" t="inlineStr">
        <is>
          <t>Motor 10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Tray</t>
        </is>
      </c>
      <c r="T5208" s="15" t="n">
        <v>214</v>
      </c>
      <c r="U5208" s="15" t="n">
        <v>47</v>
      </c>
      <c r="V5208" s="15">
        <f>ROUNDUP((T5208+U5208+2*'Read Me'!$B$13)*(1+'Read Me'!$B$12),-1)</f>
        <v/>
      </c>
      <c r="W5208" s="15">
        <f>V5208*N5208*O5208</f>
        <v/>
      </c>
      <c r="X5208" s="12">
        <f>IF(LEFT(I5208,2)="MV",2*N5208*IF(L5208="1/C",O5208,1),0)</f>
        <v/>
      </c>
      <c r="Y5208" s="12">
        <f>IF(OR(LEFT(K5208,4)="LVAX",LEFT(K5208,6)="MV15AX",LEFT(K5208,4)="CTAX",LEFT(K5208,2)="W|"),2*N5208*O5208,0)</f>
        <v/>
      </c>
      <c r="Z5208" s="12" t="inlineStr"/>
      <c r="AA5208" s="12">
        <f>N5208*O5208</f>
        <v/>
      </c>
    </row>
    <row r="5209">
      <c r="A5209" s="12" t="inlineStr">
        <is>
          <t>J-C-0025</t>
        </is>
      </c>
      <c r="B5209" s="12" t="inlineStr">
        <is>
          <t>J</t>
        </is>
      </c>
      <c r="C5209" s="12" t="inlineStr">
        <is>
          <t>GT inlet chilling</t>
        </is>
      </c>
      <c r="D5209" s="12" t="inlineStr">
        <is>
          <t>Motor 11 of 12: control / local station</t>
        </is>
      </c>
      <c r="E5209" s="12" t="inlineStr"/>
      <c r="F5209" s="12" t="inlineStr">
        <is>
          <t>Inlet-chilling e-house / transformer</t>
        </is>
      </c>
      <c r="G5209" s="12" t="inlineStr"/>
      <c r="H5209" s="12" t="inlineStr">
        <is>
          <t>Inlet-chilling tower (12 cells): chiller heat rejection</t>
        </is>
      </c>
      <c r="I5209" s="12" t="inlineStr">
        <is>
          <t>Control</t>
        </is>
      </c>
      <c r="J5209" s="12" t="inlineStr">
        <is>
          <t>Control cable 600 V Type TC-ER, Cu #14 AWG, PVC jacket</t>
        </is>
      </c>
      <c r="K5209" s="12" t="inlineStr">
        <is>
          <t>CT|7/C|14</t>
        </is>
      </c>
      <c r="L5209" s="12" t="inlineStr">
        <is>
          <t>7/C</t>
        </is>
      </c>
      <c r="M5209" s="12" t="inlineStr">
        <is>
          <t>14</t>
        </is>
      </c>
      <c r="N5209" s="12" t="n">
        <v>1</v>
      </c>
      <c r="O5209" s="12" t="n">
        <v>1</v>
      </c>
      <c r="P5209" s="12" t="n"/>
      <c r="Q5209" s="12" t="n"/>
      <c r="R5209" s="12" t="n"/>
      <c r="S5209" s="12" t="inlineStr">
        <is>
          <t>Tray</t>
        </is>
      </c>
      <c r="T5209" s="15" t="n">
        <v>214</v>
      </c>
      <c r="U5209" s="15" t="n">
        <v>47</v>
      </c>
      <c r="V5209" s="15">
        <f>ROUNDUP((T5209+U5209+2*'Read Me'!$B$13)*(1+'Read Me'!$B$12),-1)</f>
        <v/>
      </c>
      <c r="W5209" s="15">
        <f>V5209*N5209*O5209</f>
        <v/>
      </c>
      <c r="X5209" s="12">
        <f>IF(LEFT(I5209,2)="MV",2*N5209*IF(L5209="1/C",O5209,1),0)</f>
        <v/>
      </c>
      <c r="Y5209" s="12">
        <f>IF(OR(LEFT(K5209,4)="LVAX",LEFT(K5209,6)="MV15AX",LEFT(K5209,4)="CTAX",LEFT(K5209,2)="W|"),2*N5209*O5209,0)</f>
        <v/>
      </c>
      <c r="Z5209" s="12" t="inlineStr"/>
      <c r="AA5209" s="12">
        <f>N5209*O5209</f>
        <v/>
      </c>
    </row>
    <row r="5210">
      <c r="A5210" s="12" t="inlineStr">
        <is>
          <t>J-C-0026</t>
        </is>
      </c>
      <c r="B5210" s="12" t="inlineStr">
        <is>
          <t>J</t>
        </is>
      </c>
      <c r="C5210" s="12" t="inlineStr">
        <is>
          <t>GT inlet chilling</t>
        </is>
      </c>
      <c r="D5210" s="12" t="inlineStr">
        <is>
          <t>Motor 12 of 12: control / local station</t>
        </is>
      </c>
      <c r="E5210" s="12" t="inlineStr"/>
      <c r="F5210" s="12" t="inlineStr">
        <is>
          <t>Inlet-chilling e-house / transformer</t>
        </is>
      </c>
      <c r="G5210" s="12" t="inlineStr"/>
      <c r="H5210" s="12" t="inlineStr">
        <is>
          <t>Inlet-chilling tower (12 cells): chiller heat rejection</t>
        </is>
      </c>
      <c r="I5210" s="12" t="inlineStr">
        <is>
          <t>Control</t>
        </is>
      </c>
      <c r="J5210" s="12" t="inlineStr">
        <is>
          <t>Control cable 600 V Type TC-ER, Cu #14 AWG, PVC jacket</t>
        </is>
      </c>
      <c r="K5210" s="12" t="inlineStr">
        <is>
          <t>CT|7/C|14</t>
        </is>
      </c>
      <c r="L5210" s="12" t="inlineStr">
        <is>
          <t>7/C</t>
        </is>
      </c>
      <c r="M5210" s="12" t="inlineStr">
        <is>
          <t>14</t>
        </is>
      </c>
      <c r="N5210" s="12" t="n">
        <v>1</v>
      </c>
      <c r="O5210" s="12" t="n">
        <v>1</v>
      </c>
      <c r="P5210" s="12" t="n"/>
      <c r="Q5210" s="12" t="n"/>
      <c r="R5210" s="12" t="n"/>
      <c r="S5210" s="12" t="inlineStr">
        <is>
          <t>Tray</t>
        </is>
      </c>
      <c r="T5210" s="15" t="n">
        <v>214</v>
      </c>
      <c r="U5210" s="15" t="n">
        <v>47</v>
      </c>
      <c r="V5210" s="15">
        <f>ROUNDUP((T5210+U5210+2*'Read Me'!$B$13)*(1+'Read Me'!$B$12),-1)</f>
        <v/>
      </c>
      <c r="W5210" s="15">
        <f>V5210*N5210*O5210</f>
        <v/>
      </c>
      <c r="X5210" s="12">
        <f>IF(LEFT(I5210,2)="MV",2*N5210*IF(L5210="1/C",O5210,1),0)</f>
        <v/>
      </c>
      <c r="Y5210" s="12">
        <f>IF(OR(LEFT(K5210,4)="LVAX",LEFT(K5210,6)="MV15AX",LEFT(K5210,4)="CTAX",LEFT(K5210,2)="W|"),2*N5210*O5210,0)</f>
        <v/>
      </c>
      <c r="Z5210" s="12" t="inlineStr"/>
      <c r="AA5210" s="12">
        <f>N5210*O5210</f>
        <v/>
      </c>
    </row>
    <row r="5211">
      <c r="A5211" s="12" t="inlineStr">
        <is>
          <t>J-I-0001</t>
        </is>
      </c>
      <c r="B5211" s="12" t="inlineStr">
        <is>
          <t>J</t>
        </is>
      </c>
      <c r="C5211" s="12" t="inlineStr">
        <is>
          <t>GT inlet chilling</t>
        </is>
      </c>
      <c r="D5211" s="12" t="inlineStr">
        <is>
          <t>Analog instrument to JB JB-CHW pumps-AI01: 12 x 1 pr (field cables)</t>
        </is>
      </c>
      <c r="E5211" s="12" t="inlineStr"/>
      <c r="F5211" s="12" t="inlineStr">
        <is>
          <t>CHW pumps</t>
        </is>
      </c>
      <c r="G5211" s="12" t="inlineStr">
        <is>
          <t>JB-CHW pumps-AI01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5" t="n">
        <v>92</v>
      </c>
      <c r="U5211" s="15" t="n">
        <v>10</v>
      </c>
      <c r="V5211" s="15">
        <f>ROUNDUP((T5211+U5211+2*'Read Me'!$B$13)*(1+'Read Me'!$B$12),-1)</f>
        <v/>
      </c>
      <c r="W5211" s="15">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J-I-0002</t>
        </is>
      </c>
      <c r="B5212" s="12" t="inlineStr">
        <is>
          <t>J</t>
        </is>
      </c>
      <c r="C5212" s="12" t="inlineStr">
        <is>
          <t>GT inlet chilling</t>
        </is>
      </c>
      <c r="D5212" s="12" t="inlineStr">
        <is>
          <t>Home run JB-CHW pumps-AI01 to the control / marshalling room</t>
        </is>
      </c>
      <c r="E5212" s="12" t="inlineStr"/>
      <c r="F5212" s="12" t="inlineStr">
        <is>
          <t>Inlet-chilling e-house / transformer</t>
        </is>
      </c>
      <c r="G5212" s="12" t="inlineStr">
        <is>
          <t>JB-CHW pumps-AI01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Tray</t>
        </is>
      </c>
      <c r="T5212" s="15" t="n">
        <v>214</v>
      </c>
      <c r="U5212" s="15" t="n">
        <v>58</v>
      </c>
      <c r="V5212" s="15">
        <f>ROUNDUP((T5212+U5212+2*'Read Me'!$B$13)*(1+'Read Me'!$B$12),-1)</f>
        <v/>
      </c>
      <c r="W5212" s="15">
        <f>V5212*N5212*O5212</f>
        <v/>
      </c>
      <c r="X5212" s="12">
        <f>IF(LEFT(I5212,2)="MV",2*N5212*IF(L5212="1/C",O5212,1),0)</f>
        <v/>
      </c>
      <c r="Y5212" s="12">
        <f>IF(OR(LEFT(K5212,4)="LVAX",LEFT(K5212,6)="MV15AX",LEFT(K5212,4)="CTAX",LEFT(K5212,2)="W|"),2*N5212*O5212,0)</f>
        <v/>
      </c>
      <c r="Z5212" s="12" t="inlineStr"/>
      <c r="AA5212" s="12">
        <f>N5212*O5212</f>
        <v/>
      </c>
    </row>
    <row r="5213">
      <c r="A5213" s="12" t="inlineStr">
        <is>
          <t>J-I-0003</t>
        </is>
      </c>
      <c r="B5213" s="12" t="inlineStr">
        <is>
          <t>J</t>
        </is>
      </c>
      <c r="C5213" s="12" t="inlineStr">
        <is>
          <t>GT inlet chilling</t>
        </is>
      </c>
      <c r="D5213" s="12" t="inlineStr">
        <is>
          <t>Discrete device to JB JB-CHW pumps-DI01: 12 x 1 pr (field cables)</t>
        </is>
      </c>
      <c r="E5213" s="12" t="inlineStr"/>
      <c r="F5213" s="12" t="inlineStr">
        <is>
          <t>CHW pumps</t>
        </is>
      </c>
      <c r="G5213" s="12" t="inlineStr">
        <is>
          <t>JB-CHW pumps-DI01</t>
        </is>
      </c>
      <c r="H5213" s="12" t="inlineStr">
        <is>
          <t>CHW pumps</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12</v>
      </c>
      <c r="O5213" s="12" t="n">
        <v>1</v>
      </c>
      <c r="P5213" s="12" t="n"/>
      <c r="Q5213" s="12" t="n"/>
      <c r="R5213" s="12" t="n"/>
      <c r="S5213" s="12" t="inlineStr">
        <is>
          <t>Tray / conduit</t>
        </is>
      </c>
      <c r="T5213" s="15" t="n">
        <v>92</v>
      </c>
      <c r="U5213" s="15" t="n">
        <v>10</v>
      </c>
      <c r="V5213" s="15">
        <f>ROUNDUP((T5213+U5213+2*'Read Me'!$B$13)*(1+'Read Me'!$B$12),-1)</f>
        <v/>
      </c>
      <c r="W5213" s="15">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J-I-0004</t>
        </is>
      </c>
      <c r="B5214" s="12" t="inlineStr">
        <is>
          <t>J</t>
        </is>
      </c>
      <c r="C5214" s="12" t="inlineStr">
        <is>
          <t>GT inlet chilling</t>
        </is>
      </c>
      <c r="D5214" s="12" t="inlineStr">
        <is>
          <t>Home run JB-CHW pumps-DI01 to the control / marshalling room</t>
        </is>
      </c>
      <c r="E5214" s="12" t="inlineStr"/>
      <c r="F5214" s="12" t="inlineStr">
        <is>
          <t>Inlet-chilling e-house / transformer</t>
        </is>
      </c>
      <c r="G5214" s="12" t="inlineStr">
        <is>
          <t>JB-CHW pumps-DI01</t>
        </is>
      </c>
      <c r="H5214" s="12" t="inlineStr">
        <is>
          <t>CHW pumps</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Tray</t>
        </is>
      </c>
      <c r="T5214" s="15" t="n">
        <v>214</v>
      </c>
      <c r="U5214" s="15" t="n">
        <v>58</v>
      </c>
      <c r="V5214" s="15">
        <f>ROUNDUP((T5214+U5214+2*'Read Me'!$B$13)*(1+'Read Me'!$B$12),-1)</f>
        <v/>
      </c>
      <c r="W5214" s="15">
        <f>V5214*N5214*O5214</f>
        <v/>
      </c>
      <c r="X5214" s="12">
        <f>IF(LEFT(I5214,2)="MV",2*N5214*IF(L5214="1/C",O5214,1),0)</f>
        <v/>
      </c>
      <c r="Y5214" s="12">
        <f>IF(OR(LEFT(K5214,4)="LVAX",LEFT(K5214,6)="MV15AX",LEFT(K5214,4)="CTAX",LEFT(K5214,2)="W|"),2*N5214*O5214,0)</f>
        <v/>
      </c>
      <c r="Z5214" s="12" t="inlineStr"/>
      <c r="AA5214" s="12">
        <f>N5214*O5214</f>
        <v/>
      </c>
    </row>
    <row r="5215">
      <c r="A5215" s="12" t="inlineStr">
        <is>
          <t>J-I-0005</t>
        </is>
      </c>
      <c r="B5215" s="12" t="inlineStr">
        <is>
          <t>J</t>
        </is>
      </c>
      <c r="C5215" s="12" t="inlineStr">
        <is>
          <t>GT inlet chilling</t>
        </is>
      </c>
      <c r="D5215" s="12" t="inlineStr">
        <is>
          <t>Analog instrument to JB JB-CONDITIONAL: TES c-AI01: 4 x 1 pr (field cables)</t>
        </is>
      </c>
      <c r="E5215" s="12" t="inlineStr"/>
      <c r="F5215" s="12" t="inlineStr">
        <is>
          <t>CONDITIONAL: TES chilled-water tank</t>
        </is>
      </c>
      <c r="G5215" s="12" t="inlineStr">
        <is>
          <t>JB-CONDITIONAL: TES c-AI01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5" t="n">
        <v>91</v>
      </c>
      <c r="U5215" s="15" t="n">
        <v>10</v>
      </c>
      <c r="V5215" s="15">
        <f>ROUNDUP((T5215+U5215+2*'Read Me'!$B$13)*(1+'Read Me'!$B$12),-1)</f>
        <v/>
      </c>
      <c r="W5215" s="15">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J-I-0006</t>
        </is>
      </c>
      <c r="B5216" s="12" t="inlineStr">
        <is>
          <t>J</t>
        </is>
      </c>
      <c r="C5216" s="12" t="inlineStr">
        <is>
          <t>GT inlet chilling</t>
        </is>
      </c>
      <c r="D5216" s="12" t="inlineStr">
        <is>
          <t>Home run JB-CONDITIONAL: TES c-AI01 to the control / marshalling room</t>
        </is>
      </c>
      <c r="E5216" s="12" t="inlineStr"/>
      <c r="F5216" s="12" t="inlineStr">
        <is>
          <t>Inlet-chilling e-house / transformer</t>
        </is>
      </c>
      <c r="G5216" s="12" t="inlineStr">
        <is>
          <t>JB-CONDITIONAL: TES c-AI01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Tray</t>
        </is>
      </c>
      <c r="T5216" s="15" t="n">
        <v>214</v>
      </c>
      <c r="U5216" s="15" t="n">
        <v>32</v>
      </c>
      <c r="V5216" s="15">
        <f>ROUNDUP((T5216+U5216+2*'Read Me'!$B$13)*(1+'Read Me'!$B$12),-1)</f>
        <v/>
      </c>
      <c r="W5216" s="15">
        <f>V5216*N5216*O5216</f>
        <v/>
      </c>
      <c r="X5216" s="12">
        <f>IF(LEFT(I5216,2)="MV",2*N5216*IF(L5216="1/C",O5216,1),0)</f>
        <v/>
      </c>
      <c r="Y5216" s="12">
        <f>IF(OR(LEFT(K5216,4)="LVAX",LEFT(K5216,6)="MV15AX",LEFT(K5216,4)="CTAX",LEFT(K5216,2)="W|"),2*N5216*O5216,0)</f>
        <v/>
      </c>
      <c r="Z5216" s="12" t="inlineStr"/>
      <c r="AA5216" s="12">
        <f>N5216*O5216</f>
        <v/>
      </c>
    </row>
    <row r="5217">
      <c r="A5217" s="12" t="inlineStr">
        <is>
          <t>J-I-0007</t>
        </is>
      </c>
      <c r="B5217" s="12" t="inlineStr">
        <is>
          <t>J</t>
        </is>
      </c>
      <c r="C5217" s="12" t="inlineStr">
        <is>
          <t>GT inlet chilling</t>
        </is>
      </c>
      <c r="D5217" s="12" t="inlineStr">
        <is>
          <t>Discrete device to JB JB-CONDITIONAL: TES c-DI01: 4 x 1 pr (field cables)</t>
        </is>
      </c>
      <c r="E5217" s="12" t="inlineStr"/>
      <c r="F5217" s="12" t="inlineStr">
        <is>
          <t>CONDITIONAL: TES chilled-water tank</t>
        </is>
      </c>
      <c r="G5217" s="12" t="inlineStr">
        <is>
          <t>JB-CONDITIONAL: TES c-DI01</t>
        </is>
      </c>
      <c r="H5217" s="12" t="inlineStr">
        <is>
          <t>CONDITIONAL: TES chilled-water tank</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4</v>
      </c>
      <c r="O5217" s="12" t="n">
        <v>1</v>
      </c>
      <c r="P5217" s="12" t="n"/>
      <c r="Q5217" s="12" t="n"/>
      <c r="R5217" s="12" t="n"/>
      <c r="S5217" s="12" t="inlineStr">
        <is>
          <t>Tray / conduit</t>
        </is>
      </c>
      <c r="T5217" s="15" t="n">
        <v>91</v>
      </c>
      <c r="U5217" s="15" t="n">
        <v>10</v>
      </c>
      <c r="V5217" s="15">
        <f>ROUNDUP((T5217+U5217+2*'Read Me'!$B$13)*(1+'Read Me'!$B$12),-1)</f>
        <v/>
      </c>
      <c r="W5217" s="15">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J-I-0008</t>
        </is>
      </c>
      <c r="B5218" s="12" t="inlineStr">
        <is>
          <t>J</t>
        </is>
      </c>
      <c r="C5218" s="12" t="inlineStr">
        <is>
          <t>GT inlet chilling</t>
        </is>
      </c>
      <c r="D5218" s="12" t="inlineStr">
        <is>
          <t>Home run JB-CONDITIONAL: TES c-DI01 to the control / marshalling room</t>
        </is>
      </c>
      <c r="E5218" s="12" t="inlineStr"/>
      <c r="F5218" s="12" t="inlineStr">
        <is>
          <t>Inlet-chilling e-house / transformer</t>
        </is>
      </c>
      <c r="G5218" s="12" t="inlineStr">
        <is>
          <t>JB-CONDITIONAL: TES c-DI01</t>
        </is>
      </c>
      <c r="H5218" s="12" t="inlineStr">
        <is>
          <t>CONDITIONAL: TES chilled-water tank</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5" t="n">
        <v>214</v>
      </c>
      <c r="U5218" s="15" t="n">
        <v>32</v>
      </c>
      <c r="V5218" s="15">
        <f>ROUNDUP((T5218+U5218+2*'Read Me'!$B$13)*(1+'Read Me'!$B$12),-1)</f>
        <v/>
      </c>
      <c r="W5218" s="15">
        <f>V5218*N5218*O5218</f>
        <v/>
      </c>
      <c r="X5218" s="12">
        <f>IF(LEFT(I5218,2)="MV",2*N5218*IF(L5218="1/C",O5218,1),0)</f>
        <v/>
      </c>
      <c r="Y5218" s="12">
        <f>IF(OR(LEFT(K5218,4)="LVAX",LEFT(K5218,6)="MV15AX",LEFT(K5218,4)="CTAX",LEFT(K5218,2)="W|"),2*N5218*O5218,0)</f>
        <v/>
      </c>
      <c r="Z5218" s="12" t="inlineStr"/>
      <c r="AA5218" s="12">
        <f>N5218*O5218</f>
        <v/>
      </c>
    </row>
    <row r="5219">
      <c r="A5219" s="12" t="inlineStr">
        <is>
          <t>J-I-0009</t>
        </is>
      </c>
      <c r="B5219" s="12" t="inlineStr">
        <is>
          <t>J</t>
        </is>
      </c>
      <c r="C5219" s="12" t="inlineStr">
        <is>
          <t>GT inlet chilling</t>
        </is>
      </c>
      <c r="D5219" s="12" t="inlineStr">
        <is>
          <t>Analog instrument to JB JB-CW pumps (inlet ch-AI01: 20 x 1 pr (field cables)</t>
        </is>
      </c>
      <c r="E5219" s="12" t="inlineStr"/>
      <c r="F5219" s="12" t="inlineStr">
        <is>
          <t>CW pumps (inlet chilling)</t>
        </is>
      </c>
      <c r="G5219" s="12" t="inlineStr">
        <is>
          <t>JB-CW pumps (inlet ch-AI01</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20</v>
      </c>
      <c r="O5219" s="12" t="n">
        <v>1</v>
      </c>
      <c r="P5219" s="12" t="n"/>
      <c r="Q5219" s="12" t="n"/>
      <c r="R5219" s="12" t="n"/>
      <c r="S5219" s="12" t="inlineStr">
        <is>
          <t>Tray / conduit</t>
        </is>
      </c>
      <c r="T5219" s="15" t="n">
        <v>92</v>
      </c>
      <c r="U5219" s="15" t="n">
        <v>10</v>
      </c>
      <c r="V5219" s="15">
        <f>ROUNDUP((T5219+U5219+2*'Read Me'!$B$13)*(1+'Read Me'!$B$12),-1)</f>
        <v/>
      </c>
      <c r="W5219" s="15">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J-I-0010</t>
        </is>
      </c>
      <c r="B5220" s="12" t="inlineStr">
        <is>
          <t>J</t>
        </is>
      </c>
      <c r="C5220" s="12" t="inlineStr">
        <is>
          <t>GT inlet chilling</t>
        </is>
      </c>
      <c r="D5220" s="12" t="inlineStr">
        <is>
          <t>Home run JB-CW pumps (inlet ch-AI01 to the control / marshalling room</t>
        </is>
      </c>
      <c r="E5220" s="12" t="inlineStr"/>
      <c r="F5220" s="12" t="inlineStr">
        <is>
          <t>Inlet-chilling e-house / transformer</t>
        </is>
      </c>
      <c r="G5220" s="12" t="inlineStr">
        <is>
          <t>JB-CW pumps (inlet ch-AI01</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5" t="n">
        <v>0</v>
      </c>
      <c r="U5220" s="15" t="n">
        <v>70</v>
      </c>
      <c r="V5220" s="15">
        <f>ROUNDUP((T5220+U5220+2*'Read Me'!$B$13)*(1+'Read Me'!$B$12),-1)</f>
        <v/>
      </c>
      <c r="W5220" s="15">
        <f>V5220*N5220*O5220</f>
        <v/>
      </c>
      <c r="X5220" s="12">
        <f>IF(LEFT(I5220,2)="MV",2*N5220*IF(L5220="1/C",O5220,1),0)</f>
        <v/>
      </c>
      <c r="Y5220" s="12">
        <f>IF(OR(LEFT(K5220,4)="LVAX",LEFT(K5220,6)="MV15AX",LEFT(K5220,4)="CTAX",LEFT(K5220,2)="W|"),2*N5220*O5220,0)</f>
        <v/>
      </c>
      <c r="Z5220" s="12" t="inlineStr"/>
      <c r="AA5220" s="12">
        <f>N5220*O5220</f>
        <v/>
      </c>
    </row>
    <row r="5221">
      <c r="A5221" s="12" t="inlineStr">
        <is>
          <t>J-I-0011</t>
        </is>
      </c>
      <c r="B5221" s="12" t="inlineStr">
        <is>
          <t>J</t>
        </is>
      </c>
      <c r="C5221" s="12" t="inlineStr">
        <is>
          <t>GT inlet chilling</t>
        </is>
      </c>
      <c r="D5221" s="12" t="inlineStr">
        <is>
          <t>Analog instrument to JB JB-CW pumps (inlet ch-AI02: 4 x 1 pr (field cables)</t>
        </is>
      </c>
      <c r="E5221" s="12" t="inlineStr"/>
      <c r="F5221" s="12" t="inlineStr">
        <is>
          <t>CW pumps (inlet chilling)</t>
        </is>
      </c>
      <c r="G5221" s="12" t="inlineStr">
        <is>
          <t>JB-CW pumps (inlet ch-AI02</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4</v>
      </c>
      <c r="O5221" s="12" t="n">
        <v>1</v>
      </c>
      <c r="P5221" s="12" t="n"/>
      <c r="Q5221" s="12" t="n"/>
      <c r="R5221" s="12" t="n"/>
      <c r="S5221" s="12" t="inlineStr">
        <is>
          <t>Tray / conduit</t>
        </is>
      </c>
      <c r="T5221" s="15" t="n">
        <v>92</v>
      </c>
      <c r="U5221" s="15" t="n">
        <v>10</v>
      </c>
      <c r="V5221" s="15">
        <f>ROUNDUP((T5221+U5221+2*'Read Me'!$B$13)*(1+'Read Me'!$B$12),-1)</f>
        <v/>
      </c>
      <c r="W5221" s="15">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J-I-0012</t>
        </is>
      </c>
      <c r="B5222" s="12" t="inlineStr">
        <is>
          <t>J</t>
        </is>
      </c>
      <c r="C5222" s="12" t="inlineStr">
        <is>
          <t>GT inlet chilling</t>
        </is>
      </c>
      <c r="D5222" s="12" t="inlineStr">
        <is>
          <t>Home run JB-CW pumps (inlet ch-AI02 to the control / marshalling room</t>
        </is>
      </c>
      <c r="E5222" s="12" t="inlineStr"/>
      <c r="F5222" s="12" t="inlineStr">
        <is>
          <t>Inlet-chilling e-house / transformer</t>
        </is>
      </c>
      <c r="G5222" s="12" t="inlineStr">
        <is>
          <t>JB-CW pumps (inlet ch-AI02</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5" t="n">
        <v>0</v>
      </c>
      <c r="U5222" s="15" t="n">
        <v>70</v>
      </c>
      <c r="V5222" s="15">
        <f>ROUNDUP((T5222+U5222+2*'Read Me'!$B$13)*(1+'Read Me'!$B$12),-1)</f>
        <v/>
      </c>
      <c r="W5222" s="15">
        <f>V5222*N5222*O5222</f>
        <v/>
      </c>
      <c r="X5222" s="12">
        <f>IF(LEFT(I5222,2)="MV",2*N5222*IF(L5222="1/C",O5222,1),0)</f>
        <v/>
      </c>
      <c r="Y5222" s="12">
        <f>IF(OR(LEFT(K5222,4)="LVAX",LEFT(K5222,6)="MV15AX",LEFT(K5222,4)="CTAX",LEFT(K5222,2)="W|"),2*N5222*O5222,0)</f>
        <v/>
      </c>
      <c r="Z5222" s="12" t="inlineStr"/>
      <c r="AA5222" s="12">
        <f>N5222*O5222</f>
        <v/>
      </c>
    </row>
    <row r="5223">
      <c r="A5223" s="12" t="inlineStr">
        <is>
          <t>J-I-0013</t>
        </is>
      </c>
      <c r="B5223" s="12" t="inlineStr">
        <is>
          <t>J</t>
        </is>
      </c>
      <c r="C5223" s="12" t="inlineStr">
        <is>
          <t>GT inlet chilling</t>
        </is>
      </c>
      <c r="D5223" s="12" t="inlineStr">
        <is>
          <t>Discrete device to JB JB-CW pumps (inlet ch-DI01: 20 x 1 pr (field cables)</t>
        </is>
      </c>
      <c r="E5223" s="12" t="inlineStr"/>
      <c r="F5223" s="12" t="inlineStr">
        <is>
          <t>CW pumps (inlet chilling)</t>
        </is>
      </c>
      <c r="G5223" s="12" t="inlineStr">
        <is>
          <t>JB-CW pumps (inlet ch-DI01</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20</v>
      </c>
      <c r="O5223" s="12" t="n">
        <v>1</v>
      </c>
      <c r="P5223" s="12" t="n"/>
      <c r="Q5223" s="12" t="n"/>
      <c r="R5223" s="12" t="n"/>
      <c r="S5223" s="12" t="inlineStr">
        <is>
          <t>Tray / conduit</t>
        </is>
      </c>
      <c r="T5223" s="15" t="n">
        <v>92</v>
      </c>
      <c r="U5223" s="15" t="n">
        <v>10</v>
      </c>
      <c r="V5223" s="15">
        <f>ROUNDUP((T5223+U5223+2*'Read Me'!$B$13)*(1+'Read Me'!$B$12),-1)</f>
        <v/>
      </c>
      <c r="W5223" s="15">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J-I-0014</t>
        </is>
      </c>
      <c r="B5224" s="12" t="inlineStr">
        <is>
          <t>J</t>
        </is>
      </c>
      <c r="C5224" s="12" t="inlineStr">
        <is>
          <t>GT inlet chilling</t>
        </is>
      </c>
      <c r="D5224" s="12" t="inlineStr">
        <is>
          <t>Home run JB-CW pumps (inlet ch-DI01 to the control / marshalling room</t>
        </is>
      </c>
      <c r="E5224" s="12" t="inlineStr"/>
      <c r="F5224" s="12" t="inlineStr">
        <is>
          <t>Inlet-chilling e-house / transformer</t>
        </is>
      </c>
      <c r="G5224" s="12" t="inlineStr">
        <is>
          <t>JB-CW pumps (inlet ch-DI01</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5" t="n">
        <v>0</v>
      </c>
      <c r="U5224" s="15" t="n">
        <v>70</v>
      </c>
      <c r="V5224" s="15">
        <f>ROUNDUP((T5224+U5224+2*'Read Me'!$B$13)*(1+'Read Me'!$B$12),-1)</f>
        <v/>
      </c>
      <c r="W5224" s="15">
        <f>V5224*N5224*O5224</f>
        <v/>
      </c>
      <c r="X5224" s="12">
        <f>IF(LEFT(I5224,2)="MV",2*N5224*IF(L5224="1/C",O5224,1),0)</f>
        <v/>
      </c>
      <c r="Y5224" s="12">
        <f>IF(OR(LEFT(K5224,4)="LVAX",LEFT(K5224,6)="MV15AX",LEFT(K5224,4)="CTAX",LEFT(K5224,2)="W|"),2*N5224*O5224,0)</f>
        <v/>
      </c>
      <c r="Z5224" s="12" t="inlineStr"/>
      <c r="AA5224" s="12">
        <f>N5224*O5224</f>
        <v/>
      </c>
    </row>
    <row r="5225">
      <c r="A5225" s="12" t="inlineStr">
        <is>
          <t>J-I-0015</t>
        </is>
      </c>
      <c r="B5225" s="12" t="inlineStr">
        <is>
          <t>J</t>
        </is>
      </c>
      <c r="C5225" s="12" t="inlineStr">
        <is>
          <t>GT inlet chilling</t>
        </is>
      </c>
      <c r="D5225" s="12" t="inlineStr">
        <is>
          <t>Discrete device to JB JB-CW pumps (inlet ch-DI02: 4 x 1 pr (field cables)</t>
        </is>
      </c>
      <c r="E5225" s="12" t="inlineStr"/>
      <c r="F5225" s="12" t="inlineStr">
        <is>
          <t>CW pumps (inlet chilling)</t>
        </is>
      </c>
      <c r="G5225" s="12" t="inlineStr">
        <is>
          <t>JB-CW pumps (inlet ch-DI02</t>
        </is>
      </c>
      <c r="H5225" s="12" t="inlineStr">
        <is>
          <t>CW pumps (inlet chilling)</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4</v>
      </c>
      <c r="O5225" s="12" t="n">
        <v>1</v>
      </c>
      <c r="P5225" s="12" t="n"/>
      <c r="Q5225" s="12" t="n"/>
      <c r="R5225" s="12" t="n"/>
      <c r="S5225" s="12" t="inlineStr">
        <is>
          <t>Tray / conduit</t>
        </is>
      </c>
      <c r="T5225" s="15" t="n">
        <v>92</v>
      </c>
      <c r="U5225" s="15" t="n">
        <v>10</v>
      </c>
      <c r="V5225" s="15">
        <f>ROUNDUP((T5225+U5225+2*'Read Me'!$B$13)*(1+'Read Me'!$B$12),-1)</f>
        <v/>
      </c>
      <c r="W5225" s="15">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J-I-0016</t>
        </is>
      </c>
      <c r="B5226" s="12" t="inlineStr">
        <is>
          <t>J</t>
        </is>
      </c>
      <c r="C5226" s="12" t="inlineStr">
        <is>
          <t>GT inlet chilling</t>
        </is>
      </c>
      <c r="D5226" s="12" t="inlineStr">
        <is>
          <t>Home run JB-CW pumps (inlet ch-DI02 to the control / marshalling room</t>
        </is>
      </c>
      <c r="E5226" s="12" t="inlineStr"/>
      <c r="F5226" s="12" t="inlineStr">
        <is>
          <t>Inlet-chilling e-house / transformer</t>
        </is>
      </c>
      <c r="G5226" s="12" t="inlineStr">
        <is>
          <t>JB-CW pumps (inlet ch-DI02</t>
        </is>
      </c>
      <c r="H5226" s="12" t="inlineStr">
        <is>
          <t>CW pumps (inlet chilling)</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Tray</t>
        </is>
      </c>
      <c r="T5226" s="15" t="n">
        <v>0</v>
      </c>
      <c r="U5226" s="15" t="n">
        <v>70</v>
      </c>
      <c r="V5226" s="15">
        <f>ROUNDUP((T5226+U5226+2*'Read Me'!$B$13)*(1+'Read Me'!$B$12),-1)</f>
        <v/>
      </c>
      <c r="W5226" s="15">
        <f>V5226*N5226*O5226</f>
        <v/>
      </c>
      <c r="X5226" s="12">
        <f>IF(LEFT(I5226,2)="MV",2*N5226*IF(L5226="1/C",O5226,1),0)</f>
        <v/>
      </c>
      <c r="Y5226" s="12">
        <f>IF(OR(LEFT(K5226,4)="LVAX",LEFT(K5226,6)="MV15AX",LEFT(K5226,4)="CTAX",LEFT(K5226,2)="W|"),2*N5226*O5226,0)</f>
        <v/>
      </c>
      <c r="Z5226" s="12" t="inlineStr"/>
      <c r="AA5226" s="12">
        <f>N5226*O5226</f>
        <v/>
      </c>
    </row>
    <row r="5227">
      <c r="A5227" s="12" t="inlineStr">
        <is>
          <t>J-I-0017</t>
        </is>
      </c>
      <c r="B5227" s="12" t="inlineStr">
        <is>
          <t>J</t>
        </is>
      </c>
      <c r="C5227" s="12" t="inlineStr">
        <is>
          <t>GT inlet chilling</t>
        </is>
      </c>
      <c r="D5227" s="12" t="inlineStr">
        <is>
          <t>Analog instrument to JB JB-Chillers x6 (water-AI01: 20 x 1 pr (field cables)</t>
        </is>
      </c>
      <c r="E5227" s="12" t="inlineStr"/>
      <c r="F5227" s="12" t="inlineStr">
        <is>
          <t>Chillers x6 (water-cooled)</t>
        </is>
      </c>
      <c r="G5227" s="12" t="inlineStr">
        <is>
          <t>JB-Chillers x6 (water-AI01</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5" t="n">
        <v>190</v>
      </c>
      <c r="U5227" s="15" t="n">
        <v>10</v>
      </c>
      <c r="V5227" s="15">
        <f>ROUNDUP((T5227+U5227+2*'Read Me'!$B$13)*(1+'Read Me'!$B$12),-1)</f>
        <v/>
      </c>
      <c r="W5227" s="15">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J-I-0018</t>
        </is>
      </c>
      <c r="B5228" s="12" t="inlineStr">
        <is>
          <t>J</t>
        </is>
      </c>
      <c r="C5228" s="12" t="inlineStr">
        <is>
          <t>GT inlet chilling</t>
        </is>
      </c>
      <c r="D5228" s="12" t="inlineStr">
        <is>
          <t>Home run JB-Chillers x6 (water-AI01 to the control / marshalling room</t>
        </is>
      </c>
      <c r="E5228" s="12" t="inlineStr"/>
      <c r="F5228" s="12" t="inlineStr">
        <is>
          <t>Inlet-chilling e-house / transformer</t>
        </is>
      </c>
      <c r="G5228" s="12" t="inlineStr">
        <is>
          <t>JB-Chillers x6 (water-AI01</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5" t="n">
        <v>10</v>
      </c>
      <c r="U5228" s="15" t="n">
        <v>32</v>
      </c>
      <c r="V5228" s="15">
        <f>ROUNDUP((T5228+U5228+2*'Read Me'!$B$13)*(1+'Read Me'!$B$12),-1)</f>
        <v/>
      </c>
      <c r="W5228" s="15">
        <f>V5228*N5228*O5228</f>
        <v/>
      </c>
      <c r="X5228" s="12">
        <f>IF(LEFT(I5228,2)="MV",2*N5228*IF(L5228="1/C",O5228,1),0)</f>
        <v/>
      </c>
      <c r="Y5228" s="12">
        <f>IF(OR(LEFT(K5228,4)="LVAX",LEFT(K5228,6)="MV15AX",LEFT(K5228,4)="CTAX",LEFT(K5228,2)="W|"),2*N5228*O5228,0)</f>
        <v/>
      </c>
      <c r="Z5228" s="12" t="inlineStr"/>
      <c r="AA5228" s="12">
        <f>N5228*O5228</f>
        <v/>
      </c>
    </row>
    <row r="5229">
      <c r="A5229" s="12" t="inlineStr">
        <is>
          <t>J-I-0019</t>
        </is>
      </c>
      <c r="B5229" s="12" t="inlineStr">
        <is>
          <t>J</t>
        </is>
      </c>
      <c r="C5229" s="12" t="inlineStr">
        <is>
          <t>GT inlet chilling</t>
        </is>
      </c>
      <c r="D5229" s="12" t="inlineStr">
        <is>
          <t>Analog instrument to JB JB-Chillers x6 (water-AI02: 20 x 1 pr (field cables)</t>
        </is>
      </c>
      <c r="E5229" s="12" t="inlineStr"/>
      <c r="F5229" s="12" t="inlineStr">
        <is>
          <t>Chillers x6 (water-cooled)</t>
        </is>
      </c>
      <c r="G5229" s="12" t="inlineStr">
        <is>
          <t>JB-Chillers x6 (water-AI02</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5" t="n">
        <v>190</v>
      </c>
      <c r="U5229" s="15" t="n">
        <v>10</v>
      </c>
      <c r="V5229" s="15">
        <f>ROUNDUP((T5229+U5229+2*'Read Me'!$B$13)*(1+'Read Me'!$B$12),-1)</f>
        <v/>
      </c>
      <c r="W5229" s="15">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J-I-0020</t>
        </is>
      </c>
      <c r="B5230" s="12" t="inlineStr">
        <is>
          <t>J</t>
        </is>
      </c>
      <c r="C5230" s="12" t="inlineStr">
        <is>
          <t>GT inlet chilling</t>
        </is>
      </c>
      <c r="D5230" s="12" t="inlineStr">
        <is>
          <t>Home run JB-Chillers x6 (water-AI02 to the control / marshalling room</t>
        </is>
      </c>
      <c r="E5230" s="12" t="inlineStr"/>
      <c r="F5230" s="12" t="inlineStr">
        <is>
          <t>Inlet-chilling e-house / transformer</t>
        </is>
      </c>
      <c r="G5230" s="12" t="inlineStr">
        <is>
          <t>JB-Chillers x6 (water-AI02</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5" t="n">
        <v>10</v>
      </c>
      <c r="U5230" s="15" t="n">
        <v>32</v>
      </c>
      <c r="V5230" s="15">
        <f>ROUNDUP((T5230+U5230+2*'Read Me'!$B$13)*(1+'Read Me'!$B$12),-1)</f>
        <v/>
      </c>
      <c r="W5230" s="15">
        <f>V5230*N5230*O5230</f>
        <v/>
      </c>
      <c r="X5230" s="12">
        <f>IF(LEFT(I5230,2)="MV",2*N5230*IF(L5230="1/C",O5230,1),0)</f>
        <v/>
      </c>
      <c r="Y5230" s="12">
        <f>IF(OR(LEFT(K5230,4)="LVAX",LEFT(K5230,6)="MV15AX",LEFT(K5230,4)="CTAX",LEFT(K5230,2)="W|"),2*N5230*O5230,0)</f>
        <v/>
      </c>
      <c r="Z5230" s="12" t="inlineStr"/>
      <c r="AA5230" s="12">
        <f>N5230*O5230</f>
        <v/>
      </c>
    </row>
    <row r="5231">
      <c r="A5231" s="12" t="inlineStr">
        <is>
          <t>J-I-0021</t>
        </is>
      </c>
      <c r="B5231" s="12" t="inlineStr">
        <is>
          <t>J</t>
        </is>
      </c>
      <c r="C5231" s="12" t="inlineStr">
        <is>
          <t>GT inlet chilling</t>
        </is>
      </c>
      <c r="D5231" s="12" t="inlineStr">
        <is>
          <t>Analog instrument to JB JB-Chillers x6 (water-AI03: 20 x 1 pr (field cables)</t>
        </is>
      </c>
      <c r="E5231" s="12" t="inlineStr"/>
      <c r="F5231" s="12" t="inlineStr">
        <is>
          <t>Chillers x6 (water-cooled)</t>
        </is>
      </c>
      <c r="G5231" s="12" t="inlineStr">
        <is>
          <t>JB-Chillers x6 (water-AI03</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5" t="n">
        <v>190</v>
      </c>
      <c r="U5231" s="15" t="n">
        <v>10</v>
      </c>
      <c r="V5231" s="15">
        <f>ROUNDUP((T5231+U5231+2*'Read Me'!$B$13)*(1+'Read Me'!$B$12),-1)</f>
        <v/>
      </c>
      <c r="W5231" s="15">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J-I-0022</t>
        </is>
      </c>
      <c r="B5232" s="12" t="inlineStr">
        <is>
          <t>J</t>
        </is>
      </c>
      <c r="C5232" s="12" t="inlineStr">
        <is>
          <t>GT inlet chilling</t>
        </is>
      </c>
      <c r="D5232" s="12" t="inlineStr">
        <is>
          <t>Home run JB-Chillers x6 (water-AI03 to the control / marshalling room</t>
        </is>
      </c>
      <c r="E5232" s="12" t="inlineStr"/>
      <c r="F5232" s="12" t="inlineStr">
        <is>
          <t>Inlet-chilling e-house / transformer</t>
        </is>
      </c>
      <c r="G5232" s="12" t="inlineStr">
        <is>
          <t>JB-Chillers x6 (water-AI03</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5" t="n">
        <v>10</v>
      </c>
      <c r="U5232" s="15" t="n">
        <v>32</v>
      </c>
      <c r="V5232" s="15">
        <f>ROUNDUP((T5232+U5232+2*'Read Me'!$B$13)*(1+'Read Me'!$B$12),-1)</f>
        <v/>
      </c>
      <c r="W5232" s="15">
        <f>V5232*N5232*O5232</f>
        <v/>
      </c>
      <c r="X5232" s="12">
        <f>IF(LEFT(I5232,2)="MV",2*N5232*IF(L5232="1/C",O5232,1),0)</f>
        <v/>
      </c>
      <c r="Y5232" s="12">
        <f>IF(OR(LEFT(K5232,4)="LVAX",LEFT(K5232,6)="MV15AX",LEFT(K5232,4)="CTAX",LEFT(K5232,2)="W|"),2*N5232*O5232,0)</f>
        <v/>
      </c>
      <c r="Z5232" s="12" t="inlineStr"/>
      <c r="AA5232" s="12">
        <f>N5232*O5232</f>
        <v/>
      </c>
    </row>
    <row r="5233">
      <c r="A5233" s="12" t="inlineStr">
        <is>
          <t>J-I-0023</t>
        </is>
      </c>
      <c r="B5233" s="12" t="inlineStr">
        <is>
          <t>J</t>
        </is>
      </c>
      <c r="C5233" s="12" t="inlineStr">
        <is>
          <t>GT inlet chilling</t>
        </is>
      </c>
      <c r="D5233" s="12" t="inlineStr">
        <is>
          <t>Analog instrument to JB JB-Chillers x6 (water-AI04: 20 x 1 pr (field cables)</t>
        </is>
      </c>
      <c r="E5233" s="12" t="inlineStr"/>
      <c r="F5233" s="12" t="inlineStr">
        <is>
          <t>Chillers x6 (water-cooled)</t>
        </is>
      </c>
      <c r="G5233" s="12" t="inlineStr">
        <is>
          <t>JB-Chillers x6 (water-AI04</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5" t="n">
        <v>190</v>
      </c>
      <c r="U5233" s="15" t="n">
        <v>10</v>
      </c>
      <c r="V5233" s="15">
        <f>ROUNDUP((T5233+U5233+2*'Read Me'!$B$13)*(1+'Read Me'!$B$12),-1)</f>
        <v/>
      </c>
      <c r="W5233" s="15">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J-I-0024</t>
        </is>
      </c>
      <c r="B5234" s="12" t="inlineStr">
        <is>
          <t>J</t>
        </is>
      </c>
      <c r="C5234" s="12" t="inlineStr">
        <is>
          <t>GT inlet chilling</t>
        </is>
      </c>
      <c r="D5234" s="12" t="inlineStr">
        <is>
          <t>Home run JB-Chillers x6 (water-AI04 to the control / marshalling room</t>
        </is>
      </c>
      <c r="E5234" s="12" t="inlineStr"/>
      <c r="F5234" s="12" t="inlineStr">
        <is>
          <t>Inlet-chilling e-house / transformer</t>
        </is>
      </c>
      <c r="G5234" s="12" t="inlineStr">
        <is>
          <t>JB-Chillers x6 (water-AI04</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5" t="n">
        <v>10</v>
      </c>
      <c r="U5234" s="15" t="n">
        <v>32</v>
      </c>
      <c r="V5234" s="15">
        <f>ROUNDUP((T5234+U5234+2*'Read Me'!$B$13)*(1+'Read Me'!$B$12),-1)</f>
        <v/>
      </c>
      <c r="W5234" s="15">
        <f>V5234*N5234*O5234</f>
        <v/>
      </c>
      <c r="X5234" s="12">
        <f>IF(LEFT(I5234,2)="MV",2*N5234*IF(L5234="1/C",O5234,1),0)</f>
        <v/>
      </c>
      <c r="Y5234" s="12">
        <f>IF(OR(LEFT(K5234,4)="LVAX",LEFT(K5234,6)="MV15AX",LEFT(K5234,4)="CTAX",LEFT(K5234,2)="W|"),2*N5234*O5234,0)</f>
        <v/>
      </c>
      <c r="Z5234" s="12" t="inlineStr"/>
      <c r="AA5234" s="12">
        <f>N5234*O5234</f>
        <v/>
      </c>
    </row>
    <row r="5235">
      <c r="A5235" s="12" t="inlineStr">
        <is>
          <t>J-I-0025</t>
        </is>
      </c>
      <c r="B5235" s="12" t="inlineStr">
        <is>
          <t>J</t>
        </is>
      </c>
      <c r="C5235" s="12" t="inlineStr">
        <is>
          <t>GT inlet chilling</t>
        </is>
      </c>
      <c r="D5235" s="12" t="inlineStr">
        <is>
          <t>Analog instrument to JB JB-Chillers x6 (water-AI05: 20 x 1 pr (field cables)</t>
        </is>
      </c>
      <c r="E5235" s="12" t="inlineStr"/>
      <c r="F5235" s="12" t="inlineStr">
        <is>
          <t>Chillers x6 (water-cooled)</t>
        </is>
      </c>
      <c r="G5235" s="12" t="inlineStr">
        <is>
          <t>JB-Chillers x6 (water-AI05</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5" t="n">
        <v>190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J-I-0026</t>
        </is>
      </c>
      <c r="B5236" s="12" t="inlineStr">
        <is>
          <t>J</t>
        </is>
      </c>
      <c r="C5236" s="12" t="inlineStr">
        <is>
          <t>GT inlet chilling</t>
        </is>
      </c>
      <c r="D5236" s="12" t="inlineStr">
        <is>
          <t>Home run JB-Chillers x6 (water-AI05 to the control / marshalling room</t>
        </is>
      </c>
      <c r="E5236" s="12" t="inlineStr"/>
      <c r="F5236" s="12" t="inlineStr">
        <is>
          <t>Inlet-chilling e-house / transformer</t>
        </is>
      </c>
      <c r="G5236" s="12" t="inlineStr">
        <is>
          <t>JB-Chillers x6 (water-AI05</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5" t="n">
        <v>10</v>
      </c>
      <c r="U5236" s="15" t="n">
        <v>32</v>
      </c>
      <c r="V5236" s="15">
        <f>ROUNDUP((T5236+U5236+2*'Read Me'!$B$13)*(1+'Read Me'!$B$12),-1)</f>
        <v/>
      </c>
      <c r="W5236" s="15">
        <f>V5236*N5236*O5236</f>
        <v/>
      </c>
      <c r="X5236" s="12">
        <f>IF(LEFT(I5236,2)="MV",2*N5236*IF(L5236="1/C",O5236,1),0)</f>
        <v/>
      </c>
      <c r="Y5236" s="12">
        <f>IF(OR(LEFT(K5236,4)="LVAX",LEFT(K5236,6)="MV15AX",LEFT(K5236,4)="CTAX",LEFT(K5236,2)="W|"),2*N5236*O5236,0)</f>
        <v/>
      </c>
      <c r="Z5236" s="12" t="inlineStr"/>
      <c r="AA5236" s="12">
        <f>N5236*O5236</f>
        <v/>
      </c>
    </row>
    <row r="5237">
      <c r="A5237" s="12" t="inlineStr">
        <is>
          <t>J-I-0027</t>
        </is>
      </c>
      <c r="B5237" s="12" t="inlineStr">
        <is>
          <t>J</t>
        </is>
      </c>
      <c r="C5237" s="12" t="inlineStr">
        <is>
          <t>GT inlet chilling</t>
        </is>
      </c>
      <c r="D5237" s="12" t="inlineStr">
        <is>
          <t>Analog instrument to JB JB-Chillers x6 (water-AI06: 20 x 1 pr (field cables)</t>
        </is>
      </c>
      <c r="E5237" s="12" t="inlineStr"/>
      <c r="F5237" s="12" t="inlineStr">
        <is>
          <t>Chillers x6 (water-cooled)</t>
        </is>
      </c>
      <c r="G5237" s="12" t="inlineStr">
        <is>
          <t>JB-Chillers x6 (water-AI06</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5" t="n">
        <v>190</v>
      </c>
      <c r="U5237" s="15" t="n">
        <v>10</v>
      </c>
      <c r="V5237" s="15">
        <f>ROUNDUP((T5237+U5237+2*'Read Me'!$B$13)*(1+'Read Me'!$B$12),-1)</f>
        <v/>
      </c>
      <c r="W5237" s="15">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J-I-0028</t>
        </is>
      </c>
      <c r="B5238" s="12" t="inlineStr">
        <is>
          <t>J</t>
        </is>
      </c>
      <c r="C5238" s="12" t="inlineStr">
        <is>
          <t>GT inlet chilling</t>
        </is>
      </c>
      <c r="D5238" s="12" t="inlineStr">
        <is>
          <t>Home run JB-Chillers x6 (water-AI06 to the control / marshalling room</t>
        </is>
      </c>
      <c r="E5238" s="12" t="inlineStr"/>
      <c r="F5238" s="12" t="inlineStr">
        <is>
          <t>Inlet-chilling e-house / transformer</t>
        </is>
      </c>
      <c r="G5238" s="12" t="inlineStr">
        <is>
          <t>JB-Chillers x6 (water-AI06</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5" t="n">
        <v>10</v>
      </c>
      <c r="U5238" s="15" t="n">
        <v>32</v>
      </c>
      <c r="V5238" s="15">
        <f>ROUNDUP((T5238+U5238+2*'Read Me'!$B$13)*(1+'Read Me'!$B$12),-1)</f>
        <v/>
      </c>
      <c r="W5238" s="15">
        <f>V5238*N5238*O5238</f>
        <v/>
      </c>
      <c r="X5238" s="12">
        <f>IF(LEFT(I5238,2)="MV",2*N5238*IF(L5238="1/C",O5238,1),0)</f>
        <v/>
      </c>
      <c r="Y5238" s="12">
        <f>IF(OR(LEFT(K5238,4)="LVAX",LEFT(K5238,6)="MV15AX",LEFT(K5238,4)="CTAX",LEFT(K5238,2)="W|"),2*N5238*O5238,0)</f>
        <v/>
      </c>
      <c r="Z5238" s="12" t="inlineStr"/>
      <c r="AA5238" s="12">
        <f>N5238*O5238</f>
        <v/>
      </c>
    </row>
    <row r="5239">
      <c r="A5239" s="12" t="inlineStr">
        <is>
          <t>J-I-0029</t>
        </is>
      </c>
      <c r="B5239" s="12" t="inlineStr">
        <is>
          <t>J</t>
        </is>
      </c>
      <c r="C5239" s="12" t="inlineStr">
        <is>
          <t>GT inlet chilling</t>
        </is>
      </c>
      <c r="D5239" s="12" t="inlineStr">
        <is>
          <t>Discrete device to JB JB-Chillers x6 (water-DI01: 20 x 1 pr (field cables)</t>
        </is>
      </c>
      <c r="E5239" s="12" t="inlineStr"/>
      <c r="F5239" s="12" t="inlineStr">
        <is>
          <t>Chillers x6 (water-cooled)</t>
        </is>
      </c>
      <c r="G5239" s="12" t="inlineStr">
        <is>
          <t>JB-Chillers x6 (water-DI01</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5" t="n">
        <v>190</v>
      </c>
      <c r="U5239" s="15" t="n">
        <v>10</v>
      </c>
      <c r="V5239" s="15">
        <f>ROUNDUP((T5239+U5239+2*'Read Me'!$B$13)*(1+'Read Me'!$B$12),-1)</f>
        <v/>
      </c>
      <c r="W5239" s="15">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J-I-0030</t>
        </is>
      </c>
      <c r="B5240" s="12" t="inlineStr">
        <is>
          <t>J</t>
        </is>
      </c>
      <c r="C5240" s="12" t="inlineStr">
        <is>
          <t>GT inlet chilling</t>
        </is>
      </c>
      <c r="D5240" s="12" t="inlineStr">
        <is>
          <t>Home run JB-Chillers x6 (water-DI01 to the control / marshalling room</t>
        </is>
      </c>
      <c r="E5240" s="12" t="inlineStr"/>
      <c r="F5240" s="12" t="inlineStr">
        <is>
          <t>Inlet-chilling e-house / transformer</t>
        </is>
      </c>
      <c r="G5240" s="12" t="inlineStr">
        <is>
          <t>JB-Chillers x6 (water-DI01</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5" t="n">
        <v>10</v>
      </c>
      <c r="U5240" s="15" t="n">
        <v>32</v>
      </c>
      <c r="V5240" s="15">
        <f>ROUNDUP((T5240+U5240+2*'Read Me'!$B$13)*(1+'Read Me'!$B$12),-1)</f>
        <v/>
      </c>
      <c r="W5240" s="15">
        <f>V5240*N5240*O5240</f>
        <v/>
      </c>
      <c r="X5240" s="12">
        <f>IF(LEFT(I5240,2)="MV",2*N5240*IF(L5240="1/C",O5240,1),0)</f>
        <v/>
      </c>
      <c r="Y5240" s="12">
        <f>IF(OR(LEFT(K5240,4)="LVAX",LEFT(K5240,6)="MV15AX",LEFT(K5240,4)="CTAX",LEFT(K5240,2)="W|"),2*N5240*O5240,0)</f>
        <v/>
      </c>
      <c r="Z5240" s="12" t="inlineStr"/>
      <c r="AA5240" s="12">
        <f>N5240*O5240</f>
        <v/>
      </c>
    </row>
    <row r="5241">
      <c r="A5241" s="12" t="inlineStr">
        <is>
          <t>J-I-0031</t>
        </is>
      </c>
      <c r="B5241" s="12" t="inlineStr">
        <is>
          <t>J</t>
        </is>
      </c>
      <c r="C5241" s="12" t="inlineStr">
        <is>
          <t>GT inlet chilling</t>
        </is>
      </c>
      <c r="D5241" s="12" t="inlineStr">
        <is>
          <t>Discrete device to JB JB-Chillers x6 (water-DI02: 20 x 1 pr (field cables)</t>
        </is>
      </c>
      <c r="E5241" s="12" t="inlineStr"/>
      <c r="F5241" s="12" t="inlineStr">
        <is>
          <t>Chillers x6 (water-cooled)</t>
        </is>
      </c>
      <c r="G5241" s="12" t="inlineStr">
        <is>
          <t>JB-Chillers x6 (water-DI02</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5" t="n">
        <v>190</v>
      </c>
      <c r="U5241" s="15" t="n">
        <v>10</v>
      </c>
      <c r="V5241" s="15">
        <f>ROUNDUP((T5241+U5241+2*'Read Me'!$B$13)*(1+'Read Me'!$B$12),-1)</f>
        <v/>
      </c>
      <c r="W5241" s="15">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J-I-0032</t>
        </is>
      </c>
      <c r="B5242" s="12" t="inlineStr">
        <is>
          <t>J</t>
        </is>
      </c>
      <c r="C5242" s="12" t="inlineStr">
        <is>
          <t>GT inlet chilling</t>
        </is>
      </c>
      <c r="D5242" s="12" t="inlineStr">
        <is>
          <t>Home run JB-Chillers x6 (water-DI02 to the control / marshalling room</t>
        </is>
      </c>
      <c r="E5242" s="12" t="inlineStr"/>
      <c r="F5242" s="12" t="inlineStr">
        <is>
          <t>Inlet-chilling e-house / transformer</t>
        </is>
      </c>
      <c r="G5242" s="12" t="inlineStr">
        <is>
          <t>JB-Chillers x6 (water-DI02</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5" t="n">
        <v>10</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c r="AA5242" s="12">
        <f>N5242*O5242</f>
        <v/>
      </c>
    </row>
    <row r="5243">
      <c r="A5243" s="12" t="inlineStr">
        <is>
          <t>J-I-0033</t>
        </is>
      </c>
      <c r="B5243" s="12" t="inlineStr">
        <is>
          <t>J</t>
        </is>
      </c>
      <c r="C5243" s="12" t="inlineStr">
        <is>
          <t>GT inlet chilling</t>
        </is>
      </c>
      <c r="D5243" s="12" t="inlineStr">
        <is>
          <t>Discrete device to JB JB-Chillers x6 (water-DI03: 20 x 1 pr (field cables)</t>
        </is>
      </c>
      <c r="E5243" s="12" t="inlineStr"/>
      <c r="F5243" s="12" t="inlineStr">
        <is>
          <t>Chillers x6 (water-cooled)</t>
        </is>
      </c>
      <c r="G5243" s="12" t="inlineStr">
        <is>
          <t>JB-Chillers x6 (water-DI03</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5" t="n">
        <v>190</v>
      </c>
      <c r="U5243" s="15" t="n">
        <v>10</v>
      </c>
      <c r="V5243" s="15">
        <f>ROUNDUP((T5243+U5243+2*'Read Me'!$B$13)*(1+'Read Me'!$B$12),-1)</f>
        <v/>
      </c>
      <c r="W5243" s="15">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J-I-0034</t>
        </is>
      </c>
      <c r="B5244" s="12" t="inlineStr">
        <is>
          <t>J</t>
        </is>
      </c>
      <c r="C5244" s="12" t="inlineStr">
        <is>
          <t>GT inlet chilling</t>
        </is>
      </c>
      <c r="D5244" s="12" t="inlineStr">
        <is>
          <t>Home run JB-Chillers x6 (water-DI03 to the control / marshalling room</t>
        </is>
      </c>
      <c r="E5244" s="12" t="inlineStr"/>
      <c r="F5244" s="12" t="inlineStr">
        <is>
          <t>Inlet-chilling e-house / transformer</t>
        </is>
      </c>
      <c r="G5244" s="12" t="inlineStr">
        <is>
          <t>JB-Chillers x6 (water-DI03</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5" t="n">
        <v>10</v>
      </c>
      <c r="U5244" s="15" t="n">
        <v>32</v>
      </c>
      <c r="V5244" s="15">
        <f>ROUNDUP((T5244+U5244+2*'Read Me'!$B$13)*(1+'Read Me'!$B$12),-1)</f>
        <v/>
      </c>
      <c r="W5244" s="15">
        <f>V5244*N5244*O5244</f>
        <v/>
      </c>
      <c r="X5244" s="12">
        <f>IF(LEFT(I5244,2)="MV",2*N5244*IF(L5244="1/C",O5244,1),0)</f>
        <v/>
      </c>
      <c r="Y5244" s="12">
        <f>IF(OR(LEFT(K5244,4)="LVAX",LEFT(K5244,6)="MV15AX",LEFT(K5244,4)="CTAX",LEFT(K5244,2)="W|"),2*N5244*O5244,0)</f>
        <v/>
      </c>
      <c r="Z5244" s="12" t="inlineStr"/>
      <c r="AA5244" s="12">
        <f>N5244*O5244</f>
        <v/>
      </c>
    </row>
    <row r="5245">
      <c r="A5245" s="12" t="inlineStr">
        <is>
          <t>J-I-0035</t>
        </is>
      </c>
      <c r="B5245" s="12" t="inlineStr">
        <is>
          <t>J</t>
        </is>
      </c>
      <c r="C5245" s="12" t="inlineStr">
        <is>
          <t>GT inlet chilling</t>
        </is>
      </c>
      <c r="D5245" s="12" t="inlineStr">
        <is>
          <t>Discrete device to JB JB-Chillers x6 (water-DI04: 20 x 1 pr (field cables)</t>
        </is>
      </c>
      <c r="E5245" s="12" t="inlineStr"/>
      <c r="F5245" s="12" t="inlineStr">
        <is>
          <t>Chillers x6 (water-cooled)</t>
        </is>
      </c>
      <c r="G5245" s="12" t="inlineStr">
        <is>
          <t>JB-Chillers x6 (water-DI04</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5" t="n">
        <v>190</v>
      </c>
      <c r="U5245" s="15" t="n">
        <v>10</v>
      </c>
      <c r="V5245" s="15">
        <f>ROUNDUP((T5245+U5245+2*'Read Me'!$B$13)*(1+'Read Me'!$B$12),-1)</f>
        <v/>
      </c>
      <c r="W5245" s="15">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J-I-0036</t>
        </is>
      </c>
      <c r="B5246" s="12" t="inlineStr">
        <is>
          <t>J</t>
        </is>
      </c>
      <c r="C5246" s="12" t="inlineStr">
        <is>
          <t>GT inlet chilling</t>
        </is>
      </c>
      <c r="D5246" s="12" t="inlineStr">
        <is>
          <t>Home run JB-Chillers x6 (water-DI04 to the control / marshalling room</t>
        </is>
      </c>
      <c r="E5246" s="12" t="inlineStr"/>
      <c r="F5246" s="12" t="inlineStr">
        <is>
          <t>Inlet-chilling e-house / transformer</t>
        </is>
      </c>
      <c r="G5246" s="12" t="inlineStr">
        <is>
          <t>JB-Chillers x6 (water-DI04</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5" t="n">
        <v>10</v>
      </c>
      <c r="U5246" s="15" t="n">
        <v>32</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J-I-0037</t>
        </is>
      </c>
      <c r="B5247" s="12" t="inlineStr">
        <is>
          <t>J</t>
        </is>
      </c>
      <c r="C5247" s="12" t="inlineStr">
        <is>
          <t>GT inlet chilling</t>
        </is>
      </c>
      <c r="D5247" s="12" t="inlineStr">
        <is>
          <t>Discrete device to JB JB-Chillers x6 (water-DI05: 20 x 1 pr (field cables)</t>
        </is>
      </c>
      <c r="E5247" s="12" t="inlineStr"/>
      <c r="F5247" s="12" t="inlineStr">
        <is>
          <t>Chillers x6 (water-cooled)</t>
        </is>
      </c>
      <c r="G5247" s="12" t="inlineStr">
        <is>
          <t>JB-Chillers x6 (water-DI05</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5" t="n">
        <v>190</v>
      </c>
      <c r="U5247" s="15" t="n">
        <v>10</v>
      </c>
      <c r="V5247" s="15">
        <f>ROUNDUP((T5247+U5247+2*'Read Me'!$B$13)*(1+'Read Me'!$B$12),-1)</f>
        <v/>
      </c>
      <c r="W5247" s="15">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J-I-0038</t>
        </is>
      </c>
      <c r="B5248" s="12" t="inlineStr">
        <is>
          <t>J</t>
        </is>
      </c>
      <c r="C5248" s="12" t="inlineStr">
        <is>
          <t>GT inlet chilling</t>
        </is>
      </c>
      <c r="D5248" s="12" t="inlineStr">
        <is>
          <t>Home run JB-Chillers x6 (water-DI05 to the control / marshalling room</t>
        </is>
      </c>
      <c r="E5248" s="12" t="inlineStr"/>
      <c r="F5248" s="12" t="inlineStr">
        <is>
          <t>Inlet-chilling e-house / transformer</t>
        </is>
      </c>
      <c r="G5248" s="12" t="inlineStr">
        <is>
          <t>JB-Chillers x6 (water-DI05</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5" t="n">
        <v>10</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c r="AA5248" s="12">
        <f>N5248*O5248</f>
        <v/>
      </c>
    </row>
    <row r="5249">
      <c r="A5249" s="12" t="inlineStr">
        <is>
          <t>J-I-0039</t>
        </is>
      </c>
      <c r="B5249" s="12" t="inlineStr">
        <is>
          <t>J</t>
        </is>
      </c>
      <c r="C5249" s="12" t="inlineStr">
        <is>
          <t>GT inlet chilling</t>
        </is>
      </c>
      <c r="D5249" s="12" t="inlineStr">
        <is>
          <t>Discrete device to JB JB-Chillers x6 (water-DI06: 20 x 1 pr (field cables)</t>
        </is>
      </c>
      <c r="E5249" s="12" t="inlineStr"/>
      <c r="F5249" s="12" t="inlineStr">
        <is>
          <t>Chillers x6 (water-cooled)</t>
        </is>
      </c>
      <c r="G5249" s="12" t="inlineStr">
        <is>
          <t>JB-Chillers x6 (water-DI06</t>
        </is>
      </c>
      <c r="H5249" s="12" t="inlineStr">
        <is>
          <t>Chillers x6 (water-cooled)</t>
        </is>
      </c>
      <c r="I5249" s="12" t="inlineStr">
        <is>
          <t>Instrumentation</t>
        </is>
      </c>
      <c r="J5249" s="12" t="inlineStr">
        <is>
          <t>Instrumentation PLTC / TC-ER 300 V, #18 twisted shielded pairs, overall shield</t>
        </is>
      </c>
      <c r="K5249" s="12" t="inlineStr">
        <is>
          <t>PLTC|1 pr|16</t>
        </is>
      </c>
      <c r="L5249" s="12" t="inlineStr">
        <is>
          <t>1 pr</t>
        </is>
      </c>
      <c r="M5249" s="12" t="inlineStr">
        <is>
          <t>16</t>
        </is>
      </c>
      <c r="N5249" s="12" t="n">
        <v>20</v>
      </c>
      <c r="O5249" s="12" t="n">
        <v>1</v>
      </c>
      <c r="P5249" s="12" t="n"/>
      <c r="Q5249" s="12" t="n"/>
      <c r="R5249" s="12" t="n"/>
      <c r="S5249" s="12" t="inlineStr">
        <is>
          <t>Tray / conduit</t>
        </is>
      </c>
      <c r="T5249" s="15" t="n">
        <v>190</v>
      </c>
      <c r="U5249" s="15" t="n">
        <v>10</v>
      </c>
      <c r="V5249" s="15">
        <f>ROUNDUP((T5249+U5249+2*'Read Me'!$B$13)*(1+'Read Me'!$B$12),-1)</f>
        <v/>
      </c>
      <c r="W5249" s="15">
        <f>V5249*N5249*O5249</f>
        <v/>
      </c>
      <c r="X5249" s="12">
        <f>IF(LEFT(I5249,2)="MV",2*N5249*IF(L5249="1/C",O5249,1),0)</f>
        <v/>
      </c>
      <c r="Y5249" s="12">
        <f>IF(OR(LEFT(K5249,4)="LVAX",LEFT(K5249,6)="MV15AX",LEFT(K5249,4)="CTAX",LEFT(K5249,2)="W|"),2*N5249*O5249,0)</f>
        <v/>
      </c>
      <c r="Z5249" s="12" t="inlineStr">
        <is>
          <t>device-to-JB field wiring, one cable per device</t>
        </is>
      </c>
      <c r="AA5249" s="12">
        <f>N5249*O5249</f>
        <v/>
      </c>
    </row>
    <row r="5250">
      <c r="A5250" s="12" t="inlineStr">
        <is>
          <t>J-I-0040</t>
        </is>
      </c>
      <c r="B5250" s="12" t="inlineStr">
        <is>
          <t>J</t>
        </is>
      </c>
      <c r="C5250" s="12" t="inlineStr">
        <is>
          <t>GT inlet chilling</t>
        </is>
      </c>
      <c r="D5250" s="12" t="inlineStr">
        <is>
          <t>Home run JB-Chillers x6 (water-DI06 to the control / marshalling room</t>
        </is>
      </c>
      <c r="E5250" s="12" t="inlineStr"/>
      <c r="F5250" s="12" t="inlineStr">
        <is>
          <t>Inlet-chilling e-house / transformer</t>
        </is>
      </c>
      <c r="G5250" s="12" t="inlineStr">
        <is>
          <t>JB-Chillers x6 (water-DI06</t>
        </is>
      </c>
      <c r="H5250" s="12" t="inlineStr">
        <is>
          <t>Chillers x6 (water-cooled)</t>
        </is>
      </c>
      <c r="I5250" s="12" t="inlineStr">
        <is>
          <t>Instrumentation</t>
        </is>
      </c>
      <c r="J5250" s="12" t="inlineStr">
        <is>
          <t>Instrumentation PLTC / TC-ER 300 V, #18 twisted shielded pairs, overall shield</t>
        </is>
      </c>
      <c r="K5250" s="12" t="inlineStr">
        <is>
          <t>PLTC|24 pr|18</t>
        </is>
      </c>
      <c r="L5250" s="12" t="inlineStr">
        <is>
          <t>24 pr</t>
        </is>
      </c>
      <c r="M5250" s="12" t="inlineStr">
        <is>
          <t>18</t>
        </is>
      </c>
      <c r="N5250" s="12" t="n">
        <v>1</v>
      </c>
      <c r="O5250" s="12" t="n">
        <v>1</v>
      </c>
      <c r="P5250" s="12" t="n"/>
      <c r="Q5250" s="12" t="n"/>
      <c r="R5250" s="12" t="n"/>
      <c r="S5250" s="12" t="inlineStr">
        <is>
          <t>Duct bank</t>
        </is>
      </c>
      <c r="T5250" s="15" t="n">
        <v>10</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c r="AA5250" s="12">
        <f>N5250*O5250</f>
        <v/>
      </c>
    </row>
    <row r="5251">
      <c r="A5251" s="12" t="inlineStr">
        <is>
          <t>J-I-0041</t>
        </is>
      </c>
      <c r="B5251" s="12" t="inlineStr">
        <is>
          <t>J</t>
        </is>
      </c>
      <c r="C5251" s="12" t="inlineStr">
        <is>
          <t>GT inlet chilling</t>
        </is>
      </c>
      <c r="D5251" s="12" t="inlineStr">
        <is>
          <t>Instrumentation</t>
        </is>
      </c>
      <c r="E5251" s="12" t="inlineStr"/>
      <c r="F5251" s="12" t="inlineStr">
        <is>
          <t>Inlet-chilling e-house / transformer</t>
        </is>
      </c>
      <c r="G5251" s="12" t="inlineStr"/>
      <c r="H5251" s="12" t="inlineStr">
        <is>
          <t>Inlet-chilling e-house / transformer</t>
        </is>
      </c>
      <c r="I5251" s="12" t="inlineStr">
        <is>
          <t>Instrumentation</t>
        </is>
      </c>
      <c r="J5251" s="12" t="inlineStr">
        <is>
          <t>Instrumentation PLTC / TC-ER 300 V, #18 twisted shielded pairs, overall shield</t>
        </is>
      </c>
      <c r="K5251" s="12" t="inlineStr">
        <is>
          <t>PLTC|4 pr|18</t>
        </is>
      </c>
      <c r="L5251" s="12" t="inlineStr">
        <is>
          <t>4 pr</t>
        </is>
      </c>
      <c r="M5251" s="12" t="inlineStr">
        <is>
          <t>18</t>
        </is>
      </c>
      <c r="N5251" s="12" t="n">
        <v>1</v>
      </c>
      <c r="O5251" s="12" t="n">
        <v>1</v>
      </c>
      <c r="P5251" s="12" t="n"/>
      <c r="Q5251" s="12" t="n"/>
      <c r="R5251" s="12" t="n"/>
      <c r="S5251" s="12" t="inlineStr">
        <is>
          <t>Tray</t>
        </is>
      </c>
      <c r="T5251" s="15" t="n">
        <v>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c r="AA5251" s="12">
        <f>N5251*O5251</f>
        <v/>
      </c>
    </row>
    <row r="5252">
      <c r="A5252" s="12" t="inlineStr">
        <is>
          <t>J-I-0042</t>
        </is>
      </c>
      <c r="B5252" s="12" t="inlineStr">
        <is>
          <t>J</t>
        </is>
      </c>
      <c r="C5252" s="12" t="inlineStr">
        <is>
          <t>GT inlet chilling</t>
        </is>
      </c>
      <c r="D5252" s="12" t="inlineStr">
        <is>
          <t>Analog instrument to JB JB-Inlet-chilling tow-AI01: 12 x 1 pr (field cables)</t>
        </is>
      </c>
      <c r="E5252" s="12" t="inlineStr"/>
      <c r="F5252" s="12" t="inlineStr">
        <is>
          <t>Inlet-chilling tower (12 cells): chiller heat rejection</t>
        </is>
      </c>
      <c r="G5252" s="12" t="inlineStr">
        <is>
          <t>JB-Inlet-chilling tow-AI01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12</v>
      </c>
      <c r="O5252" s="12" t="n">
        <v>1</v>
      </c>
      <c r="P5252" s="12" t="n"/>
      <c r="Q5252" s="12" t="n"/>
      <c r="R5252" s="12" t="n"/>
      <c r="S5252" s="12" t="inlineStr">
        <is>
          <t>Tray / conduit</t>
        </is>
      </c>
      <c r="T5252" s="15" t="n">
        <v>205</v>
      </c>
      <c r="U5252" s="15" t="n">
        <v>10</v>
      </c>
      <c r="V5252" s="15">
        <f>ROUNDUP((T5252+U5252+2*'Read Me'!$B$13)*(1+'Read Me'!$B$12),-1)</f>
        <v/>
      </c>
      <c r="W5252" s="15">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J-I-0043</t>
        </is>
      </c>
      <c r="B5253" s="12" t="inlineStr">
        <is>
          <t>J</t>
        </is>
      </c>
      <c r="C5253" s="12" t="inlineStr">
        <is>
          <t>GT inlet chilling</t>
        </is>
      </c>
      <c r="D5253" s="12" t="inlineStr">
        <is>
          <t>Home run JB-Inlet-chilling tow-AI01 to the control / marshalling room</t>
        </is>
      </c>
      <c r="E5253" s="12" t="inlineStr"/>
      <c r="F5253" s="12" t="inlineStr">
        <is>
          <t>Inlet-chilling e-house / transformer</t>
        </is>
      </c>
      <c r="G5253" s="12" t="inlineStr">
        <is>
          <t>JB-Inlet-chilling tow-AI01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Tray</t>
        </is>
      </c>
      <c r="T5253" s="15" t="n">
        <v>214</v>
      </c>
      <c r="U5253" s="15" t="n">
        <v>47</v>
      </c>
      <c r="V5253" s="15">
        <f>ROUNDUP((T5253+U5253+2*'Read Me'!$B$13)*(1+'Read Me'!$B$12),-1)</f>
        <v/>
      </c>
      <c r="W5253" s="15">
        <f>V5253*N5253*O5253</f>
        <v/>
      </c>
      <c r="X5253" s="12">
        <f>IF(LEFT(I5253,2)="MV",2*N5253*IF(L5253="1/C",O5253,1),0)</f>
        <v/>
      </c>
      <c r="Y5253" s="12">
        <f>IF(OR(LEFT(K5253,4)="LVAX",LEFT(K5253,6)="MV15AX",LEFT(K5253,4)="CTAX",LEFT(K5253,2)="W|"),2*N5253*O5253,0)</f>
        <v/>
      </c>
      <c r="Z5253" s="12" t="inlineStr"/>
      <c r="AA5253" s="12">
        <f>N5253*O5253</f>
        <v/>
      </c>
    </row>
    <row r="5254">
      <c r="A5254" s="12" t="inlineStr">
        <is>
          <t>J-I-0044</t>
        </is>
      </c>
      <c r="B5254" s="12" t="inlineStr">
        <is>
          <t>J</t>
        </is>
      </c>
      <c r="C5254" s="12" t="inlineStr">
        <is>
          <t>GT inlet chilling</t>
        </is>
      </c>
      <c r="D5254" s="12" t="inlineStr">
        <is>
          <t>Discrete device to JB JB-Inlet-chilling tow-DI01: 20 x 1 pr (field cables)</t>
        </is>
      </c>
      <c r="E5254" s="12" t="inlineStr"/>
      <c r="F5254" s="12" t="inlineStr">
        <is>
          <t>Inlet-chilling tower (12 cells): chiller heat rejection</t>
        </is>
      </c>
      <c r="G5254" s="12" t="inlineStr">
        <is>
          <t>JB-Inlet-chilling tow-DI01</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20</v>
      </c>
      <c r="O5254" s="12" t="n">
        <v>1</v>
      </c>
      <c r="P5254" s="12" t="n"/>
      <c r="Q5254" s="12" t="n"/>
      <c r="R5254" s="12" t="n"/>
      <c r="S5254" s="12" t="inlineStr">
        <is>
          <t>Tray / conduit</t>
        </is>
      </c>
      <c r="T5254" s="15" t="n">
        <v>205</v>
      </c>
      <c r="U5254" s="15" t="n">
        <v>10</v>
      </c>
      <c r="V5254" s="15">
        <f>ROUNDUP((T5254+U5254+2*'Read Me'!$B$13)*(1+'Read Me'!$B$12),-1)</f>
        <v/>
      </c>
      <c r="W5254" s="15">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J-I-0045</t>
        </is>
      </c>
      <c r="B5255" s="12" t="inlineStr">
        <is>
          <t>J</t>
        </is>
      </c>
      <c r="C5255" s="12" t="inlineStr">
        <is>
          <t>GT inlet chilling</t>
        </is>
      </c>
      <c r="D5255" s="12" t="inlineStr">
        <is>
          <t>Home run JB-Inlet-chilling tow-DI01 to the control / marshalling room</t>
        </is>
      </c>
      <c r="E5255" s="12" t="inlineStr"/>
      <c r="F5255" s="12" t="inlineStr">
        <is>
          <t>Inlet-chilling e-house / transformer</t>
        </is>
      </c>
      <c r="G5255" s="12" t="inlineStr">
        <is>
          <t>JB-Inlet-chilling tow-DI01</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Tray</t>
        </is>
      </c>
      <c r="T5255" s="15" t="n">
        <v>214</v>
      </c>
      <c r="U5255" s="15" t="n">
        <v>47</v>
      </c>
      <c r="V5255" s="15">
        <f>ROUNDUP((T5255+U5255+2*'Read Me'!$B$13)*(1+'Read Me'!$B$12),-1)</f>
        <v/>
      </c>
      <c r="W5255" s="15">
        <f>V5255*N5255*O5255</f>
        <v/>
      </c>
      <c r="X5255" s="12">
        <f>IF(LEFT(I5255,2)="MV",2*N5255*IF(L5255="1/C",O5255,1),0)</f>
        <v/>
      </c>
      <c r="Y5255" s="12">
        <f>IF(OR(LEFT(K5255,4)="LVAX",LEFT(K5255,6)="MV15AX",LEFT(K5255,4)="CTAX",LEFT(K5255,2)="W|"),2*N5255*O5255,0)</f>
        <v/>
      </c>
      <c r="Z5255" s="12" t="inlineStr"/>
      <c r="AA5255" s="12">
        <f>N5255*O5255</f>
        <v/>
      </c>
    </row>
    <row r="5256">
      <c r="A5256" s="12" t="inlineStr">
        <is>
          <t>J-I-0046</t>
        </is>
      </c>
      <c r="B5256" s="12" t="inlineStr">
        <is>
          <t>J</t>
        </is>
      </c>
      <c r="C5256" s="12" t="inlineStr">
        <is>
          <t>GT inlet chilling</t>
        </is>
      </c>
      <c r="D5256" s="12" t="inlineStr">
        <is>
          <t>Discrete device to JB JB-Inlet-chilling tow-DI02: 4 x 1 pr (field cables)</t>
        </is>
      </c>
      <c r="E5256" s="12" t="inlineStr"/>
      <c r="F5256" s="12" t="inlineStr">
        <is>
          <t>Inlet-chilling tower (12 cells): chiller heat rejection</t>
        </is>
      </c>
      <c r="G5256" s="12" t="inlineStr">
        <is>
          <t>JB-Inlet-chilling tow-DI02</t>
        </is>
      </c>
      <c r="H5256" s="12" t="inlineStr">
        <is>
          <t>Inlet-chilling tower (12 cells): chiller heat rejection</t>
        </is>
      </c>
      <c r="I5256" s="12" t="inlineStr">
        <is>
          <t>Instrumentation</t>
        </is>
      </c>
      <c r="J5256" s="12" t="inlineStr">
        <is>
          <t>Instrumentation PLTC / TC-ER 300 V, #18 twisted shielded pairs, overall shield</t>
        </is>
      </c>
      <c r="K5256" s="12" t="inlineStr">
        <is>
          <t>PLTC|1 pr|16</t>
        </is>
      </c>
      <c r="L5256" s="12" t="inlineStr">
        <is>
          <t>1 pr</t>
        </is>
      </c>
      <c r="M5256" s="12" t="inlineStr">
        <is>
          <t>16</t>
        </is>
      </c>
      <c r="N5256" s="12" t="n">
        <v>4</v>
      </c>
      <c r="O5256" s="12" t="n">
        <v>1</v>
      </c>
      <c r="P5256" s="12" t="n"/>
      <c r="Q5256" s="12" t="n"/>
      <c r="R5256" s="12" t="n"/>
      <c r="S5256" s="12" t="inlineStr">
        <is>
          <t>Tray / conduit</t>
        </is>
      </c>
      <c r="T5256" s="15" t="n">
        <v>205</v>
      </c>
      <c r="U5256" s="15" t="n">
        <v>10</v>
      </c>
      <c r="V5256" s="15">
        <f>ROUNDUP((T5256+U5256+2*'Read Me'!$B$13)*(1+'Read Me'!$B$12),-1)</f>
        <v/>
      </c>
      <c r="W5256" s="15">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J-I-0047</t>
        </is>
      </c>
      <c r="B5257" s="12" t="inlineStr">
        <is>
          <t>J</t>
        </is>
      </c>
      <c r="C5257" s="12" t="inlineStr">
        <is>
          <t>GT inlet chilling</t>
        </is>
      </c>
      <c r="D5257" s="12" t="inlineStr">
        <is>
          <t>Home run JB-Inlet-chilling tow-DI02 to the control / marshalling room</t>
        </is>
      </c>
      <c r="E5257" s="12" t="inlineStr"/>
      <c r="F5257" s="12" t="inlineStr">
        <is>
          <t>Inlet-chilling e-house / transformer</t>
        </is>
      </c>
      <c r="G5257" s="12" t="inlineStr">
        <is>
          <t>JB-Inlet-chilling tow-DI02</t>
        </is>
      </c>
      <c r="H5257" s="12" t="inlineStr">
        <is>
          <t>Inlet-chilling tower (12 cells): chiller heat rejection</t>
        </is>
      </c>
      <c r="I5257" s="12" t="inlineStr">
        <is>
          <t>Instrumentation</t>
        </is>
      </c>
      <c r="J5257" s="12" t="inlineStr">
        <is>
          <t>Instrumentation PLTC / TC-ER 300 V, #18 twisted shielded pairs, overall shield</t>
        </is>
      </c>
      <c r="K5257" s="12" t="inlineStr">
        <is>
          <t>PLTC|24 pr|18</t>
        </is>
      </c>
      <c r="L5257" s="12" t="inlineStr">
        <is>
          <t>24 pr</t>
        </is>
      </c>
      <c r="M5257" s="12" t="inlineStr">
        <is>
          <t>18</t>
        </is>
      </c>
      <c r="N5257" s="12" t="n">
        <v>1</v>
      </c>
      <c r="O5257" s="12" t="n">
        <v>1</v>
      </c>
      <c r="P5257" s="12" t="n"/>
      <c r="Q5257" s="12" t="n"/>
      <c r="R5257" s="12" t="n"/>
      <c r="S5257" s="12" t="inlineStr">
        <is>
          <t>Tray</t>
        </is>
      </c>
      <c r="T5257" s="15" t="n">
        <v>214</v>
      </c>
      <c r="U5257" s="15" t="n">
        <v>47</v>
      </c>
      <c r="V5257" s="15">
        <f>ROUNDUP((T5257+U5257+2*'Read Me'!$B$13)*(1+'Read Me'!$B$12),-1)</f>
        <v/>
      </c>
      <c r="W5257" s="15">
        <f>V5257*N5257*O5257</f>
        <v/>
      </c>
      <c r="X5257" s="12">
        <f>IF(LEFT(I5257,2)="MV",2*N5257*IF(L5257="1/C",O5257,1),0)</f>
        <v/>
      </c>
      <c r="Y5257" s="12">
        <f>IF(OR(LEFT(K5257,4)="LVAX",LEFT(K5257,6)="MV15AX",LEFT(K5257,4)="CTAX",LEFT(K5257,2)="W|"),2*N5257*O5257,0)</f>
        <v/>
      </c>
      <c r="Z5257" s="12" t="inlineStr"/>
      <c r="AA5257" s="12">
        <f>N5257*O5257</f>
        <v/>
      </c>
    </row>
    <row r="5258">
      <c r="A5258" s="12" t="inlineStr">
        <is>
          <t>J-P-0001</t>
        </is>
      </c>
      <c r="B5258" s="12" t="inlineStr">
        <is>
          <t>J</t>
        </is>
      </c>
      <c r="C5258" s="12" t="inlineStr">
        <is>
          <t>GT inlet chilling</t>
        </is>
      </c>
      <c r="D5258" s="12" t="inlineStr">
        <is>
          <t>Motor 1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Tray</t>
        </is>
      </c>
      <c r="T5258" s="15" t="n">
        <v>214</v>
      </c>
      <c r="U5258" s="15" t="n">
        <v>58</v>
      </c>
      <c r="V5258" s="15">
        <f>ROUNDUP((T5258+U5258+2*'Read Me'!$B$13)*(1+'Read Me'!$B$12),-1)</f>
        <v/>
      </c>
      <c r="W5258" s="15">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J-P-0002</t>
        </is>
      </c>
      <c r="B5259" s="12" t="inlineStr">
        <is>
          <t>J</t>
        </is>
      </c>
      <c r="C5259" s="12" t="inlineStr">
        <is>
          <t>GT inlet chilling</t>
        </is>
      </c>
      <c r="D5259" s="12" t="inlineStr">
        <is>
          <t>Motor 2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Tray</t>
        </is>
      </c>
      <c r="T5259" s="15" t="n">
        <v>214</v>
      </c>
      <c r="U5259" s="15" t="n">
        <v>58</v>
      </c>
      <c r="V5259" s="15">
        <f>ROUNDUP((T5259+U5259+2*'Read Me'!$B$13)*(1+'Read Me'!$B$12),-1)</f>
        <v/>
      </c>
      <c r="W5259" s="15">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J-P-0003</t>
        </is>
      </c>
      <c r="B5260" s="12" t="inlineStr">
        <is>
          <t>J</t>
        </is>
      </c>
      <c r="C5260" s="12" t="inlineStr">
        <is>
          <t>GT inlet chilling</t>
        </is>
      </c>
      <c r="D5260" s="12" t="inlineStr">
        <is>
          <t>Motor 3 of 4, 150 kW</t>
        </is>
      </c>
      <c r="E5260" s="12" t="inlineStr"/>
      <c r="F5260" s="12" t="inlineStr">
        <is>
          <t>Inlet-chilling e-house / transformer</t>
        </is>
      </c>
      <c r="G5260" s="12" t="inlineStr"/>
      <c r="H5260" s="12" t="inlineStr">
        <is>
          <t>CHW pumps</t>
        </is>
      </c>
      <c r="I5260" s="12" t="inlineStr">
        <is>
          <t>LV 600 V</t>
        </is>
      </c>
      <c r="J5260" s="12" t="inlineStr">
        <is>
          <t>Type TC-ER 600 V 3/C Cu XHHW-2 + ground, PVC jacket</t>
        </is>
      </c>
      <c r="K5260" s="12" t="inlineStr">
        <is>
          <t>LV|3/C+G|350</t>
        </is>
      </c>
      <c r="L5260" s="12" t="inlineStr">
        <is>
          <t>3/C+G</t>
        </is>
      </c>
      <c r="M5260" s="12" t="inlineStr">
        <is>
          <t>350 kcmil</t>
        </is>
      </c>
      <c r="N5260" s="12" t="n">
        <v>1</v>
      </c>
      <c r="O5260" s="12" t="n">
        <v>1</v>
      </c>
      <c r="P5260" s="12" t="n">
        <v>480</v>
      </c>
      <c r="Q5260" s="12" t="n">
        <v>150</v>
      </c>
      <c r="R5260" s="12" t="n">
        <v>212.3</v>
      </c>
      <c r="S5260" s="12" t="inlineStr">
        <is>
          <t>Tray</t>
        </is>
      </c>
      <c r="T5260" s="15" t="n">
        <v>214</v>
      </c>
      <c r="U5260" s="15" t="n">
        <v>58</v>
      </c>
      <c r="V5260" s="15">
        <f>ROUNDUP((T5260+U5260+2*'Read Me'!$B$13)*(1+'Read Me'!$B$12),-1)</f>
        <v/>
      </c>
      <c r="W5260" s="15">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J-P-0004</t>
        </is>
      </c>
      <c r="B5261" s="12" t="inlineStr">
        <is>
          <t>J</t>
        </is>
      </c>
      <c r="C5261" s="12" t="inlineStr">
        <is>
          <t>GT inlet chilling</t>
        </is>
      </c>
      <c r="D5261" s="12" t="inlineStr">
        <is>
          <t>Motor 4 of 4, 150 kW</t>
        </is>
      </c>
      <c r="E5261" s="12" t="inlineStr"/>
      <c r="F5261" s="12" t="inlineStr">
        <is>
          <t>Inlet-chilling e-house / transformer</t>
        </is>
      </c>
      <c r="G5261" s="12" t="inlineStr"/>
      <c r="H5261" s="12" t="inlineStr">
        <is>
          <t>CHW pumps</t>
        </is>
      </c>
      <c r="I5261" s="12" t="inlineStr">
        <is>
          <t>LV 600 V</t>
        </is>
      </c>
      <c r="J5261" s="12" t="inlineStr">
        <is>
          <t>Type TC-ER 600 V 3/C Cu XHHW-2 + ground, PVC jacket</t>
        </is>
      </c>
      <c r="K5261" s="12" t="inlineStr">
        <is>
          <t>LV|3/C+G|350</t>
        </is>
      </c>
      <c r="L5261" s="12" t="inlineStr">
        <is>
          <t>3/C+G</t>
        </is>
      </c>
      <c r="M5261" s="12" t="inlineStr">
        <is>
          <t>350 kcmil</t>
        </is>
      </c>
      <c r="N5261" s="12" t="n">
        <v>1</v>
      </c>
      <c r="O5261" s="12" t="n">
        <v>1</v>
      </c>
      <c r="P5261" s="12" t="n">
        <v>480</v>
      </c>
      <c r="Q5261" s="12" t="n">
        <v>150</v>
      </c>
      <c r="R5261" s="12" t="n">
        <v>212.3</v>
      </c>
      <c r="S5261" s="12" t="inlineStr">
        <is>
          <t>Tray</t>
        </is>
      </c>
      <c r="T5261" s="15" t="n">
        <v>214</v>
      </c>
      <c r="U5261" s="15" t="n">
        <v>58</v>
      </c>
      <c r="V5261" s="15">
        <f>ROUNDUP((T5261+U5261+2*'Read Me'!$B$13)*(1+'Read Me'!$B$12),-1)</f>
        <v/>
      </c>
      <c r="W5261" s="15">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J-P-0005</t>
        </is>
      </c>
      <c r="B5262" s="12" t="inlineStr">
        <is>
          <t>J</t>
        </is>
      </c>
      <c r="C5262" s="12" t="inlineStr">
        <is>
          <t>GT inlet chilling</t>
        </is>
      </c>
      <c r="D5262" s="12" t="inlineStr">
        <is>
          <t>LV power feeder</t>
        </is>
      </c>
      <c r="E5262" s="12" t="inlineStr"/>
      <c r="F5262" s="12" t="inlineStr">
        <is>
          <t>Inlet-chilling e-house / transformer</t>
        </is>
      </c>
      <c r="G5262" s="12" t="inlineStr"/>
      <c r="H5262" s="12" t="inlineStr">
        <is>
          <t>CONDITIONAL: TES chilled-water tank</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10</v>
      </c>
      <c r="R5262" s="12" t="n">
        <v>14.2</v>
      </c>
      <c r="S5262" s="12" t="inlineStr">
        <is>
          <t>Tray</t>
        </is>
      </c>
      <c r="T5262" s="15" t="n">
        <v>214</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VD 1.7 %</t>
        </is>
      </c>
      <c r="AA5262" s="12">
        <f>N5262*O5262</f>
        <v/>
      </c>
    </row>
    <row r="5263">
      <c r="A5263" s="12" t="inlineStr">
        <is>
          <t>J-P-0006</t>
        </is>
      </c>
      <c r="B5263" s="12" t="inlineStr">
        <is>
          <t>J</t>
        </is>
      </c>
      <c r="C5263" s="12" t="inlineStr">
        <is>
          <t>GT inlet chilling</t>
        </is>
      </c>
      <c r="D5263" s="12" t="inlineStr">
        <is>
          <t>Motor 1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5" t="n">
        <v>10</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J-P-0007</t>
        </is>
      </c>
      <c r="B5264" s="12" t="inlineStr">
        <is>
          <t>J</t>
        </is>
      </c>
      <c r="C5264" s="12" t="inlineStr">
        <is>
          <t>GT inlet chilling</t>
        </is>
      </c>
      <c r="D5264" s="12" t="inlineStr">
        <is>
          <t>Motor 2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5" t="n">
        <v>10</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J-P-0008</t>
        </is>
      </c>
      <c r="B5265" s="12" t="inlineStr">
        <is>
          <t>J</t>
        </is>
      </c>
      <c r="C5265" s="12" t="inlineStr">
        <is>
          <t>GT inlet chilling</t>
        </is>
      </c>
      <c r="D5265" s="12" t="inlineStr">
        <is>
          <t>Motor 3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5" t="n">
        <v>10</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J-P-0009</t>
        </is>
      </c>
      <c r="B5266" s="12" t="inlineStr">
        <is>
          <t>J</t>
        </is>
      </c>
      <c r="C5266" s="12" t="inlineStr">
        <is>
          <t>GT inlet chilling</t>
        </is>
      </c>
      <c r="D5266" s="12" t="inlineStr">
        <is>
          <t>Motor 4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5" t="n">
        <v>10</v>
      </c>
      <c r="U5266" s="15" t="n">
        <v>32</v>
      </c>
      <c r="V5266" s="15">
        <f>ROUNDUP((T5266+U5266+2*'Read Me'!$B$13)*(1+'Read Me'!$B$12),-1)</f>
        <v/>
      </c>
      <c r="W5266" s="15">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J-P-0010</t>
        </is>
      </c>
      <c r="B5267" s="12" t="inlineStr">
        <is>
          <t>J</t>
        </is>
      </c>
      <c r="C5267" s="12" t="inlineStr">
        <is>
          <t>GT inlet chilling</t>
        </is>
      </c>
      <c r="D5267" s="12" t="inlineStr">
        <is>
          <t>Motor 5 of 6, 7 kW</t>
        </is>
      </c>
      <c r="E5267" s="12" t="inlineStr"/>
      <c r="F5267" s="12" t="inlineStr">
        <is>
          <t>Inlet-chilling e-house / transformer</t>
        </is>
      </c>
      <c r="G5267" s="12" t="inlineStr"/>
      <c r="H5267" s="12" t="inlineStr">
        <is>
          <t>Chillers x6 (water-cooled)</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7</v>
      </c>
      <c r="R5267" s="12" t="n">
        <v>9.9</v>
      </c>
      <c r="S5267" s="12" t="inlineStr">
        <is>
          <t>Duct bank</t>
        </is>
      </c>
      <c r="T5267" s="15" t="n">
        <v>10</v>
      </c>
      <c r="U5267" s="15" t="n">
        <v>32</v>
      </c>
      <c r="V5267" s="15">
        <f>ROUNDUP((T5267+U5267+2*'Read Me'!$B$13)*(1+'Read Me'!$B$12),-1)</f>
        <v/>
      </c>
      <c r="W5267" s="15">
        <f>V5267*N5267*O5267</f>
        <v/>
      </c>
      <c r="X5267" s="12">
        <f>IF(LEFT(I5267,2)="MV",2*N5267*IF(L5267="1/C",O5267,1),0)</f>
        <v/>
      </c>
      <c r="Y5267" s="12">
        <f>IF(OR(LEFT(K5267,4)="LVAX",LEFT(K5267,6)="MV15AX",LEFT(K5267,4)="CTAX",LEFT(K5267,2)="W|"),2*N5267*O5267,0)</f>
        <v/>
      </c>
      <c r="Z5267" s="12" t="inlineStr">
        <is>
          <t>VD 0.2 %</t>
        </is>
      </c>
      <c r="AA5267" s="12">
        <f>N5267*O5267</f>
        <v/>
      </c>
    </row>
    <row r="5268">
      <c r="A5268" s="12" t="inlineStr">
        <is>
          <t>J-P-0011</t>
        </is>
      </c>
      <c r="B5268" s="12" t="inlineStr">
        <is>
          <t>J</t>
        </is>
      </c>
      <c r="C5268" s="12" t="inlineStr">
        <is>
          <t>GT inlet chilling</t>
        </is>
      </c>
      <c r="D5268" s="12" t="inlineStr">
        <is>
          <t>Motor 6 of 6, 7 kW</t>
        </is>
      </c>
      <c r="E5268" s="12" t="inlineStr"/>
      <c r="F5268" s="12" t="inlineStr">
        <is>
          <t>Inlet-chilling e-house / transformer</t>
        </is>
      </c>
      <c r="G5268" s="12" t="inlineStr"/>
      <c r="H5268" s="12" t="inlineStr">
        <is>
          <t>Chillers x6 (water-cooled)</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7</v>
      </c>
      <c r="R5268" s="12" t="n">
        <v>9.9</v>
      </c>
      <c r="S5268" s="12" t="inlineStr">
        <is>
          <t>Duct bank</t>
        </is>
      </c>
      <c r="T5268" s="15" t="n">
        <v>10</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J-P-0012</t>
        </is>
      </c>
      <c r="B5269" s="12" t="inlineStr">
        <is>
          <t>J</t>
        </is>
      </c>
      <c r="C5269" s="12" t="inlineStr">
        <is>
          <t>GT inlet chilling</t>
        </is>
      </c>
      <c r="D5269" s="12" t="inlineStr">
        <is>
          <t>Motor 1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VFD|3/C+3G|1/0</t>
        </is>
      </c>
      <c r="L5269" s="12" t="inlineStr">
        <is>
          <t>3/C+3G</t>
        </is>
      </c>
      <c r="M5269" s="12" t="inlineStr">
        <is>
          <t>1/0</t>
        </is>
      </c>
      <c r="N5269" s="12" t="n">
        <v>1</v>
      </c>
      <c r="O5269" s="12" t="n">
        <v>1</v>
      </c>
      <c r="P5269" s="12" t="n">
        <v>480</v>
      </c>
      <c r="Q5269" s="12" t="n">
        <v>75</v>
      </c>
      <c r="R5269" s="12" t="n">
        <v>106</v>
      </c>
      <c r="S5269" s="12" t="inlineStr">
        <is>
          <t>Tray</t>
        </is>
      </c>
      <c r="T5269" s="15" t="n">
        <v>419</v>
      </c>
      <c r="U5269" s="15" t="n">
        <v>47</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J-P-0013</t>
        </is>
      </c>
      <c r="B5270" s="12" t="inlineStr">
        <is>
          <t>J</t>
        </is>
      </c>
      <c r="C5270" s="12" t="inlineStr">
        <is>
          <t>GT inlet chilling</t>
        </is>
      </c>
      <c r="D5270" s="12" t="inlineStr">
        <is>
          <t>Motor 2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VFD|3/C+3G|1/0</t>
        </is>
      </c>
      <c r="L5270" s="12" t="inlineStr">
        <is>
          <t>3/C+3G</t>
        </is>
      </c>
      <c r="M5270" s="12" t="inlineStr">
        <is>
          <t>1/0</t>
        </is>
      </c>
      <c r="N5270" s="12" t="n">
        <v>1</v>
      </c>
      <c r="O5270" s="12" t="n">
        <v>1</v>
      </c>
      <c r="P5270" s="12" t="n">
        <v>480</v>
      </c>
      <c r="Q5270" s="12" t="n">
        <v>75</v>
      </c>
      <c r="R5270" s="12" t="n">
        <v>106</v>
      </c>
      <c r="S5270" s="12" t="inlineStr">
        <is>
          <t>Tray</t>
        </is>
      </c>
      <c r="T5270" s="15" t="n">
        <v>419</v>
      </c>
      <c r="U5270" s="15" t="n">
        <v>47</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J-P-0014</t>
        </is>
      </c>
      <c r="B5271" s="12" t="inlineStr">
        <is>
          <t>J</t>
        </is>
      </c>
      <c r="C5271" s="12" t="inlineStr">
        <is>
          <t>GT inlet chilling</t>
        </is>
      </c>
      <c r="D5271" s="12" t="inlineStr">
        <is>
          <t>Motor 3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VFD|3/C+3G|1/0</t>
        </is>
      </c>
      <c r="L5271" s="12" t="inlineStr">
        <is>
          <t>3/C+3G</t>
        </is>
      </c>
      <c r="M5271" s="12" t="inlineStr">
        <is>
          <t>1/0</t>
        </is>
      </c>
      <c r="N5271" s="12" t="n">
        <v>1</v>
      </c>
      <c r="O5271" s="12" t="n">
        <v>1</v>
      </c>
      <c r="P5271" s="12" t="n">
        <v>480</v>
      </c>
      <c r="Q5271" s="12" t="n">
        <v>75</v>
      </c>
      <c r="R5271" s="12" t="n">
        <v>106</v>
      </c>
      <c r="S5271" s="12" t="inlineStr">
        <is>
          <t>Tray</t>
        </is>
      </c>
      <c r="T5271" s="15" t="n">
        <v>419</v>
      </c>
      <c r="U5271" s="15" t="n">
        <v>47</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J-P-0015</t>
        </is>
      </c>
      <c r="B5272" s="12" t="inlineStr">
        <is>
          <t>J</t>
        </is>
      </c>
      <c r="C5272" s="12" t="inlineStr">
        <is>
          <t>GT inlet chilling</t>
        </is>
      </c>
      <c r="D5272" s="12" t="inlineStr">
        <is>
          <t>Motor 4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VFD|3/C+3G|1/0</t>
        </is>
      </c>
      <c r="L5272" s="12" t="inlineStr">
        <is>
          <t>3/C+3G</t>
        </is>
      </c>
      <c r="M5272" s="12" t="inlineStr">
        <is>
          <t>1/0</t>
        </is>
      </c>
      <c r="N5272" s="12" t="n">
        <v>1</v>
      </c>
      <c r="O5272" s="12" t="n">
        <v>1</v>
      </c>
      <c r="P5272" s="12" t="n">
        <v>480</v>
      </c>
      <c r="Q5272" s="12" t="n">
        <v>75</v>
      </c>
      <c r="R5272" s="12" t="n">
        <v>106</v>
      </c>
      <c r="S5272" s="12" t="inlineStr">
        <is>
          <t>Tray</t>
        </is>
      </c>
      <c r="T5272" s="15" t="n">
        <v>419</v>
      </c>
      <c r="U5272" s="15" t="n">
        <v>47</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J-P-0016</t>
        </is>
      </c>
      <c r="B5273" s="12" t="inlineStr">
        <is>
          <t>J</t>
        </is>
      </c>
      <c r="C5273" s="12" t="inlineStr">
        <is>
          <t>GT inlet chilling</t>
        </is>
      </c>
      <c r="D5273" s="12" t="inlineStr">
        <is>
          <t>Motor 5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VFD|3/C+3G|1/0</t>
        </is>
      </c>
      <c r="L5273" s="12" t="inlineStr">
        <is>
          <t>3/C+3G</t>
        </is>
      </c>
      <c r="M5273" s="12" t="inlineStr">
        <is>
          <t>1/0</t>
        </is>
      </c>
      <c r="N5273" s="12" t="n">
        <v>1</v>
      </c>
      <c r="O5273" s="12" t="n">
        <v>1</v>
      </c>
      <c r="P5273" s="12" t="n">
        <v>480</v>
      </c>
      <c r="Q5273" s="12" t="n">
        <v>75</v>
      </c>
      <c r="R5273" s="12" t="n">
        <v>106</v>
      </c>
      <c r="S5273" s="12" t="inlineStr">
        <is>
          <t>Tray</t>
        </is>
      </c>
      <c r="T5273" s="15" t="n">
        <v>419</v>
      </c>
      <c r="U5273" s="15" t="n">
        <v>47</v>
      </c>
      <c r="V5273" s="15">
        <f>ROUNDUP((T5273+U5273+2*'Read Me'!$B$13)*(1+'Read Me'!$B$12),-1)</f>
        <v/>
      </c>
      <c r="W5273" s="15">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J-P-0017</t>
        </is>
      </c>
      <c r="B5274" s="12" t="inlineStr">
        <is>
          <t>J</t>
        </is>
      </c>
      <c r="C5274" s="12" t="inlineStr">
        <is>
          <t>GT inlet chilling</t>
        </is>
      </c>
      <c r="D5274" s="12" t="inlineStr">
        <is>
          <t>Motor 6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VFD|3/C+3G|1/0</t>
        </is>
      </c>
      <c r="L5274" s="12" t="inlineStr">
        <is>
          <t>3/C+3G</t>
        </is>
      </c>
      <c r="M5274" s="12" t="inlineStr">
        <is>
          <t>1/0</t>
        </is>
      </c>
      <c r="N5274" s="12" t="n">
        <v>1</v>
      </c>
      <c r="O5274" s="12" t="n">
        <v>1</v>
      </c>
      <c r="P5274" s="12" t="n">
        <v>480</v>
      </c>
      <c r="Q5274" s="12" t="n">
        <v>75</v>
      </c>
      <c r="R5274" s="12" t="n">
        <v>106</v>
      </c>
      <c r="S5274" s="12" t="inlineStr">
        <is>
          <t>Tray</t>
        </is>
      </c>
      <c r="T5274" s="15" t="n">
        <v>419</v>
      </c>
      <c r="U5274" s="15" t="n">
        <v>47</v>
      </c>
      <c r="V5274" s="15">
        <f>ROUNDUP((T5274+U5274+2*'Read Me'!$B$13)*(1+'Read Me'!$B$12),-1)</f>
        <v/>
      </c>
      <c r="W5274" s="15">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J-P-0018</t>
        </is>
      </c>
      <c r="B5275" s="12" t="inlineStr">
        <is>
          <t>J</t>
        </is>
      </c>
      <c r="C5275" s="12" t="inlineStr">
        <is>
          <t>GT inlet chilling</t>
        </is>
      </c>
      <c r="D5275" s="12" t="inlineStr">
        <is>
          <t>Motor 7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VFD|3/C+3G|1/0</t>
        </is>
      </c>
      <c r="L5275" s="12" t="inlineStr">
        <is>
          <t>3/C+3G</t>
        </is>
      </c>
      <c r="M5275" s="12" t="inlineStr">
        <is>
          <t>1/0</t>
        </is>
      </c>
      <c r="N5275" s="12" t="n">
        <v>1</v>
      </c>
      <c r="O5275" s="12" t="n">
        <v>1</v>
      </c>
      <c r="P5275" s="12" t="n">
        <v>480</v>
      </c>
      <c r="Q5275" s="12" t="n">
        <v>75</v>
      </c>
      <c r="R5275" s="12" t="n">
        <v>106</v>
      </c>
      <c r="S5275" s="12" t="inlineStr">
        <is>
          <t>Tray</t>
        </is>
      </c>
      <c r="T5275" s="15" t="n">
        <v>419</v>
      </c>
      <c r="U5275" s="15" t="n">
        <v>47</v>
      </c>
      <c r="V5275" s="15">
        <f>ROUNDUP((T5275+U5275+2*'Read Me'!$B$13)*(1+'Read Me'!$B$12),-1)</f>
        <v/>
      </c>
      <c r="W5275" s="15">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J-P-0019</t>
        </is>
      </c>
      <c r="B5276" s="12" t="inlineStr">
        <is>
          <t>J</t>
        </is>
      </c>
      <c r="C5276" s="12" t="inlineStr">
        <is>
          <t>GT inlet chilling</t>
        </is>
      </c>
      <c r="D5276" s="12" t="inlineStr">
        <is>
          <t>Motor 8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VFD|3/C+3G|1/0</t>
        </is>
      </c>
      <c r="L5276" s="12" t="inlineStr">
        <is>
          <t>3/C+3G</t>
        </is>
      </c>
      <c r="M5276" s="12" t="inlineStr">
        <is>
          <t>1/0</t>
        </is>
      </c>
      <c r="N5276" s="12" t="n">
        <v>1</v>
      </c>
      <c r="O5276" s="12" t="n">
        <v>1</v>
      </c>
      <c r="P5276" s="12" t="n">
        <v>480</v>
      </c>
      <c r="Q5276" s="12" t="n">
        <v>75</v>
      </c>
      <c r="R5276" s="12" t="n">
        <v>106</v>
      </c>
      <c r="S5276" s="12" t="inlineStr">
        <is>
          <t>Tray</t>
        </is>
      </c>
      <c r="T5276" s="15" t="n">
        <v>419</v>
      </c>
      <c r="U5276" s="15" t="n">
        <v>47</v>
      </c>
      <c r="V5276" s="15">
        <f>ROUNDUP((T5276+U5276+2*'Read Me'!$B$13)*(1+'Read Me'!$B$12),-1)</f>
        <v/>
      </c>
      <c r="W5276" s="15">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J-P-0020</t>
        </is>
      </c>
      <c r="B5277" s="12" t="inlineStr">
        <is>
          <t>J</t>
        </is>
      </c>
      <c r="C5277" s="12" t="inlineStr">
        <is>
          <t>GT inlet chilling</t>
        </is>
      </c>
      <c r="D5277" s="12" t="inlineStr">
        <is>
          <t>Motor 9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VFD|3/C+3G|1/0</t>
        </is>
      </c>
      <c r="L5277" s="12" t="inlineStr">
        <is>
          <t>3/C+3G</t>
        </is>
      </c>
      <c r="M5277" s="12" t="inlineStr">
        <is>
          <t>1/0</t>
        </is>
      </c>
      <c r="N5277" s="12" t="n">
        <v>1</v>
      </c>
      <c r="O5277" s="12" t="n">
        <v>1</v>
      </c>
      <c r="P5277" s="12" t="n">
        <v>480</v>
      </c>
      <c r="Q5277" s="12" t="n">
        <v>75</v>
      </c>
      <c r="R5277" s="12" t="n">
        <v>106</v>
      </c>
      <c r="S5277" s="12" t="inlineStr">
        <is>
          <t>Tray</t>
        </is>
      </c>
      <c r="T5277" s="15" t="n">
        <v>419</v>
      </c>
      <c r="U5277" s="15" t="n">
        <v>47</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J-P-0021</t>
        </is>
      </c>
      <c r="B5278" s="12" t="inlineStr">
        <is>
          <t>J</t>
        </is>
      </c>
      <c r="C5278" s="12" t="inlineStr">
        <is>
          <t>GT inlet chilling</t>
        </is>
      </c>
      <c r="D5278" s="12" t="inlineStr">
        <is>
          <t>Motor 10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VFD|3/C+3G|1/0</t>
        </is>
      </c>
      <c r="L5278" s="12" t="inlineStr">
        <is>
          <t>3/C+3G</t>
        </is>
      </c>
      <c r="M5278" s="12" t="inlineStr">
        <is>
          <t>1/0</t>
        </is>
      </c>
      <c r="N5278" s="12" t="n">
        <v>1</v>
      </c>
      <c r="O5278" s="12" t="n">
        <v>1</v>
      </c>
      <c r="P5278" s="12" t="n">
        <v>480</v>
      </c>
      <c r="Q5278" s="12" t="n">
        <v>75</v>
      </c>
      <c r="R5278" s="12" t="n">
        <v>106</v>
      </c>
      <c r="S5278" s="12" t="inlineStr">
        <is>
          <t>Tray</t>
        </is>
      </c>
      <c r="T5278" s="15" t="n">
        <v>419</v>
      </c>
      <c r="U5278" s="15" t="n">
        <v>47</v>
      </c>
      <c r="V5278" s="15">
        <f>ROUNDUP((T5278+U5278+2*'Read Me'!$B$13)*(1+'Read Me'!$B$12),-1)</f>
        <v/>
      </c>
      <c r="W5278" s="15">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J-P-0022</t>
        </is>
      </c>
      <c r="B5279" s="12" t="inlineStr">
        <is>
          <t>J</t>
        </is>
      </c>
      <c r="C5279" s="12" t="inlineStr">
        <is>
          <t>GT inlet chilling</t>
        </is>
      </c>
      <c r="D5279" s="12" t="inlineStr">
        <is>
          <t>Motor 11 of 12, 75 kW (VFD output)</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VFD cable 600 V 3/C Cu XHHW-2, 3 symmetrical grounds, overall Cu tape shield, TC-ER</t>
        </is>
      </c>
      <c r="K5279" s="12" t="inlineStr">
        <is>
          <t>VFD|3/C+3G|1/0</t>
        </is>
      </c>
      <c r="L5279" s="12" t="inlineStr">
        <is>
          <t>3/C+3G</t>
        </is>
      </c>
      <c r="M5279" s="12" t="inlineStr">
        <is>
          <t>1/0</t>
        </is>
      </c>
      <c r="N5279" s="12" t="n">
        <v>1</v>
      </c>
      <c r="O5279" s="12" t="n">
        <v>1</v>
      </c>
      <c r="P5279" s="12" t="n">
        <v>480</v>
      </c>
      <c r="Q5279" s="12" t="n">
        <v>75</v>
      </c>
      <c r="R5279" s="12" t="n">
        <v>106</v>
      </c>
      <c r="S5279" s="12" t="inlineStr">
        <is>
          <t>Tray</t>
        </is>
      </c>
      <c r="T5279" s="15" t="n">
        <v>419</v>
      </c>
      <c r="U5279" s="15" t="n">
        <v>47</v>
      </c>
      <c r="V5279" s="15">
        <f>ROUNDUP((T5279+U5279+2*'Read Me'!$B$13)*(1+'Read Me'!$B$12),-1)</f>
        <v/>
      </c>
      <c r="W5279" s="15">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J-P-0023</t>
        </is>
      </c>
      <c r="B5280" s="12" t="inlineStr">
        <is>
          <t>J</t>
        </is>
      </c>
      <c r="C5280" s="12" t="inlineStr">
        <is>
          <t>GT inlet chilling</t>
        </is>
      </c>
      <c r="D5280" s="12" t="inlineStr">
        <is>
          <t>Motor 12 of 12, 75 kW (VFD output)</t>
        </is>
      </c>
      <c r="E5280" s="12" t="inlineStr"/>
      <c r="F5280" s="12" t="inlineStr">
        <is>
          <t>Inlet-chilling e-house / transformer</t>
        </is>
      </c>
      <c r="G5280" s="12" t="inlineStr"/>
      <c r="H5280" s="12" t="inlineStr">
        <is>
          <t>Inlet-chilling tower (12 cells): chiller heat rejection</t>
        </is>
      </c>
      <c r="I5280" s="12" t="inlineStr">
        <is>
          <t>LV 600 V</t>
        </is>
      </c>
      <c r="J5280" s="12" t="inlineStr">
        <is>
          <t>VFD cable 600 V 3/C Cu XHHW-2, 3 symmetrical grounds, overall Cu tape shield, TC-ER</t>
        </is>
      </c>
      <c r="K5280" s="12" t="inlineStr">
        <is>
          <t>VFD|3/C+3G|1/0</t>
        </is>
      </c>
      <c r="L5280" s="12" t="inlineStr">
        <is>
          <t>3/C+3G</t>
        </is>
      </c>
      <c r="M5280" s="12" t="inlineStr">
        <is>
          <t>1/0</t>
        </is>
      </c>
      <c r="N5280" s="12" t="n">
        <v>1</v>
      </c>
      <c r="O5280" s="12" t="n">
        <v>1</v>
      </c>
      <c r="P5280" s="12" t="n">
        <v>480</v>
      </c>
      <c r="Q5280" s="12" t="n">
        <v>75</v>
      </c>
      <c r="R5280" s="12" t="n">
        <v>106</v>
      </c>
      <c r="S5280" s="12" t="inlineStr">
        <is>
          <t>Tray</t>
        </is>
      </c>
      <c r="T5280" s="15" t="n">
        <v>419</v>
      </c>
      <c r="U5280" s="15" t="n">
        <v>47</v>
      </c>
      <c r="V5280" s="15">
        <f>ROUNDUP((T5280+U5280+2*'Read Me'!$B$13)*(1+'Read Me'!$B$12),-1)</f>
        <v/>
      </c>
      <c r="W5280" s="15">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J-P-0024</t>
        </is>
      </c>
      <c r="B5281" s="12" t="inlineStr">
        <is>
          <t>J</t>
        </is>
      </c>
      <c r="C5281" s="12" t="inlineStr">
        <is>
          <t>GT inlet chilling</t>
        </is>
      </c>
      <c r="D5281" s="12" t="inlineStr">
        <is>
          <t>Area / platform lighting circuit 1 (12 fixtures)</t>
        </is>
      </c>
      <c r="E5281" s="12" t="inlineStr"/>
      <c r="F5281" s="12" t="inlineStr">
        <is>
          <t>Inlet-chilling e-house / transformer</t>
        </is>
      </c>
      <c r="G5281" s="12" t="inlineStr"/>
      <c r="H5281" s="12" t="inlineStr">
        <is>
          <t>Inlet-chilling tower (12 cells): chiller heat rejection</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Tray</t>
        </is>
      </c>
      <c r="T5281" s="15" t="n">
        <v>514</v>
      </c>
      <c r="U5281" s="15" t="n">
        <v>47</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J-MV-0001</t>
        </is>
      </c>
      <c r="B5282" s="12" t="inlineStr">
        <is>
          <t>J</t>
        </is>
      </c>
      <c r="C5282" s="12" t="inlineStr">
        <is>
          <t>GT inlet chilling</t>
        </is>
      </c>
      <c r="D5282" s="12" t="inlineStr">
        <is>
          <t>Inlet-chilling e-house / transformer</t>
        </is>
      </c>
      <c r="E5282" s="12" t="inlineStr">
        <is>
          <t>SWGR-13.8-1</t>
        </is>
      </c>
      <c r="F5282" s="12" t="inlineStr">
        <is>
          <t>R1 SWGR-13.8-1 (11 x 36 in cubicles, 15 kV metal-clad)</t>
        </is>
      </c>
      <c r="G5282" s="12" t="inlineStr"/>
      <c r="H5282" s="12" t="inlineStr">
        <is>
          <t>Inlet-chilling e-house / transformer</t>
        </is>
      </c>
      <c r="I5282" s="12" t="inlineStr">
        <is>
          <t>MV 15 kV</t>
        </is>
      </c>
      <c r="J5282" s="12" t="inlineStr">
        <is>
          <t>MV-105 15 kV 1/C Cu, EPR 133%, Cu tape shield, PVC jacket (triplexed)</t>
        </is>
      </c>
      <c r="K5282" s="12" t="inlineStr">
        <is>
          <t>MV15|1/C|1000</t>
        </is>
      </c>
      <c r="L5282" s="12" t="inlineStr">
        <is>
          <t>1/C</t>
        </is>
      </c>
      <c r="M5282" s="12" t="inlineStr">
        <is>
          <t>1000 kcmil</t>
        </is>
      </c>
      <c r="N5282" s="12" t="n">
        <v>1</v>
      </c>
      <c r="O5282" s="12" t="n">
        <v>3</v>
      </c>
      <c r="P5282" s="12" t="n">
        <v>13800</v>
      </c>
      <c r="Q5282" s="12" t="n">
        <v>12000</v>
      </c>
      <c r="R5282" s="12" t="n">
        <v>502</v>
      </c>
      <c r="S5282" s="12" t="inlineStr">
        <is>
          <t>Estimated</t>
        </is>
      </c>
      <c r="T5282" s="15" t="n">
        <v>598</v>
      </c>
      <c r="U5282" s="15" t="n">
        <v>40</v>
      </c>
      <c r="V5282" s="15">
        <f>ROUNDUP((T5282+U5282+2*'Read Me'!$B$13)*(1+'Read Me'!$B$12),-1)</f>
        <v/>
      </c>
      <c r="W5282" s="15">
        <f>V5282*N5282*O5282</f>
        <v/>
      </c>
      <c r="X5282" s="12">
        <f>IF(LEFT(I5282,2)="MV",2*N5282*IF(L5282="1/C",O5282,1),0)</f>
        <v/>
      </c>
      <c r="Y5282" s="12">
        <f>IF(OR(LEFT(K5282,4)="LVAX",LEFT(K5282,6)="MV15AX",LEFT(K5282,4)="CTAX",LEFT(K5282,2)="W|"),2*N5282*O5282,0)</f>
        <v/>
      </c>
      <c r="Z5282" s="12" t="inlineStr"/>
      <c r="AA5282" s="12">
        <f>N5282*O5282</f>
        <v/>
      </c>
    </row>
    <row r="5283">
      <c r="A5283" s="12" t="inlineStr">
        <is>
          <t>J-MV-0002</t>
        </is>
      </c>
      <c r="B5283" s="12" t="inlineStr">
        <is>
          <t>J</t>
        </is>
      </c>
      <c r="C5283" s="12" t="inlineStr">
        <is>
          <t>GT inlet chilling</t>
        </is>
      </c>
      <c r="D5283" s="12" t="inlineStr">
        <is>
          <t>Inlet-chilling CW pump 1</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5" t="n">
        <v>0</v>
      </c>
      <c r="U5283" s="15" t="n">
        <v>70</v>
      </c>
      <c r="V5283" s="15">
        <f>ROUNDUP((T5283+U5283+2*'Read Me'!$B$13)*(1+'Read Me'!$B$12),-1)</f>
        <v/>
      </c>
      <c r="W5283" s="15">
        <f>V5283*N5283*O5283</f>
        <v/>
      </c>
      <c r="X5283" s="12">
        <f>IF(LEFT(I5283,2)="MV",2*N5283*IF(L5283="1/C",O5283,1),0)</f>
        <v/>
      </c>
      <c r="Y5283" s="12">
        <f>IF(OR(LEFT(K5283,4)="LVAX",LEFT(K5283,6)="MV15AX",LEFT(K5283,4)="CTAX",LEFT(K5283,2)="W|"),2*N5283*O5283,0)</f>
        <v/>
      </c>
      <c r="Z5283" s="12" t="inlineStr"/>
      <c r="AA5283" s="12">
        <f>N5283*O5283</f>
        <v/>
      </c>
    </row>
    <row r="5284">
      <c r="A5284" s="12" t="inlineStr">
        <is>
          <t>J-MV-0003</t>
        </is>
      </c>
      <c r="B5284" s="12" t="inlineStr">
        <is>
          <t>J</t>
        </is>
      </c>
      <c r="C5284" s="12" t="inlineStr">
        <is>
          <t>GT inlet chilling</t>
        </is>
      </c>
      <c r="D5284" s="12" t="inlineStr">
        <is>
          <t>Inlet-chilling CW pump 2</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5" t="n">
        <v>0</v>
      </c>
      <c r="U5284" s="15" t="n">
        <v>70</v>
      </c>
      <c r="V5284" s="15">
        <f>ROUNDUP((T5284+U5284+2*'Read Me'!$B$13)*(1+'Read Me'!$B$12),-1)</f>
        <v/>
      </c>
      <c r="W5284" s="15">
        <f>V5284*N5284*O5284</f>
        <v/>
      </c>
      <c r="X5284" s="12">
        <f>IF(LEFT(I5284,2)="MV",2*N5284*IF(L5284="1/C",O5284,1),0)</f>
        <v/>
      </c>
      <c r="Y5284" s="12">
        <f>IF(OR(LEFT(K5284,4)="LVAX",LEFT(K5284,6)="MV15AX",LEFT(K5284,4)="CTAX",LEFT(K5284,2)="W|"),2*N5284*O5284,0)</f>
        <v/>
      </c>
      <c r="Z5284" s="12" t="inlineStr"/>
      <c r="AA5284" s="12">
        <f>N5284*O5284</f>
        <v/>
      </c>
    </row>
    <row r="5285">
      <c r="A5285" s="12" t="inlineStr">
        <is>
          <t>J-MV-0004</t>
        </is>
      </c>
      <c r="B5285" s="12" t="inlineStr">
        <is>
          <t>J</t>
        </is>
      </c>
      <c r="C5285" s="12" t="inlineStr">
        <is>
          <t>GT inlet chilling</t>
        </is>
      </c>
      <c r="D5285" s="12" t="inlineStr">
        <is>
          <t>Inlet-chilling CW pump 3</t>
        </is>
      </c>
      <c r="E5285" s="12" t="inlineStr"/>
      <c r="F5285" s="12" t="inlineStr">
        <is>
          <t>Inlet-chilling e-house / transformer</t>
        </is>
      </c>
      <c r="G5285" s="12" t="inlineStr"/>
      <c r="H5285" s="12" t="inlineStr">
        <is>
          <t>CW pumps (inlet chilling)</t>
        </is>
      </c>
      <c r="I5285" s="12" t="inlineStr">
        <is>
          <t>MV 5 kV</t>
        </is>
      </c>
      <c r="J5285" s="12" t="inlineStr">
        <is>
          <t>MV-105 5 kV 3/C Cu, EPR 133%, tape shield, gnd, PVC jacket</t>
        </is>
      </c>
      <c r="K5285" s="12" t="inlineStr">
        <is>
          <t>MV5|3/C|2</t>
        </is>
      </c>
      <c r="L5285" s="12" t="inlineStr">
        <is>
          <t>3/C</t>
        </is>
      </c>
      <c r="M5285" s="12" t="inlineStr">
        <is>
          <t>2</t>
        </is>
      </c>
      <c r="N5285" s="12" t="n">
        <v>1</v>
      </c>
      <c r="O5285" s="12" t="n">
        <v>1</v>
      </c>
      <c r="P5285" s="12" t="n">
        <v>4160</v>
      </c>
      <c r="Q5285" s="12" t="n">
        <v>450</v>
      </c>
      <c r="R5285" s="12" t="n">
        <v>69</v>
      </c>
      <c r="S5285" s="12" t="inlineStr">
        <is>
          <t>Tray</t>
        </is>
      </c>
      <c r="T5285" s="15" t="n">
        <v>0</v>
      </c>
      <c r="U5285" s="15" t="n">
        <v>70</v>
      </c>
      <c r="V5285" s="15">
        <f>ROUNDUP((T5285+U5285+2*'Read Me'!$B$13)*(1+'Read Me'!$B$12),-1)</f>
        <v/>
      </c>
      <c r="W5285" s="15">
        <f>V5285*N5285*O5285</f>
        <v/>
      </c>
      <c r="X5285" s="12">
        <f>IF(LEFT(I5285,2)="MV",2*N5285*IF(L5285="1/C",O5285,1),0)</f>
        <v/>
      </c>
      <c r="Y5285" s="12">
        <f>IF(OR(LEFT(K5285,4)="LVAX",LEFT(K5285,6)="MV15AX",LEFT(K5285,4)="CTAX",LEFT(K5285,2)="W|"),2*N5285*O5285,0)</f>
        <v/>
      </c>
      <c r="Z5285" s="12" t="inlineStr"/>
      <c r="AA5285" s="12">
        <f>N5285*O5285</f>
        <v/>
      </c>
    </row>
    <row r="5286">
      <c r="A5286" s="12" t="inlineStr">
        <is>
          <t>J-MV-0005</t>
        </is>
      </c>
      <c r="B5286" s="12" t="inlineStr">
        <is>
          <t>J</t>
        </is>
      </c>
      <c r="C5286" s="12" t="inlineStr">
        <is>
          <t>GT inlet chilling</t>
        </is>
      </c>
      <c r="D5286" s="12" t="inlineStr">
        <is>
          <t>Inlet-chilling CW pump 4</t>
        </is>
      </c>
      <c r="E5286" s="12" t="inlineStr"/>
      <c r="F5286" s="12" t="inlineStr">
        <is>
          <t>Inlet-chilling e-house / transformer</t>
        </is>
      </c>
      <c r="G5286" s="12" t="inlineStr"/>
      <c r="H5286" s="12" t="inlineStr">
        <is>
          <t>CW pumps (inlet chilling)</t>
        </is>
      </c>
      <c r="I5286" s="12" t="inlineStr">
        <is>
          <t>MV 5 kV</t>
        </is>
      </c>
      <c r="J5286" s="12" t="inlineStr">
        <is>
          <t>MV-105 5 kV 3/C Cu, EPR 133%, tape shield, gnd, PVC jacket</t>
        </is>
      </c>
      <c r="K5286" s="12" t="inlineStr">
        <is>
          <t>MV5|3/C|2</t>
        </is>
      </c>
      <c r="L5286" s="12" t="inlineStr">
        <is>
          <t>3/C</t>
        </is>
      </c>
      <c r="M5286" s="12" t="inlineStr">
        <is>
          <t>2</t>
        </is>
      </c>
      <c r="N5286" s="12" t="n">
        <v>1</v>
      </c>
      <c r="O5286" s="12" t="n">
        <v>1</v>
      </c>
      <c r="P5286" s="12" t="n">
        <v>4160</v>
      </c>
      <c r="Q5286" s="12" t="n">
        <v>450</v>
      </c>
      <c r="R5286" s="12" t="n">
        <v>69</v>
      </c>
      <c r="S5286" s="12" t="inlineStr">
        <is>
          <t>Tray</t>
        </is>
      </c>
      <c r="T5286" s="15" t="n">
        <v>0</v>
      </c>
      <c r="U5286" s="15" t="n">
        <v>70</v>
      </c>
      <c r="V5286" s="15">
        <f>ROUNDUP((T5286+U5286+2*'Read Me'!$B$13)*(1+'Read Me'!$B$12),-1)</f>
        <v/>
      </c>
      <c r="W5286" s="15">
        <f>V5286*N5286*O5286</f>
        <v/>
      </c>
      <c r="X5286" s="12">
        <f>IF(LEFT(I5286,2)="MV",2*N5286*IF(L5286="1/C",O5286,1),0)</f>
        <v/>
      </c>
      <c r="Y5286" s="12">
        <f>IF(OR(LEFT(K5286,4)="LVAX",LEFT(K5286,6)="MV15AX",LEFT(K5286,4)="CTAX",LEFT(K5286,2)="W|"),2*N5286*O5286,0)</f>
        <v/>
      </c>
      <c r="Z5286" s="12" t="inlineStr"/>
      <c r="AA5286" s="12">
        <f>N5286*O5286</f>
        <v/>
      </c>
    </row>
    <row r="5287">
      <c r="A5287" s="12" t="inlineStr">
        <is>
          <t>J-MV-0006</t>
        </is>
      </c>
      <c r="B5287" s="12" t="inlineStr">
        <is>
          <t>J</t>
        </is>
      </c>
      <c r="C5287" s="12" t="inlineStr">
        <is>
          <t>GT inlet chilling</t>
        </is>
      </c>
      <c r="D5287" s="12" t="inlineStr">
        <is>
          <t>Water-cooled chiller CH-1</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5" t="n">
        <v>10</v>
      </c>
      <c r="U5287" s="15" t="n">
        <v>32</v>
      </c>
      <c r="V5287" s="15">
        <f>ROUNDUP((T5287+U5287+2*'Read Me'!$B$13)*(1+'Read Me'!$B$12),-1)</f>
        <v/>
      </c>
      <c r="W5287" s="15">
        <f>V5287*N5287*O5287</f>
        <v/>
      </c>
      <c r="X5287" s="12">
        <f>IF(LEFT(I5287,2)="MV",2*N5287*IF(L5287="1/C",O5287,1),0)</f>
        <v/>
      </c>
      <c r="Y5287" s="12">
        <f>IF(OR(LEFT(K5287,4)="LVAX",LEFT(K5287,6)="MV15AX",LEFT(K5287,4)="CTAX",LEFT(K5287,2)="W|"),2*N5287*O5287,0)</f>
        <v/>
      </c>
      <c r="Z5287" s="12" t="inlineStr"/>
      <c r="AA5287" s="12">
        <f>N5287*O5287</f>
        <v/>
      </c>
    </row>
    <row r="5288">
      <c r="A5288" s="12" t="inlineStr">
        <is>
          <t>J-MV-0007</t>
        </is>
      </c>
      <c r="B5288" s="12" t="inlineStr">
        <is>
          <t>J</t>
        </is>
      </c>
      <c r="C5288" s="12" t="inlineStr">
        <is>
          <t>GT inlet chilling</t>
        </is>
      </c>
      <c r="D5288" s="12" t="inlineStr">
        <is>
          <t>Water-cooled chiller CH-2</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5" t="n">
        <v>10</v>
      </c>
      <c r="U5288" s="15" t="n">
        <v>32</v>
      </c>
      <c r="V5288" s="15">
        <f>ROUNDUP((T5288+U5288+2*'Read Me'!$B$13)*(1+'Read Me'!$B$12),-1)</f>
        <v/>
      </c>
      <c r="W5288" s="15">
        <f>V5288*N5288*O5288</f>
        <v/>
      </c>
      <c r="X5288" s="12">
        <f>IF(LEFT(I5288,2)="MV",2*N5288*IF(L5288="1/C",O5288,1),0)</f>
        <v/>
      </c>
      <c r="Y5288" s="12">
        <f>IF(OR(LEFT(K5288,4)="LVAX",LEFT(K5288,6)="MV15AX",LEFT(K5288,4)="CTAX",LEFT(K5288,2)="W|"),2*N5288*O5288,0)</f>
        <v/>
      </c>
      <c r="Z5288" s="12" t="inlineStr"/>
      <c r="AA5288" s="12">
        <f>N5288*O5288</f>
        <v/>
      </c>
    </row>
    <row r="5289">
      <c r="A5289" s="12" t="inlineStr">
        <is>
          <t>J-MV-0008</t>
        </is>
      </c>
      <c r="B5289" s="12" t="inlineStr">
        <is>
          <t>J</t>
        </is>
      </c>
      <c r="C5289" s="12" t="inlineStr">
        <is>
          <t>GT inlet chilling</t>
        </is>
      </c>
      <c r="D5289" s="12" t="inlineStr">
        <is>
          <t>Water-cooled chiller CH-3</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5" t="n">
        <v>10</v>
      </c>
      <c r="U5289" s="15" t="n">
        <v>32</v>
      </c>
      <c r="V5289" s="15">
        <f>ROUNDUP((T5289+U5289+2*'Read Me'!$B$13)*(1+'Read Me'!$B$12),-1)</f>
        <v/>
      </c>
      <c r="W5289" s="15">
        <f>V5289*N5289*O5289</f>
        <v/>
      </c>
      <c r="X5289" s="12">
        <f>IF(LEFT(I5289,2)="MV",2*N5289*IF(L5289="1/C",O5289,1),0)</f>
        <v/>
      </c>
      <c r="Y5289" s="12">
        <f>IF(OR(LEFT(K5289,4)="LVAX",LEFT(K5289,6)="MV15AX",LEFT(K5289,4)="CTAX",LEFT(K5289,2)="W|"),2*N5289*O5289,0)</f>
        <v/>
      </c>
      <c r="Z5289" s="12" t="inlineStr"/>
      <c r="AA5289" s="12">
        <f>N5289*O5289</f>
        <v/>
      </c>
    </row>
    <row r="5290">
      <c r="A5290" s="12" t="inlineStr">
        <is>
          <t>J-MV-0009</t>
        </is>
      </c>
      <c r="B5290" s="12" t="inlineStr">
        <is>
          <t>J</t>
        </is>
      </c>
      <c r="C5290" s="12" t="inlineStr">
        <is>
          <t>GT inlet chilling</t>
        </is>
      </c>
      <c r="D5290" s="12" t="inlineStr">
        <is>
          <t>Water-cooled chiller CH-4</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5" t="n">
        <v>10</v>
      </c>
      <c r="U5290" s="15" t="n">
        <v>32</v>
      </c>
      <c r="V5290" s="15">
        <f>ROUNDUP((T5290+U5290+2*'Read Me'!$B$13)*(1+'Read Me'!$B$12),-1)</f>
        <v/>
      </c>
      <c r="W5290" s="15">
        <f>V5290*N5290*O5290</f>
        <v/>
      </c>
      <c r="X5290" s="12">
        <f>IF(LEFT(I5290,2)="MV",2*N5290*IF(L5290="1/C",O5290,1),0)</f>
        <v/>
      </c>
      <c r="Y5290" s="12">
        <f>IF(OR(LEFT(K5290,4)="LVAX",LEFT(K5290,6)="MV15AX",LEFT(K5290,4)="CTAX",LEFT(K5290,2)="W|"),2*N5290*O5290,0)</f>
        <v/>
      </c>
      <c r="Z5290" s="12" t="inlineStr"/>
      <c r="AA5290" s="12">
        <f>N5290*O5290</f>
        <v/>
      </c>
    </row>
    <row r="5291">
      <c r="A5291" s="12" t="inlineStr">
        <is>
          <t>J-MV-0010</t>
        </is>
      </c>
      <c r="B5291" s="12" t="inlineStr">
        <is>
          <t>J</t>
        </is>
      </c>
      <c r="C5291" s="12" t="inlineStr">
        <is>
          <t>GT inlet chilling</t>
        </is>
      </c>
      <c r="D5291" s="12" t="inlineStr">
        <is>
          <t>Water-cooled chiller CH-5</t>
        </is>
      </c>
      <c r="E5291" s="12" t="inlineStr"/>
      <c r="F5291" s="12" t="inlineStr">
        <is>
          <t>Inlet-chilling e-house / transformer</t>
        </is>
      </c>
      <c r="G5291" s="12" t="inlineStr"/>
      <c r="H5291" s="12" t="inlineStr">
        <is>
          <t>Chillers x6 (water-cooled)</t>
        </is>
      </c>
      <c r="I5291" s="12" t="inlineStr">
        <is>
          <t>MV 5 kV</t>
        </is>
      </c>
      <c r="J5291" s="12" t="inlineStr">
        <is>
          <t>MV-105 5 kV 3/C Cu, EPR 133%, tape shield, gnd, PVC jacket</t>
        </is>
      </c>
      <c r="K5291" s="12" t="inlineStr">
        <is>
          <t>MV5|3/C|250</t>
        </is>
      </c>
      <c r="L5291" s="12" t="inlineStr">
        <is>
          <t>3/C</t>
        </is>
      </c>
      <c r="M5291" s="12" t="inlineStr">
        <is>
          <t>250 kcmil</t>
        </is>
      </c>
      <c r="N5291" s="12" t="n">
        <v>1</v>
      </c>
      <c r="O5291" s="12" t="n">
        <v>1</v>
      </c>
      <c r="P5291" s="12" t="n">
        <v>4160</v>
      </c>
      <c r="Q5291" s="12" t="n">
        <v>1500</v>
      </c>
      <c r="R5291" s="12" t="n">
        <v>231</v>
      </c>
      <c r="S5291" s="12" t="inlineStr">
        <is>
          <t>Duct bank</t>
        </is>
      </c>
      <c r="T5291" s="15" t="n">
        <v>10</v>
      </c>
      <c r="U5291" s="15" t="n">
        <v>32</v>
      </c>
      <c r="V5291" s="15">
        <f>ROUNDUP((T5291+U5291+2*'Read Me'!$B$13)*(1+'Read Me'!$B$12),-1)</f>
        <v/>
      </c>
      <c r="W5291" s="15">
        <f>V5291*N5291*O5291</f>
        <v/>
      </c>
      <c r="X5291" s="12">
        <f>IF(LEFT(I5291,2)="MV",2*N5291*IF(L5291="1/C",O5291,1),0)</f>
        <v/>
      </c>
      <c r="Y5291" s="12">
        <f>IF(OR(LEFT(K5291,4)="LVAX",LEFT(K5291,6)="MV15AX",LEFT(K5291,4)="CTAX",LEFT(K5291,2)="W|"),2*N5291*O5291,0)</f>
        <v/>
      </c>
      <c r="Z5291" s="12" t="inlineStr"/>
      <c r="AA5291" s="12">
        <f>N5291*O5291</f>
        <v/>
      </c>
    </row>
    <row r="5292">
      <c r="A5292" s="12" t="inlineStr">
        <is>
          <t>J-MV-0011</t>
        </is>
      </c>
      <c r="B5292" s="12" t="inlineStr">
        <is>
          <t>J</t>
        </is>
      </c>
      <c r="C5292" s="12" t="inlineStr">
        <is>
          <t>GT inlet chilling</t>
        </is>
      </c>
      <c r="D5292" s="12" t="inlineStr">
        <is>
          <t>Water-cooled chiller CH-6</t>
        </is>
      </c>
      <c r="E5292" s="12" t="inlineStr"/>
      <c r="F5292" s="12" t="inlineStr">
        <is>
          <t>Inlet-chilling e-house / transformer</t>
        </is>
      </c>
      <c r="G5292" s="12" t="inlineStr"/>
      <c r="H5292" s="12" t="inlineStr">
        <is>
          <t>Chillers x6 (water-cooled)</t>
        </is>
      </c>
      <c r="I5292" s="12" t="inlineStr">
        <is>
          <t>MV 5 kV</t>
        </is>
      </c>
      <c r="J5292" s="12" t="inlineStr">
        <is>
          <t>MV-105 5 kV 3/C Cu, EPR 133%, tape shield, gnd, PVC jacket</t>
        </is>
      </c>
      <c r="K5292" s="12" t="inlineStr">
        <is>
          <t>MV5|3/C|250</t>
        </is>
      </c>
      <c r="L5292" s="12" t="inlineStr">
        <is>
          <t>3/C</t>
        </is>
      </c>
      <c r="M5292" s="12" t="inlineStr">
        <is>
          <t>250 kcmil</t>
        </is>
      </c>
      <c r="N5292" s="12" t="n">
        <v>1</v>
      </c>
      <c r="O5292" s="12" t="n">
        <v>1</v>
      </c>
      <c r="P5292" s="12" t="n">
        <v>4160</v>
      </c>
      <c r="Q5292" s="12" t="n">
        <v>1500</v>
      </c>
      <c r="R5292" s="12" t="n">
        <v>231</v>
      </c>
      <c r="S5292" s="12" t="inlineStr">
        <is>
          <t>Duct bank</t>
        </is>
      </c>
      <c r="T5292" s="15" t="n">
        <v>10</v>
      </c>
      <c r="U5292" s="15" t="n">
        <v>32</v>
      </c>
      <c r="V5292" s="15">
        <f>ROUNDUP((T5292+U5292+2*'Read Me'!$B$13)*(1+'Read Me'!$B$12),-1)</f>
        <v/>
      </c>
      <c r="W5292" s="15">
        <f>V5292*N5292*O5292</f>
        <v/>
      </c>
      <c r="X5292" s="12">
        <f>IF(LEFT(I5292,2)="MV",2*N5292*IF(L5292="1/C",O5292,1),0)</f>
        <v/>
      </c>
      <c r="Y5292" s="12">
        <f>IF(OR(LEFT(K5292,4)="LVAX",LEFT(K5292,6)="MV15AX",LEFT(K5292,4)="CTAX",LEFT(K5292,2)="W|"),2*N5292*O5292,0)</f>
        <v/>
      </c>
      <c r="Z5292" s="12" t="inlineStr"/>
      <c r="AA5292" s="12">
        <f>N5292*O5292</f>
        <v/>
      </c>
    </row>
    <row r="5293">
      <c r="A5293" s="12" t="inlineStr">
        <is>
          <t>K-L-0001</t>
        </is>
      </c>
      <c r="B5293" s="12" t="inlineStr">
        <is>
          <t>K</t>
        </is>
      </c>
      <c r="C5293" s="12" t="inlineStr">
        <is>
          <t>Fuel supply (adjacent market)</t>
        </is>
      </c>
      <c r="D5293" s="12" t="inlineStr">
        <is>
          <t>Lighting, receptacles and small power branch circuits (allowance)</t>
        </is>
      </c>
      <c r="E5293" s="12" t="inlineStr"/>
      <c r="F5293" s="12" t="inlineStr">
        <is>
          <t>H2 20: 13.8 kV e-house</t>
        </is>
      </c>
      <c r="G5293" s="12" t="inlineStr"/>
      <c r="H5293" s="12" t="inlineStr">
        <is>
          <t>H2 20: 13.8 kV e-house</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5" t="n">
        <v>1536</v>
      </c>
      <c r="U5293" s="15" t="n">
        <v>0</v>
      </c>
      <c r="V5293" s="15">
        <f>ROUNDUP((T5293+U5293+2*'Read Me'!$B$13)*(1+'Read Me'!$B$12),-1)</f>
        <v/>
      </c>
      <c r="W5293" s="15">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K-L-0002</t>
        </is>
      </c>
      <c r="B5294" s="12" t="inlineStr">
        <is>
          <t>K</t>
        </is>
      </c>
      <c r="C5294" s="12" t="inlineStr">
        <is>
          <t>Fuel supply (adjacent market)</t>
        </is>
      </c>
      <c r="D5294" s="12" t="inlineStr">
        <is>
          <t>Lighting, receptacles and small power branch circuits (allowance)</t>
        </is>
      </c>
      <c r="E5294" s="12" t="inlineStr"/>
      <c r="F5294" s="12" t="inlineStr">
        <is>
          <t>LNG 17: LNG e-house (13.8 kV / 480 V)</t>
        </is>
      </c>
      <c r="G5294" s="12" t="inlineStr"/>
      <c r="H5294" s="12" t="inlineStr">
        <is>
          <t>LNG 17: LNG e-house (13.8 kV / 480 V)</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5" t="n">
        <v>896</v>
      </c>
      <c r="U5294" s="15" t="n">
        <v>0</v>
      </c>
      <c r="V5294" s="15">
        <f>ROUNDUP((T5294+U5294+2*'Read Me'!$B$13)*(1+'Read Me'!$B$12),-1)</f>
        <v/>
      </c>
      <c r="W5294" s="15">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K-L-0003</t>
        </is>
      </c>
      <c r="B5295" s="12" t="inlineStr">
        <is>
          <t>K</t>
        </is>
      </c>
      <c r="C5295" s="12" t="inlineStr">
        <is>
          <t>Fuel supply (adjacent market)</t>
        </is>
      </c>
      <c r="D5295" s="12" t="inlineStr">
        <is>
          <t>Lighting, receptacles and small power branch circuits (allowance)</t>
        </is>
      </c>
      <c r="E5295" s="12" t="inlineStr"/>
      <c r="F5295" s="12" t="inlineStr">
        <is>
          <t>M&amp;R 6: regulation / flow control building</t>
        </is>
      </c>
      <c r="G5295" s="12" t="inlineStr"/>
      <c r="H5295" s="12" t="inlineStr">
        <is>
          <t>M&amp;R 6: regulation / flow control building</t>
        </is>
      </c>
      <c r="I5295" s="12" t="inlineStr">
        <is>
          <t>Building wire</t>
        </is>
      </c>
      <c r="J5295" s="12" t="inlineStr">
        <is>
          <t>SIMpull THHN/THWN-2 600 V 1/C Cu (lighting, receptacles, small power)</t>
        </is>
      </c>
      <c r="K5295" s="12" t="inlineStr">
        <is>
          <t>THHN|1/C|12</t>
        </is>
      </c>
      <c r="L5295" s="12" t="inlineStr">
        <is>
          <t>1/C</t>
        </is>
      </c>
      <c r="M5295" s="12" t="inlineStr">
        <is>
          <t>12</t>
        </is>
      </c>
      <c r="N5295" s="12" t="n">
        <v>1</v>
      </c>
      <c r="O5295" s="12" t="n">
        <v>1</v>
      </c>
      <c r="P5295" s="12" t="n">
        <v>277</v>
      </c>
      <c r="Q5295" s="12" t="n"/>
      <c r="R5295" s="12" t="n"/>
      <c r="S5295" s="12" t="inlineStr">
        <is>
          <t>Conduit</t>
        </is>
      </c>
      <c r="T5295" s="15" t="n">
        <v>1440</v>
      </c>
      <c r="U5295" s="15" t="n">
        <v>0</v>
      </c>
      <c r="V5295" s="15">
        <f>ROUNDUP((T5295+U5295+2*'Read Me'!$B$13)*(1+'Read Me'!$B$12),-1)</f>
        <v/>
      </c>
      <c r="W5295" s="15">
        <f>V5295*N5295*O5295</f>
        <v/>
      </c>
      <c r="X5295" s="12">
        <f>IF(LEFT(I5295,2)="MV",2*N5295*IF(L5295="1/C",O5295,1),0)</f>
        <v/>
      </c>
      <c r="Y5295" s="12">
        <f>IF(OR(LEFT(K5295,4)="LVAX",LEFT(K5295,6)="MV15AX",LEFT(K5295,4)="CTAX",LEFT(K5295,2)="W|"),2*N5295*O5295,0)</f>
        <v/>
      </c>
      <c r="Z5295" s="12" t="inlineStr">
        <is>
          <t>allowance: 1.6 ft of conductor per ft2 of floor</t>
        </is>
      </c>
      <c r="AA5295" s="12">
        <f>N5295*O5295</f>
        <v/>
      </c>
    </row>
    <row r="5296">
      <c r="A5296" s="12" t="inlineStr">
        <is>
          <t>K-L-0004</t>
        </is>
      </c>
      <c r="B5296" s="12" t="inlineStr">
        <is>
          <t>K</t>
        </is>
      </c>
      <c r="C5296" s="12" t="inlineStr">
        <is>
          <t>Fuel supply (adjacent market)</t>
        </is>
      </c>
      <c r="D5296" s="12" t="inlineStr">
        <is>
          <t>Lighting, receptacles and small power branch circuits (allowance)</t>
        </is>
      </c>
      <c r="E5296" s="12" t="inlineStr"/>
      <c r="F5296" s="12" t="inlineStr">
        <is>
          <t>M&amp;R 7: gas quality + measurement building</t>
        </is>
      </c>
      <c r="G5296" s="12" t="inlineStr"/>
      <c r="H5296" s="12" t="inlineStr">
        <is>
          <t>M&amp;R 7: gas quality + measurement building</t>
        </is>
      </c>
      <c r="I5296" s="12" t="inlineStr">
        <is>
          <t>Building wire</t>
        </is>
      </c>
      <c r="J5296" s="12" t="inlineStr">
        <is>
          <t>SIMpull THHN/THWN-2 600 V 1/C Cu (lighting, receptacles, small power)</t>
        </is>
      </c>
      <c r="K5296" s="12" t="inlineStr">
        <is>
          <t>THHN|1/C|12</t>
        </is>
      </c>
      <c r="L5296" s="12" t="inlineStr">
        <is>
          <t>1/C</t>
        </is>
      </c>
      <c r="M5296" s="12" t="inlineStr">
        <is>
          <t>12</t>
        </is>
      </c>
      <c r="N5296" s="12" t="n">
        <v>1</v>
      </c>
      <c r="O5296" s="12" t="n">
        <v>1</v>
      </c>
      <c r="P5296" s="12" t="n">
        <v>277</v>
      </c>
      <c r="Q5296" s="12" t="n"/>
      <c r="R5296" s="12" t="n"/>
      <c r="S5296" s="12" t="inlineStr">
        <is>
          <t>Conduit</t>
        </is>
      </c>
      <c r="T5296" s="15" t="n">
        <v>205</v>
      </c>
      <c r="U5296" s="15" t="n">
        <v>0</v>
      </c>
      <c r="V5296" s="15">
        <f>ROUNDUP((T5296+U5296+2*'Read Me'!$B$13)*(1+'Read Me'!$B$12),-1)</f>
        <v/>
      </c>
      <c r="W5296" s="15">
        <f>V5296*N5296*O5296</f>
        <v/>
      </c>
      <c r="X5296" s="12">
        <f>IF(LEFT(I5296,2)="MV",2*N5296*IF(L5296="1/C",O5296,1),0)</f>
        <v/>
      </c>
      <c r="Y5296" s="12">
        <f>IF(OR(LEFT(K5296,4)="LVAX",LEFT(K5296,6)="MV15AX",LEFT(K5296,4)="CTAX",LEFT(K5296,2)="W|"),2*N5296*O5296,0)</f>
        <v/>
      </c>
      <c r="Z5296" s="12" t="inlineStr">
        <is>
          <t>allowance: 1.6 ft of conductor per ft2 of floor</t>
        </is>
      </c>
      <c r="AA5296" s="12">
        <f>N5296*O5296</f>
        <v/>
      </c>
    </row>
    <row r="5297">
      <c r="A5297" s="12" t="inlineStr">
        <is>
          <t>K-C-0001</t>
        </is>
      </c>
      <c r="B5297" s="12" t="inlineStr">
        <is>
          <t>K</t>
        </is>
      </c>
      <c r="C5297" s="12" t="inlineStr">
        <is>
          <t>Fuel supply (adjacent market)</t>
        </is>
      </c>
      <c r="D5297" s="12" t="inlineStr">
        <is>
          <t>Motor 1 of 1: control / local station</t>
        </is>
      </c>
      <c r="E5297" s="12" t="inlineStr"/>
      <c r="F5297" s="12" t="inlineStr">
        <is>
          <t>H2 20: 13.8 kV e-house</t>
        </is>
      </c>
      <c r="G5297" s="12" t="inlineStr">
        <is>
          <t>T-H2</t>
        </is>
      </c>
      <c r="H5297" s="12" t="inlineStr">
        <is>
          <t>H2 19: T-H2 230/13.8 kV (about 40 MVA)</t>
        </is>
      </c>
      <c r="I5297" s="12" t="inlineStr">
        <is>
          <t>Control</t>
        </is>
      </c>
      <c r="J5297" s="12" t="inlineStr">
        <is>
          <t>ARMOR-X MC-HL 600 V control, Cu #14 AWG (Class I Div 2)</t>
        </is>
      </c>
      <c r="K5297" s="12" t="inlineStr">
        <is>
          <t>CTAX|7/C|14</t>
        </is>
      </c>
      <c r="L5297" s="12" t="inlineStr">
        <is>
          <t>7/C</t>
        </is>
      </c>
      <c r="M5297" s="12" t="inlineStr">
        <is>
          <t>14</t>
        </is>
      </c>
      <c r="N5297" s="12" t="n">
        <v>1</v>
      </c>
      <c r="O5297" s="12" t="n">
        <v>1</v>
      </c>
      <c r="P5297" s="12" t="n"/>
      <c r="Q5297" s="12" t="n"/>
      <c r="R5297" s="12" t="n"/>
      <c r="S5297" s="12" t="inlineStr">
        <is>
          <t>Conduit link</t>
        </is>
      </c>
      <c r="T5297" s="15" t="n">
        <v>30</v>
      </c>
      <c r="U5297" s="15" t="n">
        <v>32</v>
      </c>
      <c r="V5297" s="15">
        <f>ROUNDUP((T5297+U5297+2*'Read Me'!$B$13)*(1+'Read Me'!$B$12),-1)</f>
        <v/>
      </c>
      <c r="W5297" s="15">
        <f>V5297*N5297*O5297</f>
        <v/>
      </c>
      <c r="X5297" s="12">
        <f>IF(LEFT(I5297,2)="MV",2*N5297*IF(L5297="1/C",O5297,1),0)</f>
        <v/>
      </c>
      <c r="Y5297" s="12">
        <f>IF(OR(LEFT(K5297,4)="LVAX",LEFT(K5297,6)="MV15AX",LEFT(K5297,4)="CTAX",LEFT(K5297,2)="W|"),2*N5297*O5297,0)</f>
        <v/>
      </c>
      <c r="Z5297" s="12" t="inlineStr"/>
      <c r="AA5297" s="12">
        <f>N5297*O5297</f>
        <v/>
      </c>
    </row>
    <row r="5298">
      <c r="A5298" s="12" t="inlineStr">
        <is>
          <t>K-C-0002</t>
        </is>
      </c>
      <c r="B5298" s="12" t="inlineStr">
        <is>
          <t>K</t>
        </is>
      </c>
      <c r="C5298" s="12" t="inlineStr">
        <is>
          <t>Fuel supply (adjacent market)</t>
        </is>
      </c>
      <c r="D5298" s="12" t="inlineStr">
        <is>
          <t>Solenoid to JB JB-T-H2-SOL01: 2 x 2/C (field cables)</t>
        </is>
      </c>
      <c r="E5298" s="12" t="inlineStr">
        <is>
          <t>T-H2</t>
        </is>
      </c>
      <c r="F5298" s="12" t="inlineStr">
        <is>
          <t>H2 19: T-H2 230/13.8 kV (about 40 MVA)</t>
        </is>
      </c>
      <c r="G5298" s="12" t="inlineStr">
        <is>
          <t>JB-T-H2-SOL01</t>
        </is>
      </c>
      <c r="H5298" s="12" t="inlineStr">
        <is>
          <t>H2 19: T-H2 230/13.8 kV (about 40 MVA)</t>
        </is>
      </c>
      <c r="I5298" s="12" t="inlineStr">
        <is>
          <t>Control</t>
        </is>
      </c>
      <c r="J5298" s="12" t="inlineStr">
        <is>
          <t>ARMOR-X MC-HL 600 V control, Cu #14 AWG (Class I Div 2)</t>
        </is>
      </c>
      <c r="K5298" s="12" t="inlineStr">
        <is>
          <t>CTAX|2/C|14</t>
        </is>
      </c>
      <c r="L5298" s="12" t="inlineStr">
        <is>
          <t>2/C</t>
        </is>
      </c>
      <c r="M5298" s="12" t="inlineStr">
        <is>
          <t>14</t>
        </is>
      </c>
      <c r="N5298" s="12" t="n">
        <v>2</v>
      </c>
      <c r="O5298" s="12" t="n">
        <v>1</v>
      </c>
      <c r="P5298" s="12" t="n"/>
      <c r="Q5298" s="12" t="n"/>
      <c r="R5298" s="12" t="n"/>
      <c r="S5298" s="12" t="inlineStr">
        <is>
          <t>Tray / conduit</t>
        </is>
      </c>
      <c r="T5298" s="15" t="n">
        <v>80</v>
      </c>
      <c r="U5298" s="15" t="n">
        <v>10</v>
      </c>
      <c r="V5298" s="15">
        <f>ROUNDUP((T5298+U5298+2*'Read Me'!$B$13)*(1+'Read Me'!$B$12),-1)</f>
        <v/>
      </c>
      <c r="W5298" s="15">
        <f>V5298*N5298*O5298</f>
        <v/>
      </c>
      <c r="X5298" s="12">
        <f>IF(LEFT(I5298,2)="MV",2*N5298*IF(L5298="1/C",O5298,1),0)</f>
        <v/>
      </c>
      <c r="Y5298" s="12">
        <f>IF(OR(LEFT(K5298,4)="LVAX",LEFT(K5298,6)="MV15AX",LEFT(K5298,4)="CTAX",LEFT(K5298,2)="W|"),2*N5298*O5298,0)</f>
        <v/>
      </c>
      <c r="Z5298" s="12" t="inlineStr">
        <is>
          <t>device-to-JB field wiring, one cable per device</t>
        </is>
      </c>
      <c r="AA5298" s="12">
        <f>N5298*O5298</f>
        <v/>
      </c>
    </row>
    <row r="5299">
      <c r="A5299" s="12" t="inlineStr">
        <is>
          <t>K-C-0003</t>
        </is>
      </c>
      <c r="B5299" s="12" t="inlineStr">
        <is>
          <t>K</t>
        </is>
      </c>
      <c r="C5299" s="12" t="inlineStr">
        <is>
          <t>Fuel supply (adjacent market)</t>
        </is>
      </c>
      <c r="D5299" s="12" t="inlineStr">
        <is>
          <t>Home run JB-T-H2-SOL01 to the control / marshalling room</t>
        </is>
      </c>
      <c r="E5299" s="12" t="inlineStr"/>
      <c r="F5299" s="12" t="inlineStr">
        <is>
          <t>H2 20: 13.8 kV e-house</t>
        </is>
      </c>
      <c r="G5299" s="12" t="inlineStr">
        <is>
          <t>JB-T-H2-SOL01</t>
        </is>
      </c>
      <c r="H5299" s="12" t="inlineStr">
        <is>
          <t>H2 19: T-H2 230/13.8 kV (about 40 MVA)</t>
        </is>
      </c>
      <c r="I5299" s="12" t="inlineStr">
        <is>
          <t>Control</t>
        </is>
      </c>
      <c r="J5299" s="12" t="inlineStr">
        <is>
          <t>ARMOR-X MC-HL 600 V control, Cu #14 AWG (Class I Div 2)</t>
        </is>
      </c>
      <c r="K5299" s="12" t="inlineStr">
        <is>
          <t>CTAX|25/C|14</t>
        </is>
      </c>
      <c r="L5299" s="12" t="inlineStr">
        <is>
          <t>25/C</t>
        </is>
      </c>
      <c r="M5299" s="12" t="inlineStr">
        <is>
          <t>14</t>
        </is>
      </c>
      <c r="N5299" s="12" t="n">
        <v>1</v>
      </c>
      <c r="O5299" s="12" t="n">
        <v>1</v>
      </c>
      <c r="P5299" s="12" t="n"/>
      <c r="Q5299" s="12" t="n"/>
      <c r="R5299" s="12" t="n"/>
      <c r="S5299" s="12" t="inlineStr">
        <is>
          <t>Conduit link</t>
        </is>
      </c>
      <c r="T5299" s="15" t="n">
        <v>30</v>
      </c>
      <c r="U5299" s="15" t="n">
        <v>32</v>
      </c>
      <c r="V5299" s="15">
        <f>ROUNDUP((T5299+U5299+2*'Read Me'!$B$13)*(1+'Read Me'!$B$12),-1)</f>
        <v/>
      </c>
      <c r="W5299" s="15">
        <f>V5299*N5299*O5299</f>
        <v/>
      </c>
      <c r="X5299" s="12">
        <f>IF(LEFT(I5299,2)="MV",2*N5299*IF(L5299="1/C",O5299,1),0)</f>
        <v/>
      </c>
      <c r="Y5299" s="12">
        <f>IF(OR(LEFT(K5299,4)="LVAX",LEFT(K5299,6)="MV15AX",LEFT(K5299,4)="CTAX",LEFT(K5299,2)="W|"),2*N5299*O5299,0)</f>
        <v/>
      </c>
      <c r="Z5299" s="12" t="inlineStr"/>
      <c r="AA5299" s="12">
        <f>N5299*O5299</f>
        <v/>
      </c>
    </row>
    <row r="5300">
      <c r="A5300" s="12" t="inlineStr">
        <is>
          <t>K-C-0004</t>
        </is>
      </c>
      <c r="B5300" s="12" t="inlineStr">
        <is>
          <t>K</t>
        </is>
      </c>
      <c r="C5300" s="12" t="inlineStr">
        <is>
          <t>Fuel supply (adjacent market)</t>
        </is>
      </c>
      <c r="D5300" s="12" t="inlineStr">
        <is>
          <t>Motor 1 of 1: control / local station</t>
        </is>
      </c>
      <c r="E5300" s="12" t="inlineStr"/>
      <c r="F5300" s="12" t="inlineStr">
        <is>
          <t>H2 20: 13.8 kV e-house</t>
        </is>
      </c>
      <c r="G5300" s="12" t="inlineStr"/>
      <c r="H5300" s="12" t="inlineStr">
        <is>
          <t>H2 20: 13.8 kV e-house</t>
        </is>
      </c>
      <c r="I5300" s="12" t="inlineStr">
        <is>
          <t>Control</t>
        </is>
      </c>
      <c r="J5300" s="12" t="inlineStr">
        <is>
          <t>ARMOR-X MC-HL 600 V control, Cu #14 AWG (Class I Div 2)</t>
        </is>
      </c>
      <c r="K5300" s="12" t="inlineStr">
        <is>
          <t>CTAX|7/C|14</t>
        </is>
      </c>
      <c r="L5300" s="12" t="inlineStr">
        <is>
          <t>7/C</t>
        </is>
      </c>
      <c r="M5300" s="12" t="inlineStr">
        <is>
          <t>14</t>
        </is>
      </c>
      <c r="N5300" s="12" t="n">
        <v>1</v>
      </c>
      <c r="O5300" s="12" t="n">
        <v>1</v>
      </c>
      <c r="P5300" s="12" t="n"/>
      <c r="Q5300" s="12" t="n"/>
      <c r="R5300" s="12" t="n"/>
      <c r="S5300" s="12" t="inlineStr">
        <is>
          <t>Tray</t>
        </is>
      </c>
      <c r="T5300" s="15" t="n">
        <v>0</v>
      </c>
      <c r="U5300" s="15" t="n">
        <v>32</v>
      </c>
      <c r="V5300" s="15">
        <f>ROUNDUP((T5300+U5300+2*'Read Me'!$B$13)*(1+'Read Me'!$B$12),-1)</f>
        <v/>
      </c>
      <c r="W5300" s="15">
        <f>V5300*N5300*O5300</f>
        <v/>
      </c>
      <c r="X5300" s="12">
        <f>IF(LEFT(I5300,2)="MV",2*N5300*IF(L5300="1/C",O5300,1),0)</f>
        <v/>
      </c>
      <c r="Y5300" s="12">
        <f>IF(OR(LEFT(K5300,4)="LVAX",LEFT(K5300,6)="MV15AX",LEFT(K5300,4)="CTAX",LEFT(K5300,2)="W|"),2*N5300*O5300,0)</f>
        <v/>
      </c>
      <c r="Z5300" s="12" t="inlineStr"/>
      <c r="AA5300" s="12">
        <f>N5300*O5300</f>
        <v/>
      </c>
    </row>
    <row r="5301">
      <c r="A5301" s="12" t="inlineStr">
        <is>
          <t>K-C-0005</t>
        </is>
      </c>
      <c r="B5301" s="12" t="inlineStr">
        <is>
          <t>K</t>
        </is>
      </c>
      <c r="C5301" s="12" t="inlineStr">
        <is>
          <t>Fuel supply (adjacent market)</t>
        </is>
      </c>
      <c r="D5301" s="12" t="inlineStr">
        <is>
          <t>Solenoid to JB JB-H2 20: 13.8 kV e-h-SOL01: 2 x 2/C (field cables)</t>
        </is>
      </c>
      <c r="E5301" s="12" t="inlineStr"/>
      <c r="F5301" s="12" t="inlineStr">
        <is>
          <t>H2 20: 13.8 kV e-house</t>
        </is>
      </c>
      <c r="G5301" s="12" t="inlineStr">
        <is>
          <t>JB-H2 20: 13.8 kV e-h-SOL01</t>
        </is>
      </c>
      <c r="H5301" s="12" t="inlineStr">
        <is>
          <t>H2 20: 13.8 kV e-house</t>
        </is>
      </c>
      <c r="I5301" s="12" t="inlineStr">
        <is>
          <t>Control</t>
        </is>
      </c>
      <c r="J5301" s="12" t="inlineStr">
        <is>
          <t>ARMOR-X MC-HL 600 V control, Cu #14 AWG (Class I Div 2)</t>
        </is>
      </c>
      <c r="K5301" s="12" t="inlineStr">
        <is>
          <t>CTAX|2/C|14</t>
        </is>
      </c>
      <c r="L5301" s="12" t="inlineStr">
        <is>
          <t>2/C</t>
        </is>
      </c>
      <c r="M5301" s="12" t="inlineStr">
        <is>
          <t>14</t>
        </is>
      </c>
      <c r="N5301" s="12" t="n">
        <v>2</v>
      </c>
      <c r="O5301" s="12" t="n">
        <v>1</v>
      </c>
      <c r="P5301" s="12" t="n"/>
      <c r="Q5301" s="12" t="n"/>
      <c r="R5301" s="12" t="n"/>
      <c r="S5301" s="12" t="inlineStr">
        <is>
          <t>Tray / conduit</t>
        </is>
      </c>
      <c r="T5301" s="15" t="n">
        <v>69</v>
      </c>
      <c r="U5301" s="15" t="n">
        <v>10</v>
      </c>
      <c r="V5301" s="15">
        <f>ROUNDUP((T5301+U5301+2*'Read Me'!$B$13)*(1+'Read Me'!$B$12),-1)</f>
        <v/>
      </c>
      <c r="W5301" s="15">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K-C-0006</t>
        </is>
      </c>
      <c r="B5302" s="12" t="inlineStr">
        <is>
          <t>K</t>
        </is>
      </c>
      <c r="C5302" s="12" t="inlineStr">
        <is>
          <t>Fuel supply (adjacent market)</t>
        </is>
      </c>
      <c r="D5302" s="12" t="inlineStr">
        <is>
          <t>Home run JB-H2 20: 13.8 kV e-h-SOL01 to the control / marshalling room</t>
        </is>
      </c>
      <c r="E5302" s="12" t="inlineStr"/>
      <c r="F5302" s="12" t="inlineStr">
        <is>
          <t>H2 20: 13.8 kV e-house</t>
        </is>
      </c>
      <c r="G5302" s="12" t="inlineStr">
        <is>
          <t>JB-H2 20: 13.8 kV e-h-SOL01</t>
        </is>
      </c>
      <c r="H5302" s="12" t="inlineStr">
        <is>
          <t>H2 20: 13.8 kV e-house</t>
        </is>
      </c>
      <c r="I5302" s="12" t="inlineStr">
        <is>
          <t>Control</t>
        </is>
      </c>
      <c r="J5302" s="12" t="inlineStr">
        <is>
          <t>ARMOR-X MC-HL 600 V control, Cu #14 AWG (Class I Div 2)</t>
        </is>
      </c>
      <c r="K5302" s="12" t="inlineStr">
        <is>
          <t>CTAX|25/C|14</t>
        </is>
      </c>
      <c r="L5302" s="12" t="inlineStr">
        <is>
          <t>25/C</t>
        </is>
      </c>
      <c r="M5302" s="12" t="inlineStr">
        <is>
          <t>14</t>
        </is>
      </c>
      <c r="N5302" s="12" t="n">
        <v>1</v>
      </c>
      <c r="O5302" s="12" t="n">
        <v>1</v>
      </c>
      <c r="P5302" s="12" t="n"/>
      <c r="Q5302" s="12" t="n"/>
      <c r="R5302" s="12" t="n"/>
      <c r="S5302" s="12" t="inlineStr">
        <is>
          <t>Tray</t>
        </is>
      </c>
      <c r="T5302" s="15" t="n">
        <v>0</v>
      </c>
      <c r="U5302" s="15" t="n">
        <v>32</v>
      </c>
      <c r="V5302" s="15">
        <f>ROUNDUP((T5302+U5302+2*'Read Me'!$B$13)*(1+'Read Me'!$B$12),-1)</f>
        <v/>
      </c>
      <c r="W5302" s="15">
        <f>V5302*N5302*O5302</f>
        <v/>
      </c>
      <c r="X5302" s="12">
        <f>IF(LEFT(I5302,2)="MV",2*N5302*IF(L5302="1/C",O5302,1),0)</f>
        <v/>
      </c>
      <c r="Y5302" s="12">
        <f>IF(OR(LEFT(K5302,4)="LVAX",LEFT(K5302,6)="MV15AX",LEFT(K5302,4)="CTAX",LEFT(K5302,2)="W|"),2*N5302*O5302,0)</f>
        <v/>
      </c>
      <c r="Z5302" s="12" t="inlineStr"/>
      <c r="AA5302" s="12">
        <f>N5302*O5302</f>
        <v/>
      </c>
    </row>
    <row r="5303">
      <c r="A5303" s="12" t="inlineStr">
        <is>
          <t>K-C-0007</t>
        </is>
      </c>
      <c r="B5303" s="12" t="inlineStr">
        <is>
          <t>K</t>
        </is>
      </c>
      <c r="C5303" s="12" t="inlineStr">
        <is>
          <t>Fuel supply (adjacent market)</t>
        </is>
      </c>
      <c r="D5303" s="12" t="inlineStr">
        <is>
          <t>Motor 1 of 1: control / local station</t>
        </is>
      </c>
      <c r="E5303" s="12" t="inlineStr"/>
      <c r="F5303" s="12" t="inlineStr">
        <is>
          <t>H2 20: 13.8 kV e-house</t>
        </is>
      </c>
      <c r="G5303" s="12" t="inlineStr"/>
      <c r="H5303" s="12" t="inlineStr">
        <is>
          <t>H2 21: rectifier transformer 1 (7 MVA)</t>
        </is>
      </c>
      <c r="I5303" s="12" t="inlineStr">
        <is>
          <t>Control</t>
        </is>
      </c>
      <c r="J5303" s="12" t="inlineStr">
        <is>
          <t>ARMOR-X MC-HL 600 V control, Cu #14 AWG (Class I Div 2)</t>
        </is>
      </c>
      <c r="K5303" s="12" t="inlineStr">
        <is>
          <t>CTAX|7/C|14</t>
        </is>
      </c>
      <c r="L5303" s="12" t="inlineStr">
        <is>
          <t>7/C</t>
        </is>
      </c>
      <c r="M5303" s="12" t="inlineStr">
        <is>
          <t>14</t>
        </is>
      </c>
      <c r="N5303" s="12" t="n">
        <v>1</v>
      </c>
      <c r="O5303" s="12" t="n">
        <v>1</v>
      </c>
      <c r="P5303" s="12" t="n"/>
      <c r="Q5303" s="12" t="n"/>
      <c r="R5303" s="12" t="n"/>
      <c r="S5303" s="12" t="inlineStr">
        <is>
          <t>Duct bank</t>
        </is>
      </c>
      <c r="T5303" s="15" t="n">
        <v>348</v>
      </c>
      <c r="U5303" s="15" t="n">
        <v>48</v>
      </c>
      <c r="V5303" s="15">
        <f>ROUNDUP((T5303+U5303+2*'Read Me'!$B$13)*(1+'Read Me'!$B$12),-1)</f>
        <v/>
      </c>
      <c r="W5303" s="15">
        <f>V5303*N5303*O5303</f>
        <v/>
      </c>
      <c r="X5303" s="12">
        <f>IF(LEFT(I5303,2)="MV",2*N5303*IF(L5303="1/C",O5303,1),0)</f>
        <v/>
      </c>
      <c r="Y5303" s="12">
        <f>IF(OR(LEFT(K5303,4)="LVAX",LEFT(K5303,6)="MV15AX",LEFT(K5303,4)="CTAX",LEFT(K5303,2)="W|"),2*N5303*O5303,0)</f>
        <v/>
      </c>
      <c r="Z5303" s="12" t="inlineStr"/>
      <c r="AA5303" s="12">
        <f>N5303*O5303</f>
        <v/>
      </c>
    </row>
    <row r="5304">
      <c r="A5304" s="12" t="inlineStr">
        <is>
          <t>K-C-0008</t>
        </is>
      </c>
      <c r="B5304" s="12" t="inlineStr">
        <is>
          <t>K</t>
        </is>
      </c>
      <c r="C5304" s="12" t="inlineStr">
        <is>
          <t>Fuel supply (adjacent market)</t>
        </is>
      </c>
      <c r="D5304" s="12" t="inlineStr">
        <is>
          <t>Solenoid to JB JB-H2 21: rectifier t-SOL01: 2 x 2/C (field cables)</t>
        </is>
      </c>
      <c r="E5304" s="12" t="inlineStr"/>
      <c r="F5304" s="12" t="inlineStr">
        <is>
          <t>H2 21: rectifier transformer 1 (7 MVA)</t>
        </is>
      </c>
      <c r="G5304" s="12" t="inlineStr">
        <is>
          <t>JB-H2 21: rectifier t-SOL01</t>
        </is>
      </c>
      <c r="H5304" s="12" t="inlineStr">
        <is>
          <t>H2 21: rectifier transformer 1 (7 MVA)</t>
        </is>
      </c>
      <c r="I5304" s="12" t="inlineStr">
        <is>
          <t>Control</t>
        </is>
      </c>
      <c r="J5304" s="12" t="inlineStr">
        <is>
          <t>ARMOR-X MC-HL 600 V control, Cu #14 AWG (Class I Div 2)</t>
        </is>
      </c>
      <c r="K5304" s="12" t="inlineStr">
        <is>
          <t>CTAX|2/C|14</t>
        </is>
      </c>
      <c r="L5304" s="12" t="inlineStr">
        <is>
          <t>2/C</t>
        </is>
      </c>
      <c r="M5304" s="12" t="inlineStr">
        <is>
          <t>14</t>
        </is>
      </c>
      <c r="N5304" s="12" t="n">
        <v>2</v>
      </c>
      <c r="O5304" s="12" t="n">
        <v>1</v>
      </c>
      <c r="P5304" s="12" t="n"/>
      <c r="Q5304" s="12" t="n"/>
      <c r="R5304" s="12" t="n"/>
      <c r="S5304" s="12" t="inlineStr">
        <is>
          <t>Tray / conduit</t>
        </is>
      </c>
      <c r="T5304" s="15" t="n">
        <v>41</v>
      </c>
      <c r="U5304" s="15" t="n">
        <v>10</v>
      </c>
      <c r="V5304" s="15">
        <f>ROUNDUP((T5304+U5304+2*'Read Me'!$B$13)*(1+'Read Me'!$B$12),-1)</f>
        <v/>
      </c>
      <c r="W5304" s="15">
        <f>V5304*N5304*O5304</f>
        <v/>
      </c>
      <c r="X5304" s="12">
        <f>IF(LEFT(I5304,2)="MV",2*N5304*IF(L5304="1/C",O5304,1),0)</f>
        <v/>
      </c>
      <c r="Y5304" s="12">
        <f>IF(OR(LEFT(K5304,4)="LVAX",LEFT(K5304,6)="MV15AX",LEFT(K5304,4)="CTAX",LEFT(K5304,2)="W|"),2*N5304*O5304,0)</f>
        <v/>
      </c>
      <c r="Z5304" s="12" t="inlineStr">
        <is>
          <t>device-to-JB field wiring, one cable per device</t>
        </is>
      </c>
      <c r="AA5304" s="12">
        <f>N5304*O5304</f>
        <v/>
      </c>
    </row>
    <row r="5305">
      <c r="A5305" s="12" t="inlineStr">
        <is>
          <t>K-C-0009</t>
        </is>
      </c>
      <c r="B5305" s="12" t="inlineStr">
        <is>
          <t>K</t>
        </is>
      </c>
      <c r="C5305" s="12" t="inlineStr">
        <is>
          <t>Fuel supply (adjacent market)</t>
        </is>
      </c>
      <c r="D5305" s="12" t="inlineStr">
        <is>
          <t>Home run JB-H2 21: rectifier t-SOL01 to the control / marshalling room</t>
        </is>
      </c>
      <c r="E5305" s="12" t="inlineStr"/>
      <c r="F5305" s="12" t="inlineStr">
        <is>
          <t>H2 20: 13.8 kV e-house</t>
        </is>
      </c>
      <c r="G5305" s="12" t="inlineStr">
        <is>
          <t>JB-H2 21: rectifier t-SOL01</t>
        </is>
      </c>
      <c r="H5305" s="12" t="inlineStr">
        <is>
          <t>H2 21: rectifier transformer 1 (7 MVA)</t>
        </is>
      </c>
      <c r="I5305" s="12" t="inlineStr">
        <is>
          <t>Control</t>
        </is>
      </c>
      <c r="J5305" s="12" t="inlineStr">
        <is>
          <t>ARMOR-X MC-HL 600 V control, Cu #14 AWG (Class I Div 2)</t>
        </is>
      </c>
      <c r="K5305" s="12" t="inlineStr">
        <is>
          <t>CTAX|25/C|14</t>
        </is>
      </c>
      <c r="L5305" s="12" t="inlineStr">
        <is>
          <t>25/C</t>
        </is>
      </c>
      <c r="M5305" s="12" t="inlineStr">
        <is>
          <t>14</t>
        </is>
      </c>
      <c r="N5305" s="12" t="n">
        <v>1</v>
      </c>
      <c r="O5305" s="12" t="n">
        <v>1</v>
      </c>
      <c r="P5305" s="12" t="n"/>
      <c r="Q5305" s="12" t="n"/>
      <c r="R5305" s="12" t="n"/>
      <c r="S5305" s="12" t="inlineStr">
        <is>
          <t>Duct bank</t>
        </is>
      </c>
      <c r="T5305" s="15" t="n">
        <v>348</v>
      </c>
      <c r="U5305" s="15" t="n">
        <v>48</v>
      </c>
      <c r="V5305" s="15">
        <f>ROUNDUP((T5305+U5305+2*'Read Me'!$B$13)*(1+'Read Me'!$B$12),-1)</f>
        <v/>
      </c>
      <c r="W5305" s="15">
        <f>V5305*N5305*O5305</f>
        <v/>
      </c>
      <c r="X5305" s="12">
        <f>IF(LEFT(I5305,2)="MV",2*N5305*IF(L5305="1/C",O5305,1),0)</f>
        <v/>
      </c>
      <c r="Y5305" s="12">
        <f>IF(OR(LEFT(K5305,4)="LVAX",LEFT(K5305,6)="MV15AX",LEFT(K5305,4)="CTAX",LEFT(K5305,2)="W|"),2*N5305*O5305,0)</f>
        <v/>
      </c>
      <c r="Z5305" s="12" t="inlineStr"/>
      <c r="AA5305" s="12">
        <f>N5305*O5305</f>
        <v/>
      </c>
    </row>
    <row r="5306">
      <c r="A5306" s="12" t="inlineStr">
        <is>
          <t>K-C-0010</t>
        </is>
      </c>
      <c r="B5306" s="12" t="inlineStr">
        <is>
          <t>K</t>
        </is>
      </c>
      <c r="C5306" s="12" t="inlineStr">
        <is>
          <t>Fuel supply (adjacent market)</t>
        </is>
      </c>
      <c r="D5306" s="12" t="inlineStr">
        <is>
          <t>Control</t>
        </is>
      </c>
      <c r="E5306" s="12" t="inlineStr"/>
      <c r="F5306" s="12" t="inlineStr">
        <is>
          <t>H2 20: 13.8 kV e-house</t>
        </is>
      </c>
      <c r="G5306" s="12" t="inlineStr"/>
      <c r="H5306" s="12" t="inlineStr">
        <is>
          <t>H2 21: rectifier transformer 1 (7 MVA)</t>
        </is>
      </c>
      <c r="I5306" s="12" t="inlineStr">
        <is>
          <t>Control</t>
        </is>
      </c>
      <c r="J5306" s="12" t="inlineStr">
        <is>
          <t>ARMOR-X MC-HL 600 V control, Cu #14 AWG (Class I Div 2)</t>
        </is>
      </c>
      <c r="K5306" s="12" t="inlineStr">
        <is>
          <t>CTAX|7/C|14</t>
        </is>
      </c>
      <c r="L5306" s="12" t="inlineStr">
        <is>
          <t>7/C</t>
        </is>
      </c>
      <c r="M5306" s="12" t="inlineStr">
        <is>
          <t>14</t>
        </is>
      </c>
      <c r="N5306" s="12" t="n">
        <v>1</v>
      </c>
      <c r="O5306" s="12" t="n">
        <v>1</v>
      </c>
      <c r="P5306" s="12" t="n"/>
      <c r="Q5306" s="12" t="n"/>
      <c r="R5306" s="12" t="n"/>
      <c r="S5306" s="12" t="inlineStr">
        <is>
          <t>Duct bank</t>
        </is>
      </c>
      <c r="T5306" s="15" t="n">
        <v>348</v>
      </c>
      <c r="U5306" s="15" t="n">
        <v>48</v>
      </c>
      <c r="V5306" s="15">
        <f>ROUNDUP((T5306+U5306+2*'Read Me'!$B$13)*(1+'Read Me'!$B$12),-1)</f>
        <v/>
      </c>
      <c r="W5306" s="15">
        <f>V5306*N5306*O5306</f>
        <v/>
      </c>
      <c r="X5306" s="12">
        <f>IF(LEFT(I5306,2)="MV",2*N5306*IF(L5306="1/C",O5306,1),0)</f>
        <v/>
      </c>
      <c r="Y5306" s="12">
        <f>IF(OR(LEFT(K5306,4)="LVAX",LEFT(K5306,6)="MV15AX",LEFT(K5306,4)="CTAX",LEFT(K5306,2)="W|"),2*N5306*O5306,0)</f>
        <v/>
      </c>
      <c r="Z5306" s="12" t="inlineStr"/>
      <c r="AA5306" s="12">
        <f>N5306*O5306</f>
        <v/>
      </c>
    </row>
    <row r="5307">
      <c r="A5307" s="12" t="inlineStr">
        <is>
          <t>K-C-0011</t>
        </is>
      </c>
      <c r="B5307" s="12" t="inlineStr">
        <is>
          <t>K</t>
        </is>
      </c>
      <c r="C5307" s="12" t="inlineStr">
        <is>
          <t>Fuel supply (adjacent market)</t>
        </is>
      </c>
      <c r="D5307" s="12" t="inlineStr">
        <is>
          <t>Control</t>
        </is>
      </c>
      <c r="E5307" s="12" t="inlineStr"/>
      <c r="F5307" s="12" t="inlineStr">
        <is>
          <t>H2 20: 13.8 kV e-house</t>
        </is>
      </c>
      <c r="G5307" s="12" t="inlineStr"/>
      <c r="H5307" s="12" t="inlineStr">
        <is>
          <t>H2 21: rectifier transformer 1 (7 MVA)</t>
        </is>
      </c>
      <c r="I5307" s="12" t="inlineStr">
        <is>
          <t>Control</t>
        </is>
      </c>
      <c r="J5307" s="12" t="inlineStr">
        <is>
          <t>ARMOR-X MC-HL 600 V control, Cu #14 AWG (Class I Div 2)</t>
        </is>
      </c>
      <c r="K5307" s="12" t="inlineStr">
        <is>
          <t>CTAX|12/C|14</t>
        </is>
      </c>
      <c r="L5307" s="12" t="inlineStr">
        <is>
          <t>12/C</t>
        </is>
      </c>
      <c r="M5307" s="12" t="inlineStr">
        <is>
          <t>14</t>
        </is>
      </c>
      <c r="N5307" s="12" t="n">
        <v>1</v>
      </c>
      <c r="O5307" s="12" t="n">
        <v>1</v>
      </c>
      <c r="P5307" s="12" t="n"/>
      <c r="Q5307" s="12" t="n"/>
      <c r="R5307" s="12" t="n"/>
      <c r="S5307" s="12" t="inlineStr">
        <is>
          <t>Duct bank</t>
        </is>
      </c>
      <c r="T5307" s="15" t="n">
        <v>348</v>
      </c>
      <c r="U5307" s="15" t="n">
        <v>48</v>
      </c>
      <c r="V5307" s="15">
        <f>ROUNDUP((T5307+U5307+2*'Read Me'!$B$13)*(1+'Read Me'!$B$12),-1)</f>
        <v/>
      </c>
      <c r="W5307" s="15">
        <f>V5307*N5307*O5307</f>
        <v/>
      </c>
      <c r="X5307" s="12">
        <f>IF(LEFT(I5307,2)="MV",2*N5307*IF(L5307="1/C",O5307,1),0)</f>
        <v/>
      </c>
      <c r="Y5307" s="12">
        <f>IF(OR(LEFT(K5307,4)="LVAX",LEFT(K5307,6)="MV15AX",LEFT(K5307,4)="CTAX",LEFT(K5307,2)="W|"),2*N5307*O5307,0)</f>
        <v/>
      </c>
      <c r="Z5307" s="12" t="inlineStr"/>
      <c r="AA5307" s="12">
        <f>N5307*O5307</f>
        <v/>
      </c>
    </row>
    <row r="5308">
      <c r="A5308" s="12" t="inlineStr">
        <is>
          <t>K-C-0012</t>
        </is>
      </c>
      <c r="B5308" s="12" t="inlineStr">
        <is>
          <t>K</t>
        </is>
      </c>
      <c r="C5308" s="12" t="inlineStr">
        <is>
          <t>Fuel supply (adjacent market)</t>
        </is>
      </c>
      <c r="D5308" s="12" t="inlineStr">
        <is>
          <t>CT / VT</t>
        </is>
      </c>
      <c r="E5308" s="12" t="inlineStr"/>
      <c r="F5308" s="12" t="inlineStr">
        <is>
          <t>H2 20: 13.8 kV e-house</t>
        </is>
      </c>
      <c r="G5308" s="12" t="inlineStr"/>
      <c r="H5308" s="12" t="inlineStr">
        <is>
          <t>H2 21: rectifier transformer 1 (7 MVA)</t>
        </is>
      </c>
      <c r="I5308" s="12" t="inlineStr">
        <is>
          <t>Control</t>
        </is>
      </c>
      <c r="J5308" s="12" t="inlineStr">
        <is>
          <t>Control cable 600 V Type TC-ER, Cu #10 AWG (CT / VT circuits)</t>
        </is>
      </c>
      <c r="K5308" s="12" t="inlineStr">
        <is>
          <t>CTCT|4/C|10</t>
        </is>
      </c>
      <c r="L5308" s="12" t="inlineStr">
        <is>
          <t>4/C</t>
        </is>
      </c>
      <c r="M5308" s="12" t="inlineStr">
        <is>
          <t>10</t>
        </is>
      </c>
      <c r="N5308" s="12" t="n">
        <v>1</v>
      </c>
      <c r="O5308" s="12" t="n">
        <v>1</v>
      </c>
      <c r="P5308" s="12" t="n"/>
      <c r="Q5308" s="12" t="n"/>
      <c r="R5308" s="12" t="n"/>
      <c r="S5308" s="12" t="inlineStr">
        <is>
          <t>Duct bank</t>
        </is>
      </c>
      <c r="T5308" s="15" t="n">
        <v>348</v>
      </c>
      <c r="U5308" s="15" t="n">
        <v>48</v>
      </c>
      <c r="V5308" s="15">
        <f>ROUNDUP((T5308+U5308+2*'Read Me'!$B$13)*(1+'Read Me'!$B$12),-1)</f>
        <v/>
      </c>
      <c r="W5308" s="15">
        <f>V5308*N5308*O5308</f>
        <v/>
      </c>
      <c r="X5308" s="12">
        <f>IF(LEFT(I5308,2)="MV",2*N5308*IF(L5308="1/C",O5308,1),0)</f>
        <v/>
      </c>
      <c r="Y5308" s="12">
        <f>IF(OR(LEFT(K5308,4)="LVAX",LEFT(K5308,6)="MV15AX",LEFT(K5308,4)="CTAX",LEFT(K5308,2)="W|"),2*N5308*O5308,0)</f>
        <v/>
      </c>
      <c r="Z5308" s="12" t="inlineStr"/>
      <c r="AA5308" s="12">
        <f>N5308*O5308</f>
        <v/>
      </c>
    </row>
    <row r="5309">
      <c r="A5309" s="12" t="inlineStr">
        <is>
          <t>K-C-0013</t>
        </is>
      </c>
      <c r="B5309" s="12" t="inlineStr">
        <is>
          <t>K</t>
        </is>
      </c>
      <c r="C5309" s="12" t="inlineStr">
        <is>
          <t>Fuel supply (adjacent market)</t>
        </is>
      </c>
      <c r="D5309" s="12" t="inlineStr">
        <is>
          <t>CT / VT</t>
        </is>
      </c>
      <c r="E5309" s="12" t="inlineStr"/>
      <c r="F5309" s="12" t="inlineStr">
        <is>
          <t>H2 20: 13.8 kV e-house</t>
        </is>
      </c>
      <c r="G5309" s="12" t="inlineStr"/>
      <c r="H5309" s="12" t="inlineStr">
        <is>
          <t>H2 21: rectifier transformer 1 (7 MVA)</t>
        </is>
      </c>
      <c r="I5309" s="12" t="inlineStr">
        <is>
          <t>Control</t>
        </is>
      </c>
      <c r="J5309" s="12" t="inlineStr">
        <is>
          <t>Control cable 600 V Type TC-ER, Cu #10 AWG (CT / VT circuits)</t>
        </is>
      </c>
      <c r="K5309" s="12" t="inlineStr">
        <is>
          <t>CTCT|4/C|10</t>
        </is>
      </c>
      <c r="L5309" s="12" t="inlineStr">
        <is>
          <t>4/C</t>
        </is>
      </c>
      <c r="M5309" s="12" t="inlineStr">
        <is>
          <t>10</t>
        </is>
      </c>
      <c r="N5309" s="12" t="n">
        <v>1</v>
      </c>
      <c r="O5309" s="12" t="n">
        <v>1</v>
      </c>
      <c r="P5309" s="12" t="n"/>
      <c r="Q5309" s="12" t="n"/>
      <c r="R5309" s="12" t="n"/>
      <c r="S5309" s="12" t="inlineStr">
        <is>
          <t>Duct bank</t>
        </is>
      </c>
      <c r="T5309" s="15" t="n">
        <v>348</v>
      </c>
      <c r="U5309" s="15" t="n">
        <v>48</v>
      </c>
      <c r="V5309" s="15">
        <f>ROUNDUP((T5309+U5309+2*'Read Me'!$B$13)*(1+'Read Me'!$B$12),-1)</f>
        <v/>
      </c>
      <c r="W5309" s="15">
        <f>V5309*N5309*O5309</f>
        <v/>
      </c>
      <c r="X5309" s="12">
        <f>IF(LEFT(I5309,2)="MV",2*N5309*IF(L5309="1/C",O5309,1),0)</f>
        <v/>
      </c>
      <c r="Y5309" s="12">
        <f>IF(OR(LEFT(K5309,4)="LVAX",LEFT(K5309,6)="MV15AX",LEFT(K5309,4)="CTAX",LEFT(K5309,2)="W|"),2*N5309*O5309,0)</f>
        <v/>
      </c>
      <c r="Z5309" s="12" t="inlineStr"/>
      <c r="AA5309" s="12">
        <f>N5309*O5309</f>
        <v/>
      </c>
    </row>
    <row r="5310">
      <c r="A5310" s="12" t="inlineStr">
        <is>
          <t>K-C-0014</t>
        </is>
      </c>
      <c r="B5310" s="12" t="inlineStr">
        <is>
          <t>K</t>
        </is>
      </c>
      <c r="C5310" s="12" t="inlineStr">
        <is>
          <t>Fuel supply (adjacent market)</t>
        </is>
      </c>
      <c r="D5310" s="12" t="inlineStr">
        <is>
          <t>Motor 1 of 1: control / local station</t>
        </is>
      </c>
      <c r="E5310" s="12" t="inlineStr"/>
      <c r="F5310" s="12" t="inlineStr">
        <is>
          <t>H2 20: 13.8 kV e-house</t>
        </is>
      </c>
      <c r="G5310" s="12" t="inlineStr"/>
      <c r="H5310" s="12" t="inlineStr">
        <is>
          <t>H2 21: rectifier transformer 2 (7 MVA)</t>
        </is>
      </c>
      <c r="I5310" s="12" t="inlineStr">
        <is>
          <t>Control</t>
        </is>
      </c>
      <c r="J5310" s="12" t="inlineStr">
        <is>
          <t>ARMOR-X MC-HL 600 V control, Cu #14 AWG (Class I Div 2)</t>
        </is>
      </c>
      <c r="K5310" s="12" t="inlineStr">
        <is>
          <t>CTAX|7/C|14</t>
        </is>
      </c>
      <c r="L5310" s="12" t="inlineStr">
        <is>
          <t>7/C</t>
        </is>
      </c>
      <c r="M5310" s="12" t="inlineStr">
        <is>
          <t>14</t>
        </is>
      </c>
      <c r="N5310" s="12" t="n">
        <v>1</v>
      </c>
      <c r="O5310" s="12" t="n">
        <v>1</v>
      </c>
      <c r="P5310" s="12" t="n"/>
      <c r="Q5310" s="12" t="n"/>
      <c r="R5310" s="12" t="n"/>
      <c r="S5310" s="12" t="inlineStr">
        <is>
          <t>Duct bank</t>
        </is>
      </c>
      <c r="T5310" s="15" t="n">
        <v>348</v>
      </c>
      <c r="U5310" s="15" t="n">
        <v>32</v>
      </c>
      <c r="V5310" s="15">
        <f>ROUNDUP((T5310+U5310+2*'Read Me'!$B$13)*(1+'Read Me'!$B$12),-1)</f>
        <v/>
      </c>
      <c r="W5310" s="15">
        <f>V5310*N5310*O5310</f>
        <v/>
      </c>
      <c r="X5310" s="12">
        <f>IF(LEFT(I5310,2)="MV",2*N5310*IF(L5310="1/C",O5310,1),0)</f>
        <v/>
      </c>
      <c r="Y5310" s="12">
        <f>IF(OR(LEFT(K5310,4)="LVAX",LEFT(K5310,6)="MV15AX",LEFT(K5310,4)="CTAX",LEFT(K5310,2)="W|"),2*N5310*O5310,0)</f>
        <v/>
      </c>
      <c r="Z5310" s="12" t="inlineStr"/>
      <c r="AA5310" s="12">
        <f>N5310*O5310</f>
        <v/>
      </c>
    </row>
    <row r="5311">
      <c r="A5311" s="12" t="inlineStr">
        <is>
          <t>K-C-0015</t>
        </is>
      </c>
      <c r="B5311" s="12" t="inlineStr">
        <is>
          <t>K</t>
        </is>
      </c>
      <c r="C5311" s="12" t="inlineStr">
        <is>
          <t>Fuel supply (adjacent market)</t>
        </is>
      </c>
      <c r="D5311" s="12" t="inlineStr">
        <is>
          <t>Solenoid to JB JB-H2 21: rectifier t-SOL01: 2 x 2/C (field cables)</t>
        </is>
      </c>
      <c r="E5311" s="12" t="inlineStr"/>
      <c r="F5311" s="12" t="inlineStr">
        <is>
          <t>H2 21: rectifier transformer 2 (7 MVA)</t>
        </is>
      </c>
      <c r="G5311" s="12" t="inlineStr">
        <is>
          <t>JB-H2 21: rectifier t-SOL01</t>
        </is>
      </c>
      <c r="H5311" s="12" t="inlineStr">
        <is>
          <t>H2 21: rectifier transformer 2 (7 MVA)</t>
        </is>
      </c>
      <c r="I5311" s="12" t="inlineStr">
        <is>
          <t>Control</t>
        </is>
      </c>
      <c r="J5311" s="12" t="inlineStr">
        <is>
          <t>ARMOR-X MC-HL 600 V control, Cu #14 AWG (Class I Div 2)</t>
        </is>
      </c>
      <c r="K5311" s="12" t="inlineStr">
        <is>
          <t>CTAX|2/C|14</t>
        </is>
      </c>
      <c r="L5311" s="12" t="inlineStr">
        <is>
          <t>2/C</t>
        </is>
      </c>
      <c r="M5311" s="12" t="inlineStr">
        <is>
          <t>14</t>
        </is>
      </c>
      <c r="N5311" s="12" t="n">
        <v>2</v>
      </c>
      <c r="O5311" s="12" t="n">
        <v>1</v>
      </c>
      <c r="P5311" s="12" t="n"/>
      <c r="Q5311" s="12" t="n"/>
      <c r="R5311" s="12" t="n"/>
      <c r="S5311" s="12" t="inlineStr">
        <is>
          <t>Tray / conduit</t>
        </is>
      </c>
      <c r="T5311" s="15" t="n">
        <v>41</v>
      </c>
      <c r="U5311" s="15" t="n">
        <v>10</v>
      </c>
      <c r="V5311" s="15">
        <f>ROUNDUP((T5311+U5311+2*'Read Me'!$B$13)*(1+'Read Me'!$B$12),-1)</f>
        <v/>
      </c>
      <c r="W5311" s="15">
        <f>V5311*N5311*O5311</f>
        <v/>
      </c>
      <c r="X5311" s="12">
        <f>IF(LEFT(I5311,2)="MV",2*N5311*IF(L5311="1/C",O5311,1),0)</f>
        <v/>
      </c>
      <c r="Y5311" s="12">
        <f>IF(OR(LEFT(K5311,4)="LVAX",LEFT(K5311,6)="MV15AX",LEFT(K5311,4)="CTAX",LEFT(K5311,2)="W|"),2*N5311*O5311,0)</f>
        <v/>
      </c>
      <c r="Z5311" s="12" t="inlineStr">
        <is>
          <t>device-to-JB field wiring, one cable per device</t>
        </is>
      </c>
      <c r="AA5311" s="12">
        <f>N5311*O5311</f>
        <v/>
      </c>
    </row>
    <row r="5312">
      <c r="A5312" s="12" t="inlineStr">
        <is>
          <t>K-C-0016</t>
        </is>
      </c>
      <c r="B5312" s="12" t="inlineStr">
        <is>
          <t>K</t>
        </is>
      </c>
      <c r="C5312" s="12" t="inlineStr">
        <is>
          <t>Fuel supply (adjacent market)</t>
        </is>
      </c>
      <c r="D5312" s="12" t="inlineStr">
        <is>
          <t>Home run JB-H2 21: rectifier t-SOL01 to the control / marshalling room</t>
        </is>
      </c>
      <c r="E5312" s="12" t="inlineStr"/>
      <c r="F5312" s="12" t="inlineStr">
        <is>
          <t>H2 20: 13.8 kV e-house</t>
        </is>
      </c>
      <c r="G5312" s="12" t="inlineStr">
        <is>
          <t>JB-H2 21: rectifier t-SOL01</t>
        </is>
      </c>
      <c r="H5312" s="12" t="inlineStr">
        <is>
          <t>H2 21: rectifier transformer 2 (7 MVA)</t>
        </is>
      </c>
      <c r="I5312" s="12" t="inlineStr">
        <is>
          <t>Control</t>
        </is>
      </c>
      <c r="J5312" s="12" t="inlineStr">
        <is>
          <t>ARMOR-X MC-HL 600 V control, Cu #14 AWG (Class I Div 2)</t>
        </is>
      </c>
      <c r="K5312" s="12" t="inlineStr">
        <is>
          <t>CTAX|25/C|14</t>
        </is>
      </c>
      <c r="L5312" s="12" t="inlineStr">
        <is>
          <t>25/C</t>
        </is>
      </c>
      <c r="M5312" s="12" t="inlineStr">
        <is>
          <t>14</t>
        </is>
      </c>
      <c r="N5312" s="12" t="n">
        <v>1</v>
      </c>
      <c r="O5312" s="12" t="n">
        <v>1</v>
      </c>
      <c r="P5312" s="12" t="n"/>
      <c r="Q5312" s="12" t="n"/>
      <c r="R5312" s="12" t="n"/>
      <c r="S5312" s="12" t="inlineStr">
        <is>
          <t>Duct bank</t>
        </is>
      </c>
      <c r="T5312" s="15" t="n">
        <v>348</v>
      </c>
      <c r="U5312" s="15" t="n">
        <v>32</v>
      </c>
      <c r="V5312" s="15">
        <f>ROUNDUP((T5312+U5312+2*'Read Me'!$B$13)*(1+'Read Me'!$B$12),-1)</f>
        <v/>
      </c>
      <c r="W5312" s="15">
        <f>V5312*N5312*O5312</f>
        <v/>
      </c>
      <c r="X5312" s="12">
        <f>IF(LEFT(I5312,2)="MV",2*N5312*IF(L5312="1/C",O5312,1),0)</f>
        <v/>
      </c>
      <c r="Y5312" s="12">
        <f>IF(OR(LEFT(K5312,4)="LVAX",LEFT(K5312,6)="MV15AX",LEFT(K5312,4)="CTAX",LEFT(K5312,2)="W|"),2*N5312*O5312,0)</f>
        <v/>
      </c>
      <c r="Z5312" s="12" t="inlineStr"/>
      <c r="AA5312" s="12">
        <f>N5312*O5312</f>
        <v/>
      </c>
    </row>
    <row r="5313">
      <c r="A5313" s="12" t="inlineStr">
        <is>
          <t>K-C-0017</t>
        </is>
      </c>
      <c r="B5313" s="12" t="inlineStr">
        <is>
          <t>K</t>
        </is>
      </c>
      <c r="C5313" s="12" t="inlineStr">
        <is>
          <t>Fuel supply (adjacent market)</t>
        </is>
      </c>
      <c r="D5313" s="12" t="inlineStr">
        <is>
          <t>Control</t>
        </is>
      </c>
      <c r="E5313" s="12" t="inlineStr"/>
      <c r="F5313" s="12" t="inlineStr">
        <is>
          <t>H2 20: 13.8 kV e-house</t>
        </is>
      </c>
      <c r="G5313" s="12" t="inlineStr"/>
      <c r="H5313" s="12" t="inlineStr">
        <is>
          <t>H2 21: rectifier transformer 2 (7 MVA)</t>
        </is>
      </c>
      <c r="I5313" s="12" t="inlineStr">
        <is>
          <t>Control</t>
        </is>
      </c>
      <c r="J5313" s="12" t="inlineStr">
        <is>
          <t>ARMOR-X MC-HL 600 V control, Cu #14 AWG (Class I Div 2)</t>
        </is>
      </c>
      <c r="K5313" s="12" t="inlineStr">
        <is>
          <t>CTAX|7/C|14</t>
        </is>
      </c>
      <c r="L5313" s="12" t="inlineStr">
        <is>
          <t>7/C</t>
        </is>
      </c>
      <c r="M5313" s="12" t="inlineStr">
        <is>
          <t>14</t>
        </is>
      </c>
      <c r="N5313" s="12" t="n">
        <v>1</v>
      </c>
      <c r="O5313" s="12" t="n">
        <v>1</v>
      </c>
      <c r="P5313" s="12" t="n"/>
      <c r="Q5313" s="12" t="n"/>
      <c r="R5313" s="12" t="n"/>
      <c r="S5313" s="12" t="inlineStr">
        <is>
          <t>Duct bank</t>
        </is>
      </c>
      <c r="T5313" s="15" t="n">
        <v>348</v>
      </c>
      <c r="U5313" s="15" t="n">
        <v>32</v>
      </c>
      <c r="V5313" s="15">
        <f>ROUNDUP((T5313+U5313+2*'Read Me'!$B$13)*(1+'Read Me'!$B$12),-1)</f>
        <v/>
      </c>
      <c r="W5313" s="15">
        <f>V5313*N5313*O5313</f>
        <v/>
      </c>
      <c r="X5313" s="12">
        <f>IF(LEFT(I5313,2)="MV",2*N5313*IF(L5313="1/C",O5313,1),0)</f>
        <v/>
      </c>
      <c r="Y5313" s="12">
        <f>IF(OR(LEFT(K5313,4)="LVAX",LEFT(K5313,6)="MV15AX",LEFT(K5313,4)="CTAX",LEFT(K5313,2)="W|"),2*N5313*O5313,0)</f>
        <v/>
      </c>
      <c r="Z5313" s="12" t="inlineStr"/>
      <c r="AA5313" s="12">
        <f>N5313*O5313</f>
        <v/>
      </c>
    </row>
    <row r="5314">
      <c r="A5314" s="12" t="inlineStr">
        <is>
          <t>K-C-0018</t>
        </is>
      </c>
      <c r="B5314" s="12" t="inlineStr">
        <is>
          <t>K</t>
        </is>
      </c>
      <c r="C5314" s="12" t="inlineStr">
        <is>
          <t>Fuel supply (adjacent market)</t>
        </is>
      </c>
      <c r="D5314" s="12" t="inlineStr">
        <is>
          <t>Control</t>
        </is>
      </c>
      <c r="E5314" s="12" t="inlineStr"/>
      <c r="F5314" s="12" t="inlineStr">
        <is>
          <t>H2 20: 13.8 kV e-house</t>
        </is>
      </c>
      <c r="G5314" s="12" t="inlineStr"/>
      <c r="H5314" s="12" t="inlineStr">
        <is>
          <t>H2 21: rectifier transformer 2 (7 MVA)</t>
        </is>
      </c>
      <c r="I5314" s="12" t="inlineStr">
        <is>
          <t>Control</t>
        </is>
      </c>
      <c r="J5314" s="12" t="inlineStr">
        <is>
          <t>ARMOR-X MC-HL 600 V control, Cu #14 AWG (Class I Div 2)</t>
        </is>
      </c>
      <c r="K5314" s="12" t="inlineStr">
        <is>
          <t>CTAX|12/C|14</t>
        </is>
      </c>
      <c r="L5314" s="12" t="inlineStr">
        <is>
          <t>12/C</t>
        </is>
      </c>
      <c r="M5314" s="12" t="inlineStr">
        <is>
          <t>14</t>
        </is>
      </c>
      <c r="N5314" s="12" t="n">
        <v>1</v>
      </c>
      <c r="O5314" s="12" t="n">
        <v>1</v>
      </c>
      <c r="P5314" s="12" t="n"/>
      <c r="Q5314" s="12" t="n"/>
      <c r="R5314" s="12" t="n"/>
      <c r="S5314" s="12" t="inlineStr">
        <is>
          <t>Duct bank</t>
        </is>
      </c>
      <c r="T5314" s="15" t="n">
        <v>348</v>
      </c>
      <c r="U5314" s="15" t="n">
        <v>32</v>
      </c>
      <c r="V5314" s="15">
        <f>ROUNDUP((T5314+U5314+2*'Read Me'!$B$13)*(1+'Read Me'!$B$12),-1)</f>
        <v/>
      </c>
      <c r="W5314" s="15">
        <f>V5314*N5314*O5314</f>
        <v/>
      </c>
      <c r="X5314" s="12">
        <f>IF(LEFT(I5314,2)="MV",2*N5314*IF(L5314="1/C",O5314,1),0)</f>
        <v/>
      </c>
      <c r="Y5314" s="12">
        <f>IF(OR(LEFT(K5314,4)="LVAX",LEFT(K5314,6)="MV15AX",LEFT(K5314,4)="CTAX",LEFT(K5314,2)="W|"),2*N5314*O5314,0)</f>
        <v/>
      </c>
      <c r="Z5314" s="12" t="inlineStr"/>
      <c r="AA5314" s="12">
        <f>N5314*O5314</f>
        <v/>
      </c>
    </row>
    <row r="5315">
      <c r="A5315" s="12" t="inlineStr">
        <is>
          <t>K-C-0019</t>
        </is>
      </c>
      <c r="B5315" s="12" t="inlineStr">
        <is>
          <t>K</t>
        </is>
      </c>
      <c r="C5315" s="12" t="inlineStr">
        <is>
          <t>Fuel supply (adjacent market)</t>
        </is>
      </c>
      <c r="D5315" s="12" t="inlineStr">
        <is>
          <t>CT / VT</t>
        </is>
      </c>
      <c r="E5315" s="12" t="inlineStr"/>
      <c r="F5315" s="12" t="inlineStr">
        <is>
          <t>H2 20: 13.8 kV e-house</t>
        </is>
      </c>
      <c r="G5315" s="12" t="inlineStr"/>
      <c r="H5315" s="12" t="inlineStr">
        <is>
          <t>H2 21: rectifier transformer 2 (7 MVA)</t>
        </is>
      </c>
      <c r="I5315" s="12" t="inlineStr">
        <is>
          <t>Control</t>
        </is>
      </c>
      <c r="J5315" s="12" t="inlineStr">
        <is>
          <t>Control cable 600 V Type TC-ER, Cu #10 AWG (CT / VT circuits)</t>
        </is>
      </c>
      <c r="K5315" s="12" t="inlineStr">
        <is>
          <t>CTCT|4/C|10</t>
        </is>
      </c>
      <c r="L5315" s="12" t="inlineStr">
        <is>
          <t>4/C</t>
        </is>
      </c>
      <c r="M5315" s="12" t="inlineStr">
        <is>
          <t>10</t>
        </is>
      </c>
      <c r="N5315" s="12" t="n">
        <v>1</v>
      </c>
      <c r="O5315" s="12" t="n">
        <v>1</v>
      </c>
      <c r="P5315" s="12" t="n"/>
      <c r="Q5315" s="12" t="n"/>
      <c r="R5315" s="12" t="n"/>
      <c r="S5315" s="12" t="inlineStr">
        <is>
          <t>Duct bank</t>
        </is>
      </c>
      <c r="T5315" s="15" t="n">
        <v>348</v>
      </c>
      <c r="U5315" s="15" t="n">
        <v>32</v>
      </c>
      <c r="V5315" s="15">
        <f>ROUNDUP((T5315+U5315+2*'Read Me'!$B$13)*(1+'Read Me'!$B$12),-1)</f>
        <v/>
      </c>
      <c r="W5315" s="15">
        <f>V5315*N5315*O5315</f>
        <v/>
      </c>
      <c r="X5315" s="12">
        <f>IF(LEFT(I5315,2)="MV",2*N5315*IF(L5315="1/C",O5315,1),0)</f>
        <v/>
      </c>
      <c r="Y5315" s="12">
        <f>IF(OR(LEFT(K5315,4)="LVAX",LEFT(K5315,6)="MV15AX",LEFT(K5315,4)="CTAX",LEFT(K5315,2)="W|"),2*N5315*O5315,0)</f>
        <v/>
      </c>
      <c r="Z5315" s="12" t="inlineStr"/>
      <c r="AA5315" s="12">
        <f>N5315*O5315</f>
        <v/>
      </c>
    </row>
    <row r="5316">
      <c r="A5316" s="12" t="inlineStr">
        <is>
          <t>K-C-0020</t>
        </is>
      </c>
      <c r="B5316" s="12" t="inlineStr">
        <is>
          <t>K</t>
        </is>
      </c>
      <c r="C5316" s="12" t="inlineStr">
        <is>
          <t>Fuel supply (adjacent market)</t>
        </is>
      </c>
      <c r="D5316" s="12" t="inlineStr">
        <is>
          <t>CT / VT</t>
        </is>
      </c>
      <c r="E5316" s="12" t="inlineStr"/>
      <c r="F5316" s="12" t="inlineStr">
        <is>
          <t>H2 20: 13.8 kV e-house</t>
        </is>
      </c>
      <c r="G5316" s="12" t="inlineStr"/>
      <c r="H5316" s="12" t="inlineStr">
        <is>
          <t>H2 21: rectifier transformer 2 (7 MVA)</t>
        </is>
      </c>
      <c r="I5316" s="12" t="inlineStr">
        <is>
          <t>Control</t>
        </is>
      </c>
      <c r="J5316" s="12" t="inlineStr">
        <is>
          <t>Control cable 600 V Type TC-ER, Cu #10 AWG (CT / VT circuits)</t>
        </is>
      </c>
      <c r="K5316" s="12" t="inlineStr">
        <is>
          <t>CTCT|4/C|10</t>
        </is>
      </c>
      <c r="L5316" s="12" t="inlineStr">
        <is>
          <t>4/C</t>
        </is>
      </c>
      <c r="M5316" s="12" t="inlineStr">
        <is>
          <t>10</t>
        </is>
      </c>
      <c r="N5316" s="12" t="n">
        <v>1</v>
      </c>
      <c r="O5316" s="12" t="n">
        <v>1</v>
      </c>
      <c r="P5316" s="12" t="n"/>
      <c r="Q5316" s="12" t="n"/>
      <c r="R5316" s="12" t="n"/>
      <c r="S5316" s="12" t="inlineStr">
        <is>
          <t>Duct bank</t>
        </is>
      </c>
      <c r="T5316" s="15" t="n">
        <v>348</v>
      </c>
      <c r="U5316" s="15" t="n">
        <v>32</v>
      </c>
      <c r="V5316" s="15">
        <f>ROUNDUP((T5316+U5316+2*'Read Me'!$B$13)*(1+'Read Me'!$B$12),-1)</f>
        <v/>
      </c>
      <c r="W5316" s="15">
        <f>V5316*N5316*O5316</f>
        <v/>
      </c>
      <c r="X5316" s="12">
        <f>IF(LEFT(I5316,2)="MV",2*N5316*IF(L5316="1/C",O5316,1),0)</f>
        <v/>
      </c>
      <c r="Y5316" s="12">
        <f>IF(OR(LEFT(K5316,4)="LVAX",LEFT(K5316,6)="MV15AX",LEFT(K5316,4)="CTAX",LEFT(K5316,2)="W|"),2*N5316*O5316,0)</f>
        <v/>
      </c>
      <c r="Z5316" s="12" t="inlineStr"/>
      <c r="AA5316" s="12">
        <f>N5316*O5316</f>
        <v/>
      </c>
    </row>
    <row r="5317">
      <c r="A5317" s="12" t="inlineStr">
        <is>
          <t>K-C-0021</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21: rectifier transformer 3 (7 MVA)</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5" t="n">
        <v>321</v>
      </c>
      <c r="U5317" s="15" t="n">
        <v>32</v>
      </c>
      <c r="V5317" s="15">
        <f>ROUNDUP((T5317+U5317+2*'Read Me'!$B$13)*(1+'Read Me'!$B$12),-1)</f>
        <v/>
      </c>
      <c r="W5317" s="15">
        <f>V5317*N5317*O5317</f>
        <v/>
      </c>
      <c r="X5317" s="12">
        <f>IF(LEFT(I5317,2)="MV",2*N5317*IF(L5317="1/C",O5317,1),0)</f>
        <v/>
      </c>
      <c r="Y5317" s="12">
        <f>IF(OR(LEFT(K5317,4)="LVAX",LEFT(K5317,6)="MV15AX",LEFT(K5317,4)="CTAX",LEFT(K5317,2)="W|"),2*N5317*O5317,0)</f>
        <v/>
      </c>
      <c r="Z5317" s="12" t="inlineStr"/>
      <c r="AA5317" s="12">
        <f>N5317*O5317</f>
        <v/>
      </c>
    </row>
    <row r="5318">
      <c r="A5318" s="12" t="inlineStr">
        <is>
          <t>K-C-0022</t>
        </is>
      </c>
      <c r="B5318" s="12" t="inlineStr">
        <is>
          <t>K</t>
        </is>
      </c>
      <c r="C5318" s="12" t="inlineStr">
        <is>
          <t>Fuel supply (adjacent market)</t>
        </is>
      </c>
      <c r="D5318" s="12" t="inlineStr">
        <is>
          <t>Solenoid to JB JB-H2 21: rectifier t-SOL01: 2 x 2/C (field cables)</t>
        </is>
      </c>
      <c r="E5318" s="12" t="inlineStr"/>
      <c r="F5318" s="12" t="inlineStr">
        <is>
          <t>H2 21: rectifier transformer 3 (7 MVA)</t>
        </is>
      </c>
      <c r="G5318" s="12" t="inlineStr">
        <is>
          <t>JB-H2 21: rectifier t-SOL01</t>
        </is>
      </c>
      <c r="H5318" s="12" t="inlineStr">
        <is>
          <t>H2 21: rectifier transformer 3 (7 MVA)</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5" t="n">
        <v>41</v>
      </c>
      <c r="U5318" s="15" t="n">
        <v>10</v>
      </c>
      <c r="V5318" s="15">
        <f>ROUNDUP((T5318+U5318+2*'Read Me'!$B$13)*(1+'Read Me'!$B$12),-1)</f>
        <v/>
      </c>
      <c r="W5318" s="15">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K-C-0023</t>
        </is>
      </c>
      <c r="B5319" s="12" t="inlineStr">
        <is>
          <t>K</t>
        </is>
      </c>
      <c r="C5319" s="12" t="inlineStr">
        <is>
          <t>Fuel supply (adjacent market)</t>
        </is>
      </c>
      <c r="D5319" s="12" t="inlineStr">
        <is>
          <t>Home run JB-H2 21: rectifier t-SOL01 to the control / marshalling room</t>
        </is>
      </c>
      <c r="E5319" s="12" t="inlineStr"/>
      <c r="F5319" s="12" t="inlineStr">
        <is>
          <t>H2 20: 13.8 kV e-house</t>
        </is>
      </c>
      <c r="G5319" s="12" t="inlineStr">
        <is>
          <t>JB-H2 21: rectifier t-SOL01</t>
        </is>
      </c>
      <c r="H5319" s="12" t="inlineStr">
        <is>
          <t>H2 21: rectifier transformer 3 (7 MVA)</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5" t="n">
        <v>321</v>
      </c>
      <c r="U5319" s="15" t="n">
        <v>32</v>
      </c>
      <c r="V5319" s="15">
        <f>ROUNDUP((T5319+U5319+2*'Read Me'!$B$13)*(1+'Read Me'!$B$12),-1)</f>
        <v/>
      </c>
      <c r="W5319" s="15">
        <f>V5319*N5319*O5319</f>
        <v/>
      </c>
      <c r="X5319" s="12">
        <f>IF(LEFT(I5319,2)="MV",2*N5319*IF(L5319="1/C",O5319,1),0)</f>
        <v/>
      </c>
      <c r="Y5319" s="12">
        <f>IF(OR(LEFT(K5319,4)="LVAX",LEFT(K5319,6)="MV15AX",LEFT(K5319,4)="CTAX",LEFT(K5319,2)="W|"),2*N5319*O5319,0)</f>
        <v/>
      </c>
      <c r="Z5319" s="12" t="inlineStr"/>
      <c r="AA5319" s="12">
        <f>N5319*O5319</f>
        <v/>
      </c>
    </row>
    <row r="5320">
      <c r="A5320" s="12" t="inlineStr">
        <is>
          <t>K-C-0024</t>
        </is>
      </c>
      <c r="B5320" s="12" t="inlineStr">
        <is>
          <t>K</t>
        </is>
      </c>
      <c r="C5320" s="12" t="inlineStr">
        <is>
          <t>Fuel supply (adjacent market)</t>
        </is>
      </c>
      <c r="D5320" s="12" t="inlineStr">
        <is>
          <t>Control</t>
        </is>
      </c>
      <c r="E5320" s="12" t="inlineStr"/>
      <c r="F5320" s="12" t="inlineStr">
        <is>
          <t>H2 20: 13.8 kV e-house</t>
        </is>
      </c>
      <c r="G5320" s="12" t="inlineStr"/>
      <c r="H5320" s="12" t="inlineStr">
        <is>
          <t>H2 21: rectifier transformer 3 (7 MVA)</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5" t="n">
        <v>321</v>
      </c>
      <c r="U5320" s="15" t="n">
        <v>32</v>
      </c>
      <c r="V5320" s="15">
        <f>ROUNDUP((T5320+U5320+2*'Read Me'!$B$13)*(1+'Read Me'!$B$12),-1)</f>
        <v/>
      </c>
      <c r="W5320" s="15">
        <f>V5320*N5320*O5320</f>
        <v/>
      </c>
      <c r="X5320" s="12">
        <f>IF(LEFT(I5320,2)="MV",2*N5320*IF(L5320="1/C",O5320,1),0)</f>
        <v/>
      </c>
      <c r="Y5320" s="12">
        <f>IF(OR(LEFT(K5320,4)="LVAX",LEFT(K5320,6)="MV15AX",LEFT(K5320,4)="CTAX",LEFT(K5320,2)="W|"),2*N5320*O5320,0)</f>
        <v/>
      </c>
      <c r="Z5320" s="12" t="inlineStr"/>
      <c r="AA5320" s="12">
        <f>N5320*O5320</f>
        <v/>
      </c>
    </row>
    <row r="5321">
      <c r="A5321" s="12" t="inlineStr">
        <is>
          <t>K-C-0025</t>
        </is>
      </c>
      <c r="B5321" s="12" t="inlineStr">
        <is>
          <t>K</t>
        </is>
      </c>
      <c r="C5321" s="12" t="inlineStr">
        <is>
          <t>Fuel supply (adjacent market)</t>
        </is>
      </c>
      <c r="D5321" s="12" t="inlineStr">
        <is>
          <t>Control</t>
        </is>
      </c>
      <c r="E5321" s="12" t="inlineStr"/>
      <c r="F5321" s="12" t="inlineStr">
        <is>
          <t>H2 20: 13.8 kV e-house</t>
        </is>
      </c>
      <c r="G5321" s="12" t="inlineStr"/>
      <c r="H5321" s="12" t="inlineStr">
        <is>
          <t>H2 21: rectifier transformer 3 (7 MVA)</t>
        </is>
      </c>
      <c r="I5321" s="12" t="inlineStr">
        <is>
          <t>Control</t>
        </is>
      </c>
      <c r="J5321" s="12" t="inlineStr">
        <is>
          <t>ARMOR-X MC-HL 600 V control, Cu #14 AWG (Class I Div 2)</t>
        </is>
      </c>
      <c r="K5321" s="12" t="inlineStr">
        <is>
          <t>CTAX|12/C|14</t>
        </is>
      </c>
      <c r="L5321" s="12" t="inlineStr">
        <is>
          <t>12/C</t>
        </is>
      </c>
      <c r="M5321" s="12" t="inlineStr">
        <is>
          <t>14</t>
        </is>
      </c>
      <c r="N5321" s="12" t="n">
        <v>1</v>
      </c>
      <c r="O5321" s="12" t="n">
        <v>1</v>
      </c>
      <c r="P5321" s="12" t="n"/>
      <c r="Q5321" s="12" t="n"/>
      <c r="R5321" s="12" t="n"/>
      <c r="S5321" s="12" t="inlineStr">
        <is>
          <t>Duct bank</t>
        </is>
      </c>
      <c r="T5321" s="15" t="n">
        <v>321</v>
      </c>
      <c r="U5321" s="15" t="n">
        <v>32</v>
      </c>
      <c r="V5321" s="15">
        <f>ROUNDUP((T5321+U5321+2*'Read Me'!$B$13)*(1+'Read Me'!$B$12),-1)</f>
        <v/>
      </c>
      <c r="W5321" s="15">
        <f>V5321*N5321*O5321</f>
        <v/>
      </c>
      <c r="X5321" s="12">
        <f>IF(LEFT(I5321,2)="MV",2*N5321*IF(L5321="1/C",O5321,1),0)</f>
        <v/>
      </c>
      <c r="Y5321" s="12">
        <f>IF(OR(LEFT(K5321,4)="LVAX",LEFT(K5321,6)="MV15AX",LEFT(K5321,4)="CTAX",LEFT(K5321,2)="W|"),2*N5321*O5321,0)</f>
        <v/>
      </c>
      <c r="Z5321" s="12" t="inlineStr"/>
      <c r="AA5321" s="12">
        <f>N5321*O5321</f>
        <v/>
      </c>
    </row>
    <row r="5322">
      <c r="A5322" s="12" t="inlineStr">
        <is>
          <t>K-C-0026</t>
        </is>
      </c>
      <c r="B5322" s="12" t="inlineStr">
        <is>
          <t>K</t>
        </is>
      </c>
      <c r="C5322" s="12" t="inlineStr">
        <is>
          <t>Fuel supply (adjacent market)</t>
        </is>
      </c>
      <c r="D5322" s="12" t="inlineStr">
        <is>
          <t>CT / VT</t>
        </is>
      </c>
      <c r="E5322" s="12" t="inlineStr"/>
      <c r="F5322" s="12" t="inlineStr">
        <is>
          <t>H2 20: 13.8 kV e-house</t>
        </is>
      </c>
      <c r="G5322" s="12" t="inlineStr"/>
      <c r="H5322" s="12" t="inlineStr">
        <is>
          <t>H2 21: rectifier transformer 3 (7 MVA)</t>
        </is>
      </c>
      <c r="I5322" s="12" t="inlineStr">
        <is>
          <t>Control</t>
        </is>
      </c>
      <c r="J5322" s="12" t="inlineStr">
        <is>
          <t>Control cable 600 V Type TC-ER, Cu #10 AWG (CT / VT circuits)</t>
        </is>
      </c>
      <c r="K5322" s="12" t="inlineStr">
        <is>
          <t>CTCT|4/C|10</t>
        </is>
      </c>
      <c r="L5322" s="12" t="inlineStr">
        <is>
          <t>4/C</t>
        </is>
      </c>
      <c r="M5322" s="12" t="inlineStr">
        <is>
          <t>10</t>
        </is>
      </c>
      <c r="N5322" s="12" t="n">
        <v>1</v>
      </c>
      <c r="O5322" s="12" t="n">
        <v>1</v>
      </c>
      <c r="P5322" s="12" t="n"/>
      <c r="Q5322" s="12" t="n"/>
      <c r="R5322" s="12" t="n"/>
      <c r="S5322" s="12" t="inlineStr">
        <is>
          <t>Duct bank</t>
        </is>
      </c>
      <c r="T5322" s="15" t="n">
        <v>321</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c r="AA5322" s="12">
        <f>N5322*O5322</f>
        <v/>
      </c>
    </row>
    <row r="5323">
      <c r="A5323" s="12" t="inlineStr">
        <is>
          <t>K-C-0027</t>
        </is>
      </c>
      <c r="B5323" s="12" t="inlineStr">
        <is>
          <t>K</t>
        </is>
      </c>
      <c r="C5323" s="12" t="inlineStr">
        <is>
          <t>Fuel supply (adjacent market)</t>
        </is>
      </c>
      <c r="D5323" s="12" t="inlineStr">
        <is>
          <t>CT / VT</t>
        </is>
      </c>
      <c r="E5323" s="12" t="inlineStr"/>
      <c r="F5323" s="12" t="inlineStr">
        <is>
          <t>H2 20: 13.8 kV e-house</t>
        </is>
      </c>
      <c r="G5323" s="12" t="inlineStr"/>
      <c r="H5323" s="12" t="inlineStr">
        <is>
          <t>H2 21: rectifier transformer 3 (7 MVA)</t>
        </is>
      </c>
      <c r="I5323" s="12" t="inlineStr">
        <is>
          <t>Control</t>
        </is>
      </c>
      <c r="J5323" s="12" t="inlineStr">
        <is>
          <t>Control cable 600 V Type TC-ER, Cu #10 AWG (CT / VT circuits)</t>
        </is>
      </c>
      <c r="K5323" s="12" t="inlineStr">
        <is>
          <t>CTCT|4/C|10</t>
        </is>
      </c>
      <c r="L5323" s="12" t="inlineStr">
        <is>
          <t>4/C</t>
        </is>
      </c>
      <c r="M5323" s="12" t="inlineStr">
        <is>
          <t>10</t>
        </is>
      </c>
      <c r="N5323" s="12" t="n">
        <v>1</v>
      </c>
      <c r="O5323" s="12" t="n">
        <v>1</v>
      </c>
      <c r="P5323" s="12" t="n"/>
      <c r="Q5323" s="12" t="n"/>
      <c r="R5323" s="12" t="n"/>
      <c r="S5323" s="12" t="inlineStr">
        <is>
          <t>Duct bank</t>
        </is>
      </c>
      <c r="T5323" s="15" t="n">
        <v>321</v>
      </c>
      <c r="U5323" s="15" t="n">
        <v>32</v>
      </c>
      <c r="V5323" s="15">
        <f>ROUNDUP((T5323+U5323+2*'Read Me'!$B$13)*(1+'Read Me'!$B$12),-1)</f>
        <v/>
      </c>
      <c r="W5323" s="15">
        <f>V5323*N5323*O5323</f>
        <v/>
      </c>
      <c r="X5323" s="12">
        <f>IF(LEFT(I5323,2)="MV",2*N5323*IF(L5323="1/C",O5323,1),0)</f>
        <v/>
      </c>
      <c r="Y5323" s="12">
        <f>IF(OR(LEFT(K5323,4)="LVAX",LEFT(K5323,6)="MV15AX",LEFT(K5323,4)="CTAX",LEFT(K5323,2)="W|"),2*N5323*O5323,0)</f>
        <v/>
      </c>
      <c r="Z5323" s="12" t="inlineStr"/>
      <c r="AA5323" s="12">
        <f>N5323*O5323</f>
        <v/>
      </c>
    </row>
    <row r="5324">
      <c r="A5324" s="12" t="inlineStr">
        <is>
          <t>K-C-0028</t>
        </is>
      </c>
      <c r="B5324" s="12" t="inlineStr">
        <is>
          <t>K</t>
        </is>
      </c>
      <c r="C5324" s="12" t="inlineStr">
        <is>
          <t>Fuel supply (adjacent market)</t>
        </is>
      </c>
      <c r="D5324" s="12" t="inlineStr">
        <is>
          <t>Motor 1 of 1: control / local station</t>
        </is>
      </c>
      <c r="E5324" s="12" t="inlineStr"/>
      <c r="F5324" s="12" t="inlineStr">
        <is>
          <t>H2 20: 13.8 kV e-house</t>
        </is>
      </c>
      <c r="G5324" s="12" t="inlineStr"/>
      <c r="H5324" s="12" t="inlineStr">
        <is>
          <t>H2 21: rectifier transformer 4 (7 MVA)</t>
        </is>
      </c>
      <c r="I5324" s="12" t="inlineStr">
        <is>
          <t>Control</t>
        </is>
      </c>
      <c r="J5324" s="12" t="inlineStr">
        <is>
          <t>ARMOR-X MC-HL 600 V control, Cu #14 AWG (Class I Div 2)</t>
        </is>
      </c>
      <c r="K5324" s="12" t="inlineStr">
        <is>
          <t>CTAX|7/C|14</t>
        </is>
      </c>
      <c r="L5324" s="12" t="inlineStr">
        <is>
          <t>7/C</t>
        </is>
      </c>
      <c r="M5324" s="12" t="inlineStr">
        <is>
          <t>14</t>
        </is>
      </c>
      <c r="N5324" s="12" t="n">
        <v>1</v>
      </c>
      <c r="O5324" s="12" t="n">
        <v>1</v>
      </c>
      <c r="P5324" s="12" t="n"/>
      <c r="Q5324" s="12" t="n"/>
      <c r="R5324" s="12" t="n"/>
      <c r="S5324" s="12" t="inlineStr">
        <is>
          <t>Duct bank</t>
        </is>
      </c>
      <c r="T5324" s="15" t="n">
        <v>295</v>
      </c>
      <c r="U5324" s="15" t="n">
        <v>32</v>
      </c>
      <c r="V5324" s="15">
        <f>ROUNDUP((T5324+U5324+2*'Read Me'!$B$13)*(1+'Read Me'!$B$12),-1)</f>
        <v/>
      </c>
      <c r="W5324" s="15">
        <f>V5324*N5324*O5324</f>
        <v/>
      </c>
      <c r="X5324" s="12">
        <f>IF(LEFT(I5324,2)="MV",2*N5324*IF(L5324="1/C",O5324,1),0)</f>
        <v/>
      </c>
      <c r="Y5324" s="12">
        <f>IF(OR(LEFT(K5324,4)="LVAX",LEFT(K5324,6)="MV15AX",LEFT(K5324,4)="CTAX",LEFT(K5324,2)="W|"),2*N5324*O5324,0)</f>
        <v/>
      </c>
      <c r="Z5324" s="12" t="inlineStr"/>
      <c r="AA5324" s="12">
        <f>N5324*O5324</f>
        <v/>
      </c>
    </row>
    <row r="5325">
      <c r="A5325" s="12" t="inlineStr">
        <is>
          <t>K-C-0029</t>
        </is>
      </c>
      <c r="B5325" s="12" t="inlineStr">
        <is>
          <t>K</t>
        </is>
      </c>
      <c r="C5325" s="12" t="inlineStr">
        <is>
          <t>Fuel supply (adjacent market)</t>
        </is>
      </c>
      <c r="D5325" s="12" t="inlineStr">
        <is>
          <t>Solenoid to JB JB-H2 21: rectifier t-SOL01: 2 x 2/C (field cables)</t>
        </is>
      </c>
      <c r="E5325" s="12" t="inlineStr"/>
      <c r="F5325" s="12" t="inlineStr">
        <is>
          <t>H2 21: rectifier transformer 4 (7 MVA)</t>
        </is>
      </c>
      <c r="G5325" s="12" t="inlineStr">
        <is>
          <t>JB-H2 21: rectifier t-SOL01</t>
        </is>
      </c>
      <c r="H5325" s="12" t="inlineStr">
        <is>
          <t>H2 21: rectifier transformer 4 (7 MVA)</t>
        </is>
      </c>
      <c r="I5325" s="12" t="inlineStr">
        <is>
          <t>Control</t>
        </is>
      </c>
      <c r="J5325" s="12" t="inlineStr">
        <is>
          <t>ARMOR-X MC-HL 600 V control, Cu #14 AWG (Class I Div 2)</t>
        </is>
      </c>
      <c r="K5325" s="12" t="inlineStr">
        <is>
          <t>CTAX|2/C|14</t>
        </is>
      </c>
      <c r="L5325" s="12" t="inlineStr">
        <is>
          <t>2/C</t>
        </is>
      </c>
      <c r="M5325" s="12" t="inlineStr">
        <is>
          <t>14</t>
        </is>
      </c>
      <c r="N5325" s="12" t="n">
        <v>2</v>
      </c>
      <c r="O5325" s="12" t="n">
        <v>1</v>
      </c>
      <c r="P5325" s="12" t="n"/>
      <c r="Q5325" s="12" t="n"/>
      <c r="R5325" s="12" t="n"/>
      <c r="S5325" s="12" t="inlineStr">
        <is>
          <t>Tray / conduit</t>
        </is>
      </c>
      <c r="T5325" s="15" t="n">
        <v>41</v>
      </c>
      <c r="U5325" s="15" t="n">
        <v>10</v>
      </c>
      <c r="V5325" s="15">
        <f>ROUNDUP((T5325+U5325+2*'Read Me'!$B$13)*(1+'Read Me'!$B$12),-1)</f>
        <v/>
      </c>
      <c r="W5325" s="15">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K-C-0030</t>
        </is>
      </c>
      <c r="B5326" s="12" t="inlineStr">
        <is>
          <t>K</t>
        </is>
      </c>
      <c r="C5326" s="12" t="inlineStr">
        <is>
          <t>Fuel supply (adjacent market)</t>
        </is>
      </c>
      <c r="D5326" s="12" t="inlineStr">
        <is>
          <t>Home run JB-H2 21: rectifier t-SOL01 to the control / marshalling room</t>
        </is>
      </c>
      <c r="E5326" s="12" t="inlineStr"/>
      <c r="F5326" s="12" t="inlineStr">
        <is>
          <t>H2 20: 13.8 kV e-house</t>
        </is>
      </c>
      <c r="G5326" s="12" t="inlineStr">
        <is>
          <t>JB-H2 21: rectifier t-SOL01</t>
        </is>
      </c>
      <c r="H5326" s="12" t="inlineStr">
        <is>
          <t>H2 21: rectifier transformer 4 (7 MVA)</t>
        </is>
      </c>
      <c r="I5326" s="12" t="inlineStr">
        <is>
          <t>Control</t>
        </is>
      </c>
      <c r="J5326" s="12" t="inlineStr">
        <is>
          <t>ARMOR-X MC-HL 600 V control, Cu #14 AWG (Class I Div 2)</t>
        </is>
      </c>
      <c r="K5326" s="12" t="inlineStr">
        <is>
          <t>CTAX|25/C|14</t>
        </is>
      </c>
      <c r="L5326" s="12" t="inlineStr">
        <is>
          <t>25/C</t>
        </is>
      </c>
      <c r="M5326" s="12" t="inlineStr">
        <is>
          <t>14</t>
        </is>
      </c>
      <c r="N5326" s="12" t="n">
        <v>1</v>
      </c>
      <c r="O5326" s="12" t="n">
        <v>1</v>
      </c>
      <c r="P5326" s="12" t="n"/>
      <c r="Q5326" s="12" t="n"/>
      <c r="R5326" s="12" t="n"/>
      <c r="S5326" s="12" t="inlineStr">
        <is>
          <t>Duct bank</t>
        </is>
      </c>
      <c r="T5326" s="15" t="n">
        <v>295</v>
      </c>
      <c r="U5326" s="15" t="n">
        <v>32</v>
      </c>
      <c r="V5326" s="15">
        <f>ROUNDUP((T5326+U5326+2*'Read Me'!$B$13)*(1+'Read Me'!$B$12),-1)</f>
        <v/>
      </c>
      <c r="W5326" s="15">
        <f>V5326*N5326*O5326</f>
        <v/>
      </c>
      <c r="X5326" s="12">
        <f>IF(LEFT(I5326,2)="MV",2*N5326*IF(L5326="1/C",O5326,1),0)</f>
        <v/>
      </c>
      <c r="Y5326" s="12">
        <f>IF(OR(LEFT(K5326,4)="LVAX",LEFT(K5326,6)="MV15AX",LEFT(K5326,4)="CTAX",LEFT(K5326,2)="W|"),2*N5326*O5326,0)</f>
        <v/>
      </c>
      <c r="Z5326" s="12" t="inlineStr"/>
      <c r="AA5326" s="12">
        <f>N5326*O5326</f>
        <v/>
      </c>
    </row>
    <row r="5327">
      <c r="A5327" s="12" t="inlineStr">
        <is>
          <t>K-C-0031</t>
        </is>
      </c>
      <c r="B5327" s="12" t="inlineStr">
        <is>
          <t>K</t>
        </is>
      </c>
      <c r="C5327" s="12" t="inlineStr">
        <is>
          <t>Fuel supply (adjacent market)</t>
        </is>
      </c>
      <c r="D5327" s="12" t="inlineStr">
        <is>
          <t>Control</t>
        </is>
      </c>
      <c r="E5327" s="12" t="inlineStr"/>
      <c r="F5327" s="12" t="inlineStr">
        <is>
          <t>H2 20: 13.8 kV e-house</t>
        </is>
      </c>
      <c r="G5327" s="12" t="inlineStr"/>
      <c r="H5327" s="12" t="inlineStr">
        <is>
          <t>H2 21: rectifier transformer 4 (7 MVA)</t>
        </is>
      </c>
      <c r="I5327" s="12" t="inlineStr">
        <is>
          <t>Control</t>
        </is>
      </c>
      <c r="J5327" s="12" t="inlineStr">
        <is>
          <t>ARMOR-X MC-HL 600 V control, Cu #14 AWG (Class I Div 2)</t>
        </is>
      </c>
      <c r="K5327" s="12" t="inlineStr">
        <is>
          <t>CTAX|7/C|14</t>
        </is>
      </c>
      <c r="L5327" s="12" t="inlineStr">
        <is>
          <t>7/C</t>
        </is>
      </c>
      <c r="M5327" s="12" t="inlineStr">
        <is>
          <t>14</t>
        </is>
      </c>
      <c r="N5327" s="12" t="n">
        <v>1</v>
      </c>
      <c r="O5327" s="12" t="n">
        <v>1</v>
      </c>
      <c r="P5327" s="12" t="n"/>
      <c r="Q5327" s="12" t="n"/>
      <c r="R5327" s="12" t="n"/>
      <c r="S5327" s="12" t="inlineStr">
        <is>
          <t>Duct bank</t>
        </is>
      </c>
      <c r="T5327" s="15" t="n">
        <v>295</v>
      </c>
      <c r="U5327" s="15" t="n">
        <v>32</v>
      </c>
      <c r="V5327" s="15">
        <f>ROUNDUP((T5327+U5327+2*'Read Me'!$B$13)*(1+'Read Me'!$B$12),-1)</f>
        <v/>
      </c>
      <c r="W5327" s="15">
        <f>V5327*N5327*O5327</f>
        <v/>
      </c>
      <c r="X5327" s="12">
        <f>IF(LEFT(I5327,2)="MV",2*N5327*IF(L5327="1/C",O5327,1),0)</f>
        <v/>
      </c>
      <c r="Y5327" s="12">
        <f>IF(OR(LEFT(K5327,4)="LVAX",LEFT(K5327,6)="MV15AX",LEFT(K5327,4)="CTAX",LEFT(K5327,2)="W|"),2*N5327*O5327,0)</f>
        <v/>
      </c>
      <c r="Z5327" s="12" t="inlineStr"/>
      <c r="AA5327" s="12">
        <f>N5327*O5327</f>
        <v/>
      </c>
    </row>
    <row r="5328">
      <c r="A5328" s="12" t="inlineStr">
        <is>
          <t>K-C-0032</t>
        </is>
      </c>
      <c r="B5328" s="12" t="inlineStr">
        <is>
          <t>K</t>
        </is>
      </c>
      <c r="C5328" s="12" t="inlineStr">
        <is>
          <t>Fuel supply (adjacent market)</t>
        </is>
      </c>
      <c r="D5328" s="12" t="inlineStr">
        <is>
          <t>Control</t>
        </is>
      </c>
      <c r="E5328" s="12" t="inlineStr"/>
      <c r="F5328" s="12" t="inlineStr">
        <is>
          <t>H2 20: 13.8 kV e-house</t>
        </is>
      </c>
      <c r="G5328" s="12" t="inlineStr"/>
      <c r="H5328" s="12" t="inlineStr">
        <is>
          <t>H2 21: rectifier transformer 4 (7 MVA)</t>
        </is>
      </c>
      <c r="I5328" s="12" t="inlineStr">
        <is>
          <t>Control</t>
        </is>
      </c>
      <c r="J5328" s="12" t="inlineStr">
        <is>
          <t>ARMOR-X MC-HL 600 V control, Cu #14 AWG (Class I Div 2)</t>
        </is>
      </c>
      <c r="K5328" s="12" t="inlineStr">
        <is>
          <t>CTAX|12/C|14</t>
        </is>
      </c>
      <c r="L5328" s="12" t="inlineStr">
        <is>
          <t>12/C</t>
        </is>
      </c>
      <c r="M5328" s="12" t="inlineStr">
        <is>
          <t>14</t>
        </is>
      </c>
      <c r="N5328" s="12" t="n">
        <v>1</v>
      </c>
      <c r="O5328" s="12" t="n">
        <v>1</v>
      </c>
      <c r="P5328" s="12" t="n"/>
      <c r="Q5328" s="12" t="n"/>
      <c r="R5328" s="12" t="n"/>
      <c r="S5328" s="12" t="inlineStr">
        <is>
          <t>Duct bank</t>
        </is>
      </c>
      <c r="T5328" s="15" t="n">
        <v>295</v>
      </c>
      <c r="U5328" s="15" t="n">
        <v>32</v>
      </c>
      <c r="V5328" s="15">
        <f>ROUNDUP((T5328+U5328+2*'Read Me'!$B$13)*(1+'Read Me'!$B$12),-1)</f>
        <v/>
      </c>
      <c r="W5328" s="15">
        <f>V5328*N5328*O5328</f>
        <v/>
      </c>
      <c r="X5328" s="12">
        <f>IF(LEFT(I5328,2)="MV",2*N5328*IF(L5328="1/C",O5328,1),0)</f>
        <v/>
      </c>
      <c r="Y5328" s="12">
        <f>IF(OR(LEFT(K5328,4)="LVAX",LEFT(K5328,6)="MV15AX",LEFT(K5328,4)="CTAX",LEFT(K5328,2)="W|"),2*N5328*O5328,0)</f>
        <v/>
      </c>
      <c r="Z5328" s="12" t="inlineStr"/>
      <c r="AA5328" s="12">
        <f>N5328*O5328</f>
        <v/>
      </c>
    </row>
    <row r="5329">
      <c r="A5329" s="12" t="inlineStr">
        <is>
          <t>K-C-0033</t>
        </is>
      </c>
      <c r="B5329" s="12" t="inlineStr">
        <is>
          <t>K</t>
        </is>
      </c>
      <c r="C5329" s="12" t="inlineStr">
        <is>
          <t>Fuel supply (adjacent market)</t>
        </is>
      </c>
      <c r="D5329" s="12" t="inlineStr">
        <is>
          <t>CT / VT</t>
        </is>
      </c>
      <c r="E5329" s="12" t="inlineStr"/>
      <c r="F5329" s="12" t="inlineStr">
        <is>
          <t>H2 20: 13.8 kV e-house</t>
        </is>
      </c>
      <c r="G5329" s="12" t="inlineStr"/>
      <c r="H5329" s="12" t="inlineStr">
        <is>
          <t>H2 21: rectifier transformer 4 (7 MVA)</t>
        </is>
      </c>
      <c r="I5329" s="12" t="inlineStr">
        <is>
          <t>Control</t>
        </is>
      </c>
      <c r="J5329" s="12" t="inlineStr">
        <is>
          <t>Control cable 600 V Type TC-ER, Cu #10 AWG (CT / VT circuits)</t>
        </is>
      </c>
      <c r="K5329" s="12" t="inlineStr">
        <is>
          <t>CTCT|4/C|10</t>
        </is>
      </c>
      <c r="L5329" s="12" t="inlineStr">
        <is>
          <t>4/C</t>
        </is>
      </c>
      <c r="M5329" s="12" t="inlineStr">
        <is>
          <t>10</t>
        </is>
      </c>
      <c r="N5329" s="12" t="n">
        <v>1</v>
      </c>
      <c r="O5329" s="12" t="n">
        <v>1</v>
      </c>
      <c r="P5329" s="12" t="n"/>
      <c r="Q5329" s="12" t="n"/>
      <c r="R5329" s="12" t="n"/>
      <c r="S5329" s="12" t="inlineStr">
        <is>
          <t>Duct bank</t>
        </is>
      </c>
      <c r="T5329" s="15" t="n">
        <v>295</v>
      </c>
      <c r="U5329" s="15" t="n">
        <v>32</v>
      </c>
      <c r="V5329" s="15">
        <f>ROUNDUP((T5329+U5329+2*'Read Me'!$B$13)*(1+'Read Me'!$B$12),-1)</f>
        <v/>
      </c>
      <c r="W5329" s="15">
        <f>V5329*N5329*O5329</f>
        <v/>
      </c>
      <c r="X5329" s="12">
        <f>IF(LEFT(I5329,2)="MV",2*N5329*IF(L5329="1/C",O5329,1),0)</f>
        <v/>
      </c>
      <c r="Y5329" s="12">
        <f>IF(OR(LEFT(K5329,4)="LVAX",LEFT(K5329,6)="MV15AX",LEFT(K5329,4)="CTAX",LEFT(K5329,2)="W|"),2*N5329*O5329,0)</f>
        <v/>
      </c>
      <c r="Z5329" s="12" t="inlineStr"/>
      <c r="AA5329" s="12">
        <f>N5329*O5329</f>
        <v/>
      </c>
    </row>
    <row r="5330">
      <c r="A5330" s="12" t="inlineStr">
        <is>
          <t>K-C-0034</t>
        </is>
      </c>
      <c r="B5330" s="12" t="inlineStr">
        <is>
          <t>K</t>
        </is>
      </c>
      <c r="C5330" s="12" t="inlineStr">
        <is>
          <t>Fuel supply (adjacent market)</t>
        </is>
      </c>
      <c r="D5330" s="12" t="inlineStr">
        <is>
          <t>CT / VT</t>
        </is>
      </c>
      <c r="E5330" s="12" t="inlineStr"/>
      <c r="F5330" s="12" t="inlineStr">
        <is>
          <t>H2 20: 13.8 kV e-house</t>
        </is>
      </c>
      <c r="G5330" s="12" t="inlineStr"/>
      <c r="H5330" s="12" t="inlineStr">
        <is>
          <t>H2 21: rectifier transformer 4 (7 MVA)</t>
        </is>
      </c>
      <c r="I5330" s="12" t="inlineStr">
        <is>
          <t>Control</t>
        </is>
      </c>
      <c r="J5330" s="12" t="inlineStr">
        <is>
          <t>Control cable 600 V Type TC-ER, Cu #10 AWG (CT / VT circuits)</t>
        </is>
      </c>
      <c r="K5330" s="12" t="inlineStr">
        <is>
          <t>CTCT|4/C|10</t>
        </is>
      </c>
      <c r="L5330" s="12" t="inlineStr">
        <is>
          <t>4/C</t>
        </is>
      </c>
      <c r="M5330" s="12" t="inlineStr">
        <is>
          <t>10</t>
        </is>
      </c>
      <c r="N5330" s="12" t="n">
        <v>1</v>
      </c>
      <c r="O5330" s="12" t="n">
        <v>1</v>
      </c>
      <c r="P5330" s="12" t="n"/>
      <c r="Q5330" s="12" t="n"/>
      <c r="R5330" s="12" t="n"/>
      <c r="S5330" s="12" t="inlineStr">
        <is>
          <t>Duct bank</t>
        </is>
      </c>
      <c r="T5330" s="15" t="n">
        <v>295</v>
      </c>
      <c r="U5330" s="15" t="n">
        <v>32</v>
      </c>
      <c r="V5330" s="15">
        <f>ROUNDUP((T5330+U5330+2*'Read Me'!$B$13)*(1+'Read Me'!$B$12),-1)</f>
        <v/>
      </c>
      <c r="W5330" s="15">
        <f>V5330*N5330*O5330</f>
        <v/>
      </c>
      <c r="X5330" s="12">
        <f>IF(LEFT(I5330,2)="MV",2*N5330*IF(L5330="1/C",O5330,1),0)</f>
        <v/>
      </c>
      <c r="Y5330" s="12">
        <f>IF(OR(LEFT(K5330,4)="LVAX",LEFT(K5330,6)="MV15AX",LEFT(K5330,4)="CTAX",LEFT(K5330,2)="W|"),2*N5330*O5330,0)</f>
        <v/>
      </c>
      <c r="Z5330" s="12" t="inlineStr"/>
      <c r="AA5330" s="12">
        <f>N5330*O5330</f>
        <v/>
      </c>
    </row>
    <row r="5331">
      <c r="A5331" s="12" t="inlineStr">
        <is>
          <t>K-C-0035</t>
        </is>
      </c>
      <c r="B5331" s="12" t="inlineStr">
        <is>
          <t>K</t>
        </is>
      </c>
      <c r="C5331" s="12" t="inlineStr">
        <is>
          <t>Fuel supply (adjacent market)</t>
        </is>
      </c>
      <c r="D5331" s="12" t="inlineStr">
        <is>
          <t>Motor 1 of 1: control / local station</t>
        </is>
      </c>
      <c r="E5331" s="12" t="inlineStr"/>
      <c r="F5331" s="12" t="inlineStr">
        <is>
          <t>H2 20: 13.8 kV e-house</t>
        </is>
      </c>
      <c r="G5331" s="12" t="inlineStr"/>
      <c r="H5331" s="12" t="inlineStr">
        <is>
          <t>H2 21: rectifier transformer 5 (7 MVA)</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5" t="n">
        <v>254</v>
      </c>
      <c r="U5331" s="15" t="n">
        <v>32</v>
      </c>
      <c r="V5331" s="15">
        <f>ROUNDUP((T5331+U5331+2*'Read Me'!$B$13)*(1+'Read Me'!$B$12),-1)</f>
        <v/>
      </c>
      <c r="W5331" s="15">
        <f>V5331*N5331*O5331</f>
        <v/>
      </c>
      <c r="X5331" s="12">
        <f>IF(LEFT(I5331,2)="MV",2*N5331*IF(L5331="1/C",O5331,1),0)</f>
        <v/>
      </c>
      <c r="Y5331" s="12">
        <f>IF(OR(LEFT(K5331,4)="LVAX",LEFT(K5331,6)="MV15AX",LEFT(K5331,4)="CTAX",LEFT(K5331,2)="W|"),2*N5331*O5331,0)</f>
        <v/>
      </c>
      <c r="Z5331" s="12" t="inlineStr"/>
      <c r="AA5331" s="12">
        <f>N5331*O5331</f>
        <v/>
      </c>
    </row>
    <row r="5332">
      <c r="A5332" s="12" t="inlineStr">
        <is>
          <t>K-C-0036</t>
        </is>
      </c>
      <c r="B5332" s="12" t="inlineStr">
        <is>
          <t>K</t>
        </is>
      </c>
      <c r="C5332" s="12" t="inlineStr">
        <is>
          <t>Fuel supply (adjacent market)</t>
        </is>
      </c>
      <c r="D5332" s="12" t="inlineStr">
        <is>
          <t>Solenoid to JB JB-H2 21: rectifier t-SOL01: 2 x 2/C (field cables)</t>
        </is>
      </c>
      <c r="E5332" s="12" t="inlineStr"/>
      <c r="F5332" s="12" t="inlineStr">
        <is>
          <t>H2 21: rectifier transformer 5 (7 MVA)</t>
        </is>
      </c>
      <c r="G5332" s="12" t="inlineStr">
        <is>
          <t>JB-H2 21: rectifier t-SOL01</t>
        </is>
      </c>
      <c r="H5332" s="12" t="inlineStr">
        <is>
          <t>H2 21: rectifier transformer 5 (7 MVA)</t>
        </is>
      </c>
      <c r="I5332" s="12" t="inlineStr">
        <is>
          <t>Control</t>
        </is>
      </c>
      <c r="J5332" s="12" t="inlineStr">
        <is>
          <t>ARMOR-X MC-HL 600 V control, Cu #14 AWG (Class I Div 2)</t>
        </is>
      </c>
      <c r="K5332" s="12" t="inlineStr">
        <is>
          <t>CTAX|2/C|14</t>
        </is>
      </c>
      <c r="L5332" s="12" t="inlineStr">
        <is>
          <t>2/C</t>
        </is>
      </c>
      <c r="M5332" s="12" t="inlineStr">
        <is>
          <t>14</t>
        </is>
      </c>
      <c r="N5332" s="12" t="n">
        <v>2</v>
      </c>
      <c r="O5332" s="12" t="n">
        <v>1</v>
      </c>
      <c r="P5332" s="12" t="n"/>
      <c r="Q5332" s="12" t="n"/>
      <c r="R5332" s="12" t="n"/>
      <c r="S5332" s="12" t="inlineStr">
        <is>
          <t>Tray / conduit</t>
        </is>
      </c>
      <c r="T5332" s="15" t="n">
        <v>41</v>
      </c>
      <c r="U5332" s="15" t="n">
        <v>10</v>
      </c>
      <c r="V5332" s="15">
        <f>ROUNDUP((T5332+U5332+2*'Read Me'!$B$13)*(1+'Read Me'!$B$12),-1)</f>
        <v/>
      </c>
      <c r="W5332" s="15">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K-C-0037</t>
        </is>
      </c>
      <c r="B5333" s="12" t="inlineStr">
        <is>
          <t>K</t>
        </is>
      </c>
      <c r="C5333" s="12" t="inlineStr">
        <is>
          <t>Fuel supply (adjacent market)</t>
        </is>
      </c>
      <c r="D5333" s="12" t="inlineStr">
        <is>
          <t>Home run JB-H2 21: rectifier t-SOL01 to the control / marshalling room</t>
        </is>
      </c>
      <c r="E5333" s="12" t="inlineStr"/>
      <c r="F5333" s="12" t="inlineStr">
        <is>
          <t>H2 20: 13.8 kV e-house</t>
        </is>
      </c>
      <c r="G5333" s="12" t="inlineStr">
        <is>
          <t>JB-H2 21: rectifier t-SOL01</t>
        </is>
      </c>
      <c r="H5333" s="12" t="inlineStr">
        <is>
          <t>H2 21: rectifier transformer 5 (7 MVA)</t>
        </is>
      </c>
      <c r="I5333" s="12" t="inlineStr">
        <is>
          <t>Control</t>
        </is>
      </c>
      <c r="J5333" s="12" t="inlineStr">
        <is>
          <t>ARMOR-X MC-HL 600 V control, Cu #14 AWG (Class I Div 2)</t>
        </is>
      </c>
      <c r="K5333" s="12" t="inlineStr">
        <is>
          <t>CTAX|25/C|14</t>
        </is>
      </c>
      <c r="L5333" s="12" t="inlineStr">
        <is>
          <t>25/C</t>
        </is>
      </c>
      <c r="M5333" s="12" t="inlineStr">
        <is>
          <t>14</t>
        </is>
      </c>
      <c r="N5333" s="12" t="n">
        <v>1</v>
      </c>
      <c r="O5333" s="12" t="n">
        <v>1</v>
      </c>
      <c r="P5333" s="12" t="n"/>
      <c r="Q5333" s="12" t="n"/>
      <c r="R5333" s="12" t="n"/>
      <c r="S5333" s="12" t="inlineStr">
        <is>
          <t>Duct bank</t>
        </is>
      </c>
      <c r="T5333" s="15" t="n">
        <v>254</v>
      </c>
      <c r="U5333" s="15" t="n">
        <v>32</v>
      </c>
      <c r="V5333" s="15">
        <f>ROUNDUP((T5333+U5333+2*'Read Me'!$B$13)*(1+'Read Me'!$B$12),-1)</f>
        <v/>
      </c>
      <c r="W5333" s="15">
        <f>V5333*N5333*O5333</f>
        <v/>
      </c>
      <c r="X5333" s="12">
        <f>IF(LEFT(I5333,2)="MV",2*N5333*IF(L5333="1/C",O5333,1),0)</f>
        <v/>
      </c>
      <c r="Y5333" s="12">
        <f>IF(OR(LEFT(K5333,4)="LVAX",LEFT(K5333,6)="MV15AX",LEFT(K5333,4)="CTAX",LEFT(K5333,2)="W|"),2*N5333*O5333,0)</f>
        <v/>
      </c>
      <c r="Z5333" s="12" t="inlineStr"/>
      <c r="AA5333" s="12">
        <f>N5333*O5333</f>
        <v/>
      </c>
    </row>
    <row r="5334">
      <c r="A5334" s="12" t="inlineStr">
        <is>
          <t>K-C-0038</t>
        </is>
      </c>
      <c r="B5334" s="12" t="inlineStr">
        <is>
          <t>K</t>
        </is>
      </c>
      <c r="C5334" s="12" t="inlineStr">
        <is>
          <t>Fuel supply (adjacent market)</t>
        </is>
      </c>
      <c r="D5334" s="12" t="inlineStr">
        <is>
          <t>Control</t>
        </is>
      </c>
      <c r="E5334" s="12" t="inlineStr"/>
      <c r="F5334" s="12" t="inlineStr">
        <is>
          <t>H2 20: 13.8 kV e-house</t>
        </is>
      </c>
      <c r="G5334" s="12" t="inlineStr"/>
      <c r="H5334" s="12" t="inlineStr">
        <is>
          <t>H2 21: rectifier transformer 5 (7 MVA)</t>
        </is>
      </c>
      <c r="I5334" s="12" t="inlineStr">
        <is>
          <t>Control</t>
        </is>
      </c>
      <c r="J5334" s="12" t="inlineStr">
        <is>
          <t>ARMOR-X MC-HL 600 V control, Cu #14 AWG (Class I Div 2)</t>
        </is>
      </c>
      <c r="K5334" s="12" t="inlineStr">
        <is>
          <t>CTAX|7/C|14</t>
        </is>
      </c>
      <c r="L5334" s="12" t="inlineStr">
        <is>
          <t>7/C</t>
        </is>
      </c>
      <c r="M5334" s="12" t="inlineStr">
        <is>
          <t>14</t>
        </is>
      </c>
      <c r="N5334" s="12" t="n">
        <v>1</v>
      </c>
      <c r="O5334" s="12" t="n">
        <v>1</v>
      </c>
      <c r="P5334" s="12" t="n"/>
      <c r="Q5334" s="12" t="n"/>
      <c r="R5334" s="12" t="n"/>
      <c r="S5334" s="12" t="inlineStr">
        <is>
          <t>Duct bank</t>
        </is>
      </c>
      <c r="T5334" s="15" t="n">
        <v>254</v>
      </c>
      <c r="U5334" s="15" t="n">
        <v>32</v>
      </c>
      <c r="V5334" s="15">
        <f>ROUNDUP((T5334+U5334+2*'Read Me'!$B$13)*(1+'Read Me'!$B$12),-1)</f>
        <v/>
      </c>
      <c r="W5334" s="15">
        <f>V5334*N5334*O5334</f>
        <v/>
      </c>
      <c r="X5334" s="12">
        <f>IF(LEFT(I5334,2)="MV",2*N5334*IF(L5334="1/C",O5334,1),0)</f>
        <v/>
      </c>
      <c r="Y5334" s="12">
        <f>IF(OR(LEFT(K5334,4)="LVAX",LEFT(K5334,6)="MV15AX",LEFT(K5334,4)="CTAX",LEFT(K5334,2)="W|"),2*N5334*O5334,0)</f>
        <v/>
      </c>
      <c r="Z5334" s="12" t="inlineStr"/>
      <c r="AA5334" s="12">
        <f>N5334*O5334</f>
        <v/>
      </c>
    </row>
    <row r="5335">
      <c r="A5335" s="12" t="inlineStr">
        <is>
          <t>K-C-0039</t>
        </is>
      </c>
      <c r="B5335" s="12" t="inlineStr">
        <is>
          <t>K</t>
        </is>
      </c>
      <c r="C5335" s="12" t="inlineStr">
        <is>
          <t>Fuel supply (adjacent market)</t>
        </is>
      </c>
      <c r="D5335" s="12" t="inlineStr">
        <is>
          <t>Control</t>
        </is>
      </c>
      <c r="E5335" s="12" t="inlineStr"/>
      <c r="F5335" s="12" t="inlineStr">
        <is>
          <t>H2 20: 13.8 kV e-house</t>
        </is>
      </c>
      <c r="G5335" s="12" t="inlineStr"/>
      <c r="H5335" s="12" t="inlineStr">
        <is>
          <t>H2 21: rectifier transformer 5 (7 MVA)</t>
        </is>
      </c>
      <c r="I5335" s="12" t="inlineStr">
        <is>
          <t>Control</t>
        </is>
      </c>
      <c r="J5335" s="12" t="inlineStr">
        <is>
          <t>ARMOR-X MC-HL 600 V control, Cu #14 AWG (Class I Div 2)</t>
        </is>
      </c>
      <c r="K5335" s="12" t="inlineStr">
        <is>
          <t>CTAX|12/C|14</t>
        </is>
      </c>
      <c r="L5335" s="12" t="inlineStr">
        <is>
          <t>12/C</t>
        </is>
      </c>
      <c r="M5335" s="12" t="inlineStr">
        <is>
          <t>14</t>
        </is>
      </c>
      <c r="N5335" s="12" t="n">
        <v>1</v>
      </c>
      <c r="O5335" s="12" t="n">
        <v>1</v>
      </c>
      <c r="P5335" s="12" t="n"/>
      <c r="Q5335" s="12" t="n"/>
      <c r="R5335" s="12" t="n"/>
      <c r="S5335" s="12" t="inlineStr">
        <is>
          <t>Duct bank</t>
        </is>
      </c>
      <c r="T5335" s="15" t="n">
        <v>254</v>
      </c>
      <c r="U5335" s="15" t="n">
        <v>32</v>
      </c>
      <c r="V5335" s="15">
        <f>ROUNDUP((T5335+U5335+2*'Read Me'!$B$13)*(1+'Read Me'!$B$12),-1)</f>
        <v/>
      </c>
      <c r="W5335" s="15">
        <f>V5335*N5335*O5335</f>
        <v/>
      </c>
      <c r="X5335" s="12">
        <f>IF(LEFT(I5335,2)="MV",2*N5335*IF(L5335="1/C",O5335,1),0)</f>
        <v/>
      </c>
      <c r="Y5335" s="12">
        <f>IF(OR(LEFT(K5335,4)="LVAX",LEFT(K5335,6)="MV15AX",LEFT(K5335,4)="CTAX",LEFT(K5335,2)="W|"),2*N5335*O5335,0)</f>
        <v/>
      </c>
      <c r="Z5335" s="12" t="inlineStr"/>
      <c r="AA5335" s="12">
        <f>N5335*O5335</f>
        <v/>
      </c>
    </row>
    <row r="5336">
      <c r="A5336" s="12" t="inlineStr">
        <is>
          <t>K-C-0040</t>
        </is>
      </c>
      <c r="B5336" s="12" t="inlineStr">
        <is>
          <t>K</t>
        </is>
      </c>
      <c r="C5336" s="12" t="inlineStr">
        <is>
          <t>Fuel supply (adjacent market)</t>
        </is>
      </c>
      <c r="D5336" s="12" t="inlineStr">
        <is>
          <t>CT / VT</t>
        </is>
      </c>
      <c r="E5336" s="12" t="inlineStr"/>
      <c r="F5336" s="12" t="inlineStr">
        <is>
          <t>H2 20: 13.8 kV e-house</t>
        </is>
      </c>
      <c r="G5336" s="12" t="inlineStr"/>
      <c r="H5336" s="12" t="inlineStr">
        <is>
          <t>H2 21: rectifier transformer 5 (7 MVA)</t>
        </is>
      </c>
      <c r="I5336" s="12" t="inlineStr">
        <is>
          <t>Control</t>
        </is>
      </c>
      <c r="J5336" s="12" t="inlineStr">
        <is>
          <t>Control cable 600 V Type TC-ER, Cu #10 AWG (CT / VT circuits)</t>
        </is>
      </c>
      <c r="K5336" s="12" t="inlineStr">
        <is>
          <t>CTCT|4/C|10</t>
        </is>
      </c>
      <c r="L5336" s="12" t="inlineStr">
        <is>
          <t>4/C</t>
        </is>
      </c>
      <c r="M5336" s="12" t="inlineStr">
        <is>
          <t>10</t>
        </is>
      </c>
      <c r="N5336" s="12" t="n">
        <v>1</v>
      </c>
      <c r="O5336" s="12" t="n">
        <v>1</v>
      </c>
      <c r="P5336" s="12" t="n"/>
      <c r="Q5336" s="12" t="n"/>
      <c r="R5336" s="12" t="n"/>
      <c r="S5336" s="12" t="inlineStr">
        <is>
          <t>Duct bank</t>
        </is>
      </c>
      <c r="T5336" s="15" t="n">
        <v>254</v>
      </c>
      <c r="U5336" s="15" t="n">
        <v>32</v>
      </c>
      <c r="V5336" s="15">
        <f>ROUNDUP((T5336+U5336+2*'Read Me'!$B$13)*(1+'Read Me'!$B$12),-1)</f>
        <v/>
      </c>
      <c r="W5336" s="15">
        <f>V5336*N5336*O5336</f>
        <v/>
      </c>
      <c r="X5336" s="12">
        <f>IF(LEFT(I5336,2)="MV",2*N5336*IF(L5336="1/C",O5336,1),0)</f>
        <v/>
      </c>
      <c r="Y5336" s="12">
        <f>IF(OR(LEFT(K5336,4)="LVAX",LEFT(K5336,6)="MV15AX",LEFT(K5336,4)="CTAX",LEFT(K5336,2)="W|"),2*N5336*O5336,0)</f>
        <v/>
      </c>
      <c r="Z5336" s="12" t="inlineStr"/>
      <c r="AA5336" s="12">
        <f>N5336*O5336</f>
        <v/>
      </c>
    </row>
    <row r="5337">
      <c r="A5337" s="12" t="inlineStr">
        <is>
          <t>K-C-0041</t>
        </is>
      </c>
      <c r="B5337" s="12" t="inlineStr">
        <is>
          <t>K</t>
        </is>
      </c>
      <c r="C5337" s="12" t="inlineStr">
        <is>
          <t>Fuel supply (adjacent market)</t>
        </is>
      </c>
      <c r="D5337" s="12" t="inlineStr">
        <is>
          <t>CT / VT</t>
        </is>
      </c>
      <c r="E5337" s="12" t="inlineStr"/>
      <c r="F5337" s="12" t="inlineStr">
        <is>
          <t>H2 20: 13.8 kV e-house</t>
        </is>
      </c>
      <c r="G5337" s="12" t="inlineStr"/>
      <c r="H5337" s="12" t="inlineStr">
        <is>
          <t>H2 21: rectifier transformer 5 (7 MVA)</t>
        </is>
      </c>
      <c r="I5337" s="12" t="inlineStr">
        <is>
          <t>Control</t>
        </is>
      </c>
      <c r="J5337" s="12" t="inlineStr">
        <is>
          <t>Control cable 600 V Type TC-ER, Cu #10 AWG (CT / VT circuits)</t>
        </is>
      </c>
      <c r="K5337" s="12" t="inlineStr">
        <is>
          <t>CTCT|4/C|10</t>
        </is>
      </c>
      <c r="L5337" s="12" t="inlineStr">
        <is>
          <t>4/C</t>
        </is>
      </c>
      <c r="M5337" s="12" t="inlineStr">
        <is>
          <t>10</t>
        </is>
      </c>
      <c r="N5337" s="12" t="n">
        <v>1</v>
      </c>
      <c r="O5337" s="12" t="n">
        <v>1</v>
      </c>
      <c r="P5337" s="12" t="n"/>
      <c r="Q5337" s="12" t="n"/>
      <c r="R5337" s="12" t="n"/>
      <c r="S5337" s="12" t="inlineStr">
        <is>
          <t>Duct bank</t>
        </is>
      </c>
      <c r="T5337" s="15" t="n">
        <v>254</v>
      </c>
      <c r="U5337" s="15" t="n">
        <v>32</v>
      </c>
      <c r="V5337" s="15">
        <f>ROUNDUP((T5337+U5337+2*'Read Me'!$B$13)*(1+'Read Me'!$B$12),-1)</f>
        <v/>
      </c>
      <c r="W5337" s="15">
        <f>V5337*N5337*O5337</f>
        <v/>
      </c>
      <c r="X5337" s="12">
        <f>IF(LEFT(I5337,2)="MV",2*N5337*IF(L5337="1/C",O5337,1),0)</f>
        <v/>
      </c>
      <c r="Y5337" s="12">
        <f>IF(OR(LEFT(K5337,4)="LVAX",LEFT(K5337,6)="MV15AX",LEFT(K5337,4)="CTAX",LEFT(K5337,2)="W|"),2*N5337*O5337,0)</f>
        <v/>
      </c>
      <c r="Z5337" s="12" t="inlineStr"/>
      <c r="AA5337" s="12">
        <f>N5337*O5337</f>
        <v/>
      </c>
    </row>
    <row r="5338">
      <c r="A5338" s="12" t="inlineStr">
        <is>
          <t>K-C-0042</t>
        </is>
      </c>
      <c r="B5338" s="12" t="inlineStr">
        <is>
          <t>K</t>
        </is>
      </c>
      <c r="C5338" s="12" t="inlineStr">
        <is>
          <t>Fuel supply (adjacent market)</t>
        </is>
      </c>
      <c r="D5338" s="12" t="inlineStr">
        <is>
          <t>Motor 1 of 1: control / local station</t>
        </is>
      </c>
      <c r="E5338" s="12" t="inlineStr"/>
      <c r="F5338" s="12" t="inlineStr">
        <is>
          <t>H2 20: 13.8 kV e-house</t>
        </is>
      </c>
      <c r="G5338" s="12" t="inlineStr">
        <is>
          <t>H2-EL</t>
        </is>
      </c>
      <c r="H5338" s="12" t="inlineStr">
        <is>
          <t>H2 22: electrolyzer building (5 x HyLYZER-1000 + 5 rectifiers)</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5" t="n">
        <v>395</v>
      </c>
      <c r="U5338" s="15" t="n">
        <v>32</v>
      </c>
      <c r="V5338" s="15">
        <f>ROUNDUP((T5338+U5338+2*'Read Me'!$B$13)*(1+'Read Me'!$B$12),-1)</f>
        <v/>
      </c>
      <c r="W5338" s="15">
        <f>V5338*N5338*O5338</f>
        <v/>
      </c>
      <c r="X5338" s="12">
        <f>IF(LEFT(I5338,2)="MV",2*N5338*IF(L5338="1/C",O5338,1),0)</f>
        <v/>
      </c>
      <c r="Y5338" s="12">
        <f>IF(OR(LEFT(K5338,4)="LVAX",LEFT(K5338,6)="MV15AX",LEFT(K5338,4)="CTAX",LEFT(K5338,2)="W|"),2*N5338*O5338,0)</f>
        <v/>
      </c>
      <c r="Z5338" s="12" t="inlineStr"/>
      <c r="AA5338" s="12">
        <f>N5338*O5338</f>
        <v/>
      </c>
    </row>
    <row r="5339">
      <c r="A5339" s="12" t="inlineStr">
        <is>
          <t>K-C-0043</t>
        </is>
      </c>
      <c r="B5339" s="12" t="inlineStr">
        <is>
          <t>K</t>
        </is>
      </c>
      <c r="C5339" s="12" t="inlineStr">
        <is>
          <t>Fuel supply (adjacent market)</t>
        </is>
      </c>
      <c r="D5339" s="12" t="inlineStr">
        <is>
          <t>Solenoid to JB JB-H2-EL-SOL01: 2 x 2/C (field cables)</t>
        </is>
      </c>
      <c r="E5339" s="12" t="inlineStr">
        <is>
          <t>H2-EL</t>
        </is>
      </c>
      <c r="F5339" s="12" t="inlineStr">
        <is>
          <t>H2 22: electrolyzer building (5 x HyLYZER-1000 + 5 rectifiers)</t>
        </is>
      </c>
      <c r="G5339" s="12" t="inlineStr">
        <is>
          <t>JB-H2-EL-SOL01</t>
        </is>
      </c>
      <c r="H5339" s="12" t="inlineStr">
        <is>
          <t>H2 22: electrolyzer building (5 x HyLYZER-1000 + 5 rectifiers)</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5" t="n">
        <v>157</v>
      </c>
      <c r="U5339" s="15" t="n">
        <v>10</v>
      </c>
      <c r="V5339" s="15">
        <f>ROUNDUP((T5339+U5339+2*'Read Me'!$B$13)*(1+'Read Me'!$B$12),-1)</f>
        <v/>
      </c>
      <c r="W5339" s="15">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K-C-0044</t>
        </is>
      </c>
      <c r="B5340" s="12" t="inlineStr">
        <is>
          <t>K</t>
        </is>
      </c>
      <c r="C5340" s="12" t="inlineStr">
        <is>
          <t>Fuel supply (adjacent market)</t>
        </is>
      </c>
      <c r="D5340" s="12" t="inlineStr">
        <is>
          <t>Home run JB-H2-EL-SOL01 to the control / marshalling room</t>
        </is>
      </c>
      <c r="E5340" s="12" t="inlineStr"/>
      <c r="F5340" s="12" t="inlineStr">
        <is>
          <t>H2 20: 13.8 kV e-house</t>
        </is>
      </c>
      <c r="G5340" s="12" t="inlineStr">
        <is>
          <t>JB-H2-EL-SOL01</t>
        </is>
      </c>
      <c r="H5340" s="12" t="inlineStr">
        <is>
          <t>H2 22: electrolyzer building (5 x HyLYZER-1000 + 5 rectifiers)</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5" t="n">
        <v>395</v>
      </c>
      <c r="U5340" s="15" t="n">
        <v>32</v>
      </c>
      <c r="V5340" s="15">
        <f>ROUNDUP((T5340+U5340+2*'Read Me'!$B$13)*(1+'Read Me'!$B$12),-1)</f>
        <v/>
      </c>
      <c r="W5340" s="15">
        <f>V5340*N5340*O5340</f>
        <v/>
      </c>
      <c r="X5340" s="12">
        <f>IF(LEFT(I5340,2)="MV",2*N5340*IF(L5340="1/C",O5340,1),0)</f>
        <v/>
      </c>
      <c r="Y5340" s="12">
        <f>IF(OR(LEFT(K5340,4)="LVAX",LEFT(K5340,6)="MV15AX",LEFT(K5340,4)="CTAX",LEFT(K5340,2)="W|"),2*N5340*O5340,0)</f>
        <v/>
      </c>
      <c r="Z5340" s="12" t="inlineStr"/>
      <c r="AA5340" s="12">
        <f>N5340*O5340</f>
        <v/>
      </c>
    </row>
    <row r="5341">
      <c r="A5341" s="12" t="inlineStr">
        <is>
          <t>K-C-0045</t>
        </is>
      </c>
      <c r="B5341" s="12" t="inlineStr">
        <is>
          <t>K</t>
        </is>
      </c>
      <c r="C5341" s="12" t="inlineStr">
        <is>
          <t>Fuel supply (adjacent market)</t>
        </is>
      </c>
      <c r="D5341" s="12" t="inlineStr">
        <is>
          <t>Motor 1 of 1: control / local station</t>
        </is>
      </c>
      <c r="E5341" s="12" t="inlineStr"/>
      <c r="F5341" s="12" t="inlineStr">
        <is>
          <t>H2 20: 13.8 kV e-house</t>
        </is>
      </c>
      <c r="G5341" s="12" t="inlineStr"/>
      <c r="H5341" s="12" t="inlineStr">
        <is>
          <t>H2 23: dry coolers</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5" t="n">
        <v>53</v>
      </c>
      <c r="U5341" s="15" t="n">
        <v>77</v>
      </c>
      <c r="V5341" s="15">
        <f>ROUNDUP((T5341+U5341+2*'Read Me'!$B$13)*(1+'Read Me'!$B$12),-1)</f>
        <v/>
      </c>
      <c r="W5341" s="15">
        <f>V5341*N5341*O5341</f>
        <v/>
      </c>
      <c r="X5341" s="12">
        <f>IF(LEFT(I5341,2)="MV",2*N5341*IF(L5341="1/C",O5341,1),0)</f>
        <v/>
      </c>
      <c r="Y5341" s="12">
        <f>IF(OR(LEFT(K5341,4)="LVAX",LEFT(K5341,6)="MV15AX",LEFT(K5341,4)="CTAX",LEFT(K5341,2)="W|"),2*N5341*O5341,0)</f>
        <v/>
      </c>
      <c r="Z5341" s="12" t="inlineStr"/>
      <c r="AA5341" s="12">
        <f>N5341*O5341</f>
        <v/>
      </c>
    </row>
    <row r="5342">
      <c r="A5342" s="12" t="inlineStr">
        <is>
          <t>K-C-0046</t>
        </is>
      </c>
      <c r="B5342" s="12" t="inlineStr">
        <is>
          <t>K</t>
        </is>
      </c>
      <c r="C5342" s="12" t="inlineStr">
        <is>
          <t>Fuel supply (adjacent market)</t>
        </is>
      </c>
      <c r="D5342" s="12" t="inlineStr">
        <is>
          <t>Solenoid to JB JB-H2 23: dry coolers-SOL01: 2 x 2/C (field cables)</t>
        </is>
      </c>
      <c r="E5342" s="12" t="inlineStr"/>
      <c r="F5342" s="12" t="inlineStr">
        <is>
          <t>H2 23: dry coolers</t>
        </is>
      </c>
      <c r="G5342" s="12" t="inlineStr">
        <is>
          <t>JB-H2 23: dry coolers-SOL01</t>
        </is>
      </c>
      <c r="H5342" s="12" t="inlineStr">
        <is>
          <t>H2 23: dry coolers</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5" t="n">
        <v>111</v>
      </c>
      <c r="U5342" s="15" t="n">
        <v>10</v>
      </c>
      <c r="V5342" s="15">
        <f>ROUNDUP((T5342+U5342+2*'Read Me'!$B$13)*(1+'Read Me'!$B$12),-1)</f>
        <v/>
      </c>
      <c r="W5342" s="15">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K-C-0047</t>
        </is>
      </c>
      <c r="B5343" s="12" t="inlineStr">
        <is>
          <t>K</t>
        </is>
      </c>
      <c r="C5343" s="12" t="inlineStr">
        <is>
          <t>Fuel supply (adjacent market)</t>
        </is>
      </c>
      <c r="D5343" s="12" t="inlineStr">
        <is>
          <t>Home run JB-H2 23: dry coolers-SOL01 to the control / marshalling room</t>
        </is>
      </c>
      <c r="E5343" s="12" t="inlineStr"/>
      <c r="F5343" s="12" t="inlineStr">
        <is>
          <t>H2 20: 13.8 kV e-house</t>
        </is>
      </c>
      <c r="G5343" s="12" t="inlineStr">
        <is>
          <t>JB-H2 23: dry coolers-SOL01</t>
        </is>
      </c>
      <c r="H5343" s="12" t="inlineStr">
        <is>
          <t>H2 23: dry coolers</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5" t="n">
        <v>53</v>
      </c>
      <c r="U5343" s="15" t="n">
        <v>77</v>
      </c>
      <c r="V5343" s="15">
        <f>ROUNDUP((T5343+U5343+2*'Read Me'!$B$13)*(1+'Read Me'!$B$12),-1)</f>
        <v/>
      </c>
      <c r="W5343" s="15">
        <f>V5343*N5343*O5343</f>
        <v/>
      </c>
      <c r="X5343" s="12">
        <f>IF(LEFT(I5343,2)="MV",2*N5343*IF(L5343="1/C",O5343,1),0)</f>
        <v/>
      </c>
      <c r="Y5343" s="12">
        <f>IF(OR(LEFT(K5343,4)="LVAX",LEFT(K5343,6)="MV15AX",LEFT(K5343,4)="CTAX",LEFT(K5343,2)="W|"),2*N5343*O5343,0)</f>
        <v/>
      </c>
      <c r="Z5343" s="12" t="inlineStr"/>
      <c r="AA5343" s="12">
        <f>N5343*O5343</f>
        <v/>
      </c>
    </row>
    <row r="5344">
      <c r="A5344" s="12" t="inlineStr">
        <is>
          <t>K-C-0048</t>
        </is>
      </c>
      <c r="B5344" s="12" t="inlineStr">
        <is>
          <t>K</t>
        </is>
      </c>
      <c r="C5344" s="12" t="inlineStr">
        <is>
          <t>Fuel supply (adjacent market)</t>
        </is>
      </c>
      <c r="D5344" s="12" t="inlineStr">
        <is>
          <t>Motor 1 of 1: control / local station</t>
        </is>
      </c>
      <c r="E5344" s="12" t="inlineStr"/>
      <c r="F5344" s="12" t="inlineStr">
        <is>
          <t>H2 20: 13.8 kV e-house</t>
        </is>
      </c>
      <c r="G5344" s="12" t="inlineStr"/>
      <c r="H5344" s="12" t="inlineStr">
        <is>
          <t>H2 24: water purification (RO / EDI)</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5" t="n">
        <v>146</v>
      </c>
      <c r="U5344" s="15" t="n">
        <v>32</v>
      </c>
      <c r="V5344" s="15">
        <f>ROUNDUP((T5344+U5344+2*'Read Me'!$B$13)*(1+'Read Me'!$B$12),-1)</f>
        <v/>
      </c>
      <c r="W5344" s="15">
        <f>V5344*N5344*O5344</f>
        <v/>
      </c>
      <c r="X5344" s="12">
        <f>IF(LEFT(I5344,2)="MV",2*N5344*IF(L5344="1/C",O5344,1),0)</f>
        <v/>
      </c>
      <c r="Y5344" s="12">
        <f>IF(OR(LEFT(K5344,4)="LVAX",LEFT(K5344,6)="MV15AX",LEFT(K5344,4)="CTAX",LEFT(K5344,2)="W|"),2*N5344*O5344,0)</f>
        <v/>
      </c>
      <c r="Z5344" s="12" t="inlineStr"/>
      <c r="AA5344" s="12">
        <f>N5344*O5344</f>
        <v/>
      </c>
    </row>
    <row r="5345">
      <c r="A5345" s="12" t="inlineStr">
        <is>
          <t>K-C-0049</t>
        </is>
      </c>
      <c r="B5345" s="12" t="inlineStr">
        <is>
          <t>K</t>
        </is>
      </c>
      <c r="C5345" s="12" t="inlineStr">
        <is>
          <t>Fuel supply (adjacent market)</t>
        </is>
      </c>
      <c r="D5345" s="12" t="inlineStr">
        <is>
          <t>Solenoid to JB JB-H2 24: water purif-SOL01: 2 x 2/C (field cables)</t>
        </is>
      </c>
      <c r="E5345" s="12" t="inlineStr"/>
      <c r="F5345" s="12" t="inlineStr">
        <is>
          <t>H2 24: water purification (RO / EDI)</t>
        </is>
      </c>
      <c r="G5345" s="12" t="inlineStr">
        <is>
          <t>JB-H2 24: water purif-SOL01</t>
        </is>
      </c>
      <c r="H5345" s="12" t="inlineStr">
        <is>
          <t>H2 24: water purification (RO / EDI)</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5" t="n">
        <v>60</v>
      </c>
      <c r="U5345" s="15" t="n">
        <v>10</v>
      </c>
      <c r="V5345" s="15">
        <f>ROUNDUP((T5345+U5345+2*'Read Me'!$B$13)*(1+'Read Me'!$B$12),-1)</f>
        <v/>
      </c>
      <c r="W5345" s="15">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K-C-0050</t>
        </is>
      </c>
      <c r="B5346" s="12" t="inlineStr">
        <is>
          <t>K</t>
        </is>
      </c>
      <c r="C5346" s="12" t="inlineStr">
        <is>
          <t>Fuel supply (adjacent market)</t>
        </is>
      </c>
      <c r="D5346" s="12" t="inlineStr">
        <is>
          <t>Home run JB-H2 24: water purif-SOL01 to the control / marshalling room</t>
        </is>
      </c>
      <c r="E5346" s="12" t="inlineStr"/>
      <c r="F5346" s="12" t="inlineStr">
        <is>
          <t>H2 20: 13.8 kV e-house</t>
        </is>
      </c>
      <c r="G5346" s="12" t="inlineStr">
        <is>
          <t>JB-H2 24: water purif-SOL01</t>
        </is>
      </c>
      <c r="H5346" s="12" t="inlineStr">
        <is>
          <t>H2 24: water purification (RO / EDI)</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5" t="n">
        <v>146</v>
      </c>
      <c r="U5346" s="15" t="n">
        <v>32</v>
      </c>
      <c r="V5346" s="15">
        <f>ROUNDUP((T5346+U5346+2*'Read Me'!$B$13)*(1+'Read Me'!$B$12),-1)</f>
        <v/>
      </c>
      <c r="W5346" s="15">
        <f>V5346*N5346*O5346</f>
        <v/>
      </c>
      <c r="X5346" s="12">
        <f>IF(LEFT(I5346,2)="MV",2*N5346*IF(L5346="1/C",O5346,1),0)</f>
        <v/>
      </c>
      <c r="Y5346" s="12">
        <f>IF(OR(LEFT(K5346,4)="LVAX",LEFT(K5346,6)="MV15AX",LEFT(K5346,4)="CTAX",LEFT(K5346,2)="W|"),2*N5346*O5346,0)</f>
        <v/>
      </c>
      <c r="Z5346" s="12" t="inlineStr"/>
      <c r="AA5346" s="12">
        <f>N5346*O5346</f>
        <v/>
      </c>
    </row>
    <row r="5347">
      <c r="A5347" s="12" t="inlineStr">
        <is>
          <t>K-C-0051</t>
        </is>
      </c>
      <c r="B5347" s="12" t="inlineStr">
        <is>
          <t>K</t>
        </is>
      </c>
      <c r="C5347" s="12" t="inlineStr">
        <is>
          <t>Fuel supply (adjacent market)</t>
        </is>
      </c>
      <c r="D5347" s="12" t="inlineStr">
        <is>
          <t>Motor 1 of 1: control / local station</t>
        </is>
      </c>
      <c r="E5347" s="12" t="inlineStr"/>
      <c r="F5347" s="12" t="inlineStr">
        <is>
          <t>H2 20: 13.8 kV e-house</t>
        </is>
      </c>
      <c r="G5347" s="12" t="inlineStr"/>
      <c r="H5347" s="12" t="inlineStr">
        <is>
          <t>H2 25: H2 dryer / purification</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Conduit link</t>
        </is>
      </c>
      <c r="T5347" s="15" t="n">
        <v>0</v>
      </c>
      <c r="U5347" s="15" t="n">
        <v>49</v>
      </c>
      <c r="V5347" s="15">
        <f>ROUNDUP((T5347+U5347+2*'Read Me'!$B$13)*(1+'Read Me'!$B$12),-1)</f>
        <v/>
      </c>
      <c r="W5347" s="15">
        <f>V5347*N5347*O5347</f>
        <v/>
      </c>
      <c r="X5347" s="12">
        <f>IF(LEFT(I5347,2)="MV",2*N5347*IF(L5347="1/C",O5347,1),0)</f>
        <v/>
      </c>
      <c r="Y5347" s="12">
        <f>IF(OR(LEFT(K5347,4)="LVAX",LEFT(K5347,6)="MV15AX",LEFT(K5347,4)="CTAX",LEFT(K5347,2)="W|"),2*N5347*O5347,0)</f>
        <v/>
      </c>
      <c r="Z5347" s="12" t="inlineStr"/>
      <c r="AA5347" s="12">
        <f>N5347*O5347</f>
        <v/>
      </c>
    </row>
    <row r="5348">
      <c r="A5348" s="12" t="inlineStr">
        <is>
          <t>K-C-0052</t>
        </is>
      </c>
      <c r="B5348" s="12" t="inlineStr">
        <is>
          <t>K</t>
        </is>
      </c>
      <c r="C5348" s="12" t="inlineStr">
        <is>
          <t>Fuel supply (adjacent market)</t>
        </is>
      </c>
      <c r="D5348" s="12" t="inlineStr">
        <is>
          <t>Solenoid to JB JB-H2 25: H2 dryer / -SOL01: 2 x 2/C (field cables)</t>
        </is>
      </c>
      <c r="E5348" s="12" t="inlineStr"/>
      <c r="F5348" s="12" t="inlineStr">
        <is>
          <t>H2 25: H2 dryer / purification</t>
        </is>
      </c>
      <c r="G5348" s="12" t="inlineStr">
        <is>
          <t>JB-H2 25: H2 dryer / -SOL01</t>
        </is>
      </c>
      <c r="H5348" s="12" t="inlineStr">
        <is>
          <t>H2 25: H2 dryer / purification</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5" t="n">
        <v>60</v>
      </c>
      <c r="U5348" s="15" t="n">
        <v>10</v>
      </c>
      <c r="V5348" s="15">
        <f>ROUNDUP((T5348+U5348+2*'Read Me'!$B$13)*(1+'Read Me'!$B$12),-1)</f>
        <v/>
      </c>
      <c r="W5348" s="15">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K-C-0053</t>
        </is>
      </c>
      <c r="B5349" s="12" t="inlineStr">
        <is>
          <t>K</t>
        </is>
      </c>
      <c r="C5349" s="12" t="inlineStr">
        <is>
          <t>Fuel supply (adjacent market)</t>
        </is>
      </c>
      <c r="D5349" s="12" t="inlineStr">
        <is>
          <t>Home run JB-H2 25: H2 dryer / -SOL01 to the control / marshalling room</t>
        </is>
      </c>
      <c r="E5349" s="12" t="inlineStr"/>
      <c r="F5349" s="12" t="inlineStr">
        <is>
          <t>H2 20: 13.8 kV e-house</t>
        </is>
      </c>
      <c r="G5349" s="12" t="inlineStr">
        <is>
          <t>JB-H2 25: H2 dryer / -SOL01</t>
        </is>
      </c>
      <c r="H5349" s="12" t="inlineStr">
        <is>
          <t>H2 25: H2 dryer / purification</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Conduit link</t>
        </is>
      </c>
      <c r="T5349" s="15" t="n">
        <v>0</v>
      </c>
      <c r="U5349" s="15" t="n">
        <v>49</v>
      </c>
      <c r="V5349" s="15">
        <f>ROUNDUP((T5349+U5349+2*'Read Me'!$B$13)*(1+'Read Me'!$B$12),-1)</f>
        <v/>
      </c>
      <c r="W5349" s="15">
        <f>V5349*N5349*O5349</f>
        <v/>
      </c>
      <c r="X5349" s="12">
        <f>IF(LEFT(I5349,2)="MV",2*N5349*IF(L5349="1/C",O5349,1),0)</f>
        <v/>
      </c>
      <c r="Y5349" s="12">
        <f>IF(OR(LEFT(K5349,4)="LVAX",LEFT(K5349,6)="MV15AX",LEFT(K5349,4)="CTAX",LEFT(K5349,2)="W|"),2*N5349*O5349,0)</f>
        <v/>
      </c>
      <c r="Z5349" s="12" t="inlineStr"/>
      <c r="AA5349" s="12">
        <f>N5349*O5349</f>
        <v/>
      </c>
    </row>
    <row r="5350">
      <c r="A5350" s="12" t="inlineStr">
        <is>
          <t>K-C-0054</t>
        </is>
      </c>
      <c r="B5350" s="12" t="inlineStr">
        <is>
          <t>K</t>
        </is>
      </c>
      <c r="C5350" s="12" t="inlineStr">
        <is>
          <t>Fuel supply (adjacent market)</t>
        </is>
      </c>
      <c r="D5350" s="12" t="inlineStr">
        <is>
          <t>Motor 1 of 1: control / local station</t>
        </is>
      </c>
      <c r="E5350" s="12" t="inlineStr"/>
      <c r="F5350" s="12" t="inlineStr">
        <is>
          <t>H2 20: 13.8 kV e-house</t>
        </is>
      </c>
      <c r="G5350" s="12" t="inlineStr"/>
      <c r="H5350" s="12" t="inlineStr">
        <is>
          <t>H2 26: H2 compressor 1 (40 ft ISO)</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Conduit link</t>
        </is>
      </c>
      <c r="T5350" s="15" t="n">
        <v>44</v>
      </c>
      <c r="U5350" s="15" t="n">
        <v>32</v>
      </c>
      <c r="V5350" s="15">
        <f>ROUNDUP((T5350+U5350+2*'Read Me'!$B$13)*(1+'Read Me'!$B$12),-1)</f>
        <v/>
      </c>
      <c r="W5350" s="15">
        <f>V5350*N5350*O5350</f>
        <v/>
      </c>
      <c r="X5350" s="12">
        <f>IF(LEFT(I5350,2)="MV",2*N5350*IF(L5350="1/C",O5350,1),0)</f>
        <v/>
      </c>
      <c r="Y5350" s="12">
        <f>IF(OR(LEFT(K5350,4)="LVAX",LEFT(K5350,6)="MV15AX",LEFT(K5350,4)="CTAX",LEFT(K5350,2)="W|"),2*N5350*O5350,0)</f>
        <v/>
      </c>
      <c r="Z5350" s="12" t="inlineStr"/>
      <c r="AA5350" s="12">
        <f>N5350*O5350</f>
        <v/>
      </c>
    </row>
    <row r="5351">
      <c r="A5351" s="12" t="inlineStr">
        <is>
          <t>K-C-0055</t>
        </is>
      </c>
      <c r="B5351" s="12" t="inlineStr">
        <is>
          <t>K</t>
        </is>
      </c>
      <c r="C5351" s="12" t="inlineStr">
        <is>
          <t>Fuel supply (adjacent market)</t>
        </is>
      </c>
      <c r="D5351" s="12" t="inlineStr">
        <is>
          <t>Solenoid to JB JB-H2 26: H2 compress-SOL01: 2 x 2/C (field cables)</t>
        </is>
      </c>
      <c r="E5351" s="12" t="inlineStr"/>
      <c r="F5351" s="12" t="inlineStr">
        <is>
          <t>H2 26: H2 compressor 1 (40 ft ISO)</t>
        </is>
      </c>
      <c r="G5351" s="12" t="inlineStr">
        <is>
          <t>JB-H2 26: H2 compress-SOL01</t>
        </is>
      </c>
      <c r="H5351" s="12" t="inlineStr">
        <is>
          <t>H2 26: H2 compressor 1 (40 ft ISO)</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5" t="n">
        <v>53</v>
      </c>
      <c r="U5351" s="15" t="n">
        <v>10</v>
      </c>
      <c r="V5351" s="15">
        <f>ROUNDUP((T5351+U5351+2*'Read Me'!$B$13)*(1+'Read Me'!$B$12),-1)</f>
        <v/>
      </c>
      <c r="W5351" s="15">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K-C-0056</t>
        </is>
      </c>
      <c r="B5352" s="12" t="inlineStr">
        <is>
          <t>K</t>
        </is>
      </c>
      <c r="C5352" s="12" t="inlineStr">
        <is>
          <t>Fuel supply (adjacent market)</t>
        </is>
      </c>
      <c r="D5352" s="12" t="inlineStr">
        <is>
          <t>Home run JB-H2 26: H2 compress-SOL01 to the control / marshalling room</t>
        </is>
      </c>
      <c r="E5352" s="12" t="inlineStr"/>
      <c r="F5352" s="12" t="inlineStr">
        <is>
          <t>H2 20: 13.8 kV e-house</t>
        </is>
      </c>
      <c r="G5352" s="12" t="inlineStr">
        <is>
          <t>JB-H2 26: H2 compress-SOL01</t>
        </is>
      </c>
      <c r="H5352" s="12" t="inlineStr">
        <is>
          <t>H2 26: H2 compressor 1 (40 ft ISO)</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Conduit link</t>
        </is>
      </c>
      <c r="T5352" s="15" t="n">
        <v>44</v>
      </c>
      <c r="U5352" s="15" t="n">
        <v>32</v>
      </c>
      <c r="V5352" s="15">
        <f>ROUNDUP((T5352+U5352+2*'Read Me'!$B$13)*(1+'Read Me'!$B$12),-1)</f>
        <v/>
      </c>
      <c r="W5352" s="15">
        <f>V5352*N5352*O5352</f>
        <v/>
      </c>
      <c r="X5352" s="12">
        <f>IF(LEFT(I5352,2)="MV",2*N5352*IF(L5352="1/C",O5352,1),0)</f>
        <v/>
      </c>
      <c r="Y5352" s="12">
        <f>IF(OR(LEFT(K5352,4)="LVAX",LEFT(K5352,6)="MV15AX",LEFT(K5352,4)="CTAX",LEFT(K5352,2)="W|"),2*N5352*O5352,0)</f>
        <v/>
      </c>
      <c r="Z5352" s="12" t="inlineStr"/>
      <c r="AA5352" s="12">
        <f>N5352*O5352</f>
        <v/>
      </c>
    </row>
    <row r="5353">
      <c r="A5353" s="12" t="inlineStr">
        <is>
          <t>K-C-0057</t>
        </is>
      </c>
      <c r="B5353" s="12" t="inlineStr">
        <is>
          <t>K</t>
        </is>
      </c>
      <c r="C5353" s="12" t="inlineStr">
        <is>
          <t>Fuel supply (adjacent market)</t>
        </is>
      </c>
      <c r="D5353" s="12" t="inlineStr">
        <is>
          <t>Motor 1 of 1: control / local station</t>
        </is>
      </c>
      <c r="E5353" s="12" t="inlineStr"/>
      <c r="F5353" s="12" t="inlineStr">
        <is>
          <t>H2 20: 13.8 kV e-house</t>
        </is>
      </c>
      <c r="G5353" s="12" t="inlineStr"/>
      <c r="H5353" s="12" t="inlineStr">
        <is>
          <t>H2 26: H2 compressor 2 (40 ft ISO)</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Conduit link</t>
        </is>
      </c>
      <c r="T5353" s="15" t="n">
        <v>44</v>
      </c>
      <c r="U5353" s="15" t="n">
        <v>47</v>
      </c>
      <c r="V5353" s="15">
        <f>ROUNDUP((T5353+U5353+2*'Read Me'!$B$13)*(1+'Read Me'!$B$12),-1)</f>
        <v/>
      </c>
      <c r="W5353" s="15">
        <f>V5353*N5353*O5353</f>
        <v/>
      </c>
      <c r="X5353" s="12">
        <f>IF(LEFT(I5353,2)="MV",2*N5353*IF(L5353="1/C",O5353,1),0)</f>
        <v/>
      </c>
      <c r="Y5353" s="12">
        <f>IF(OR(LEFT(K5353,4)="LVAX",LEFT(K5353,6)="MV15AX",LEFT(K5353,4)="CTAX",LEFT(K5353,2)="W|"),2*N5353*O5353,0)</f>
        <v/>
      </c>
      <c r="Z5353" s="12" t="inlineStr"/>
      <c r="AA5353" s="12">
        <f>N5353*O5353</f>
        <v/>
      </c>
    </row>
    <row r="5354">
      <c r="A5354" s="12" t="inlineStr">
        <is>
          <t>K-C-0058</t>
        </is>
      </c>
      <c r="B5354" s="12" t="inlineStr">
        <is>
          <t>K</t>
        </is>
      </c>
      <c r="C5354" s="12" t="inlineStr">
        <is>
          <t>Fuel supply (adjacent market)</t>
        </is>
      </c>
      <c r="D5354" s="12" t="inlineStr">
        <is>
          <t>Solenoid to JB JB-H2 26: H2 compress-SOL01: 2 x 2/C (field cables)</t>
        </is>
      </c>
      <c r="E5354" s="12" t="inlineStr"/>
      <c r="F5354" s="12" t="inlineStr">
        <is>
          <t>H2 26: H2 compressor 2 (40 ft ISO)</t>
        </is>
      </c>
      <c r="G5354" s="12" t="inlineStr">
        <is>
          <t>JB-H2 26: H2 compress-SOL01</t>
        </is>
      </c>
      <c r="H5354" s="12" t="inlineStr">
        <is>
          <t>H2 26: H2 compressor 2 (40 ft ISO)</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5" t="n">
        <v>53</v>
      </c>
      <c r="U5354" s="15" t="n">
        <v>10</v>
      </c>
      <c r="V5354" s="15">
        <f>ROUNDUP((T5354+U5354+2*'Read Me'!$B$13)*(1+'Read Me'!$B$12),-1)</f>
        <v/>
      </c>
      <c r="W5354" s="15">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K-C-0059</t>
        </is>
      </c>
      <c r="B5355" s="12" t="inlineStr">
        <is>
          <t>K</t>
        </is>
      </c>
      <c r="C5355" s="12" t="inlineStr">
        <is>
          <t>Fuel supply (adjacent market)</t>
        </is>
      </c>
      <c r="D5355" s="12" t="inlineStr">
        <is>
          <t>Home run JB-H2 26: H2 compress-SOL01 to the control / marshalling room</t>
        </is>
      </c>
      <c r="E5355" s="12" t="inlineStr"/>
      <c r="F5355" s="12" t="inlineStr">
        <is>
          <t>H2 20: 13.8 kV e-house</t>
        </is>
      </c>
      <c r="G5355" s="12" t="inlineStr">
        <is>
          <t>JB-H2 26: H2 compress-SOL01</t>
        </is>
      </c>
      <c r="H5355" s="12" t="inlineStr">
        <is>
          <t>H2 26: H2 compressor 2 (40 ft ISO)</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Conduit link</t>
        </is>
      </c>
      <c r="T5355" s="15" t="n">
        <v>44</v>
      </c>
      <c r="U5355" s="15" t="n">
        <v>47</v>
      </c>
      <c r="V5355" s="15">
        <f>ROUNDUP((T5355+U5355+2*'Read Me'!$B$13)*(1+'Read Me'!$B$12),-1)</f>
        <v/>
      </c>
      <c r="W5355" s="15">
        <f>V5355*N5355*O5355</f>
        <v/>
      </c>
      <c r="X5355" s="12">
        <f>IF(LEFT(I5355,2)="MV",2*N5355*IF(L5355="1/C",O5355,1),0)</f>
        <v/>
      </c>
      <c r="Y5355" s="12">
        <f>IF(OR(LEFT(K5355,4)="LVAX",LEFT(K5355,6)="MV15AX",LEFT(K5355,4)="CTAX",LEFT(K5355,2)="W|"),2*N5355*O5355,0)</f>
        <v/>
      </c>
      <c r="Z5355" s="12" t="inlineStr"/>
      <c r="AA5355" s="12">
        <f>N5355*O5355</f>
        <v/>
      </c>
    </row>
    <row r="5356">
      <c r="A5356" s="12" t="inlineStr">
        <is>
          <t>K-C-0060</t>
        </is>
      </c>
      <c r="B5356" s="12" t="inlineStr">
        <is>
          <t>K</t>
        </is>
      </c>
      <c r="C5356" s="12" t="inlineStr">
        <is>
          <t>Fuel supply (adjacent market)</t>
        </is>
      </c>
      <c r="D5356" s="12" t="inlineStr">
        <is>
          <t>Motor 1 of 1: control / local station</t>
        </is>
      </c>
      <c r="E5356" s="12" t="inlineStr"/>
      <c r="F5356" s="12" t="inlineStr">
        <is>
          <t>H2 20: 13.8 kV e-house</t>
        </is>
      </c>
      <c r="G5356" s="12" t="inlineStr"/>
      <c r="H5356" s="12" t="inlineStr">
        <is>
          <t>H2 27: storage tube bank (~40 ft tubes)</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Conduit link</t>
        </is>
      </c>
      <c r="T5356" s="15" t="n">
        <v>40</v>
      </c>
      <c r="U5356" s="15" t="n">
        <v>96</v>
      </c>
      <c r="V5356" s="15">
        <f>ROUNDUP((T5356+U5356+2*'Read Me'!$B$13)*(1+'Read Me'!$B$12),-1)</f>
        <v/>
      </c>
      <c r="W5356" s="15">
        <f>V5356*N5356*O5356</f>
        <v/>
      </c>
      <c r="X5356" s="12">
        <f>IF(LEFT(I5356,2)="MV",2*N5356*IF(L5356="1/C",O5356,1),0)</f>
        <v/>
      </c>
      <c r="Y5356" s="12">
        <f>IF(OR(LEFT(K5356,4)="LVAX",LEFT(K5356,6)="MV15AX",LEFT(K5356,4)="CTAX",LEFT(K5356,2)="W|"),2*N5356*O5356,0)</f>
        <v/>
      </c>
      <c r="Z5356" s="12" t="inlineStr"/>
      <c r="AA5356" s="12">
        <f>N5356*O5356</f>
        <v/>
      </c>
    </row>
    <row r="5357">
      <c r="A5357" s="12" t="inlineStr">
        <is>
          <t>K-C-0061</t>
        </is>
      </c>
      <c r="B5357" s="12" t="inlineStr">
        <is>
          <t>K</t>
        </is>
      </c>
      <c r="C5357" s="12" t="inlineStr">
        <is>
          <t>Fuel supply (adjacent market)</t>
        </is>
      </c>
      <c r="D5357" s="12" t="inlineStr">
        <is>
          <t>Solenoid to JB JB-H2 27: storage tub-SOL01: 2 x 2/C (field cables)</t>
        </is>
      </c>
      <c r="E5357" s="12" t="inlineStr"/>
      <c r="F5357" s="12" t="inlineStr">
        <is>
          <t>H2 27: storage tube bank (~40 ft tubes)</t>
        </is>
      </c>
      <c r="G5357" s="12" t="inlineStr">
        <is>
          <t>JB-H2 27: storage tub-SOL01</t>
        </is>
      </c>
      <c r="H5357" s="12" t="inlineStr">
        <is>
          <t>H2 27: storage tube bank (~40 ft tubes)</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5" t="n">
        <v>54</v>
      </c>
      <c r="U5357" s="15" t="n">
        <v>10</v>
      </c>
      <c r="V5357" s="15">
        <f>ROUNDUP((T5357+U5357+2*'Read Me'!$B$13)*(1+'Read Me'!$B$12),-1)</f>
        <v/>
      </c>
      <c r="W5357" s="15">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K-C-0062</t>
        </is>
      </c>
      <c r="B5358" s="12" t="inlineStr">
        <is>
          <t>K</t>
        </is>
      </c>
      <c r="C5358" s="12" t="inlineStr">
        <is>
          <t>Fuel supply (adjacent market)</t>
        </is>
      </c>
      <c r="D5358" s="12" t="inlineStr">
        <is>
          <t>Home run JB-H2 27: storage tub-SOL01 to the control / marshalling room</t>
        </is>
      </c>
      <c r="E5358" s="12" t="inlineStr"/>
      <c r="F5358" s="12" t="inlineStr">
        <is>
          <t>H2 20: 13.8 kV e-house</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Conduit link</t>
        </is>
      </c>
      <c r="T5358" s="15" t="n">
        <v>40</v>
      </c>
      <c r="U5358" s="15" t="n">
        <v>96</v>
      </c>
      <c r="V5358" s="15">
        <f>ROUNDUP((T5358+U5358+2*'Read Me'!$B$13)*(1+'Read Me'!$B$12),-1)</f>
        <v/>
      </c>
      <c r="W5358" s="15">
        <f>V5358*N5358*O5358</f>
        <v/>
      </c>
      <c r="X5358" s="12">
        <f>IF(LEFT(I5358,2)="MV",2*N5358*IF(L5358="1/C",O5358,1),0)</f>
        <v/>
      </c>
      <c r="Y5358" s="12">
        <f>IF(OR(LEFT(K5358,4)="LVAX",LEFT(K5358,6)="MV15AX",LEFT(K5358,4)="CTAX",LEFT(K5358,2)="W|"),2*N5358*O5358,0)</f>
        <v/>
      </c>
      <c r="Z5358" s="12" t="inlineStr"/>
      <c r="AA5358" s="12">
        <f>N5358*O5358</f>
        <v/>
      </c>
    </row>
    <row r="5359">
      <c r="A5359" s="12" t="inlineStr">
        <is>
          <t>K-C-0063</t>
        </is>
      </c>
      <c r="B5359" s="12" t="inlineStr">
        <is>
          <t>K</t>
        </is>
      </c>
      <c r="C5359" s="12" t="inlineStr">
        <is>
          <t>Fuel supply (adjacent market)</t>
        </is>
      </c>
      <c r="D5359" s="12" t="inlineStr">
        <is>
          <t>Motor 1 of 1: control / local station</t>
        </is>
      </c>
      <c r="E5359" s="12" t="inlineStr"/>
      <c r="F5359" s="12" t="inlineStr">
        <is>
          <t>H2 20: 13.8 kV e-house</t>
        </is>
      </c>
      <c r="G5359" s="12" t="inlineStr"/>
      <c r="H5359" s="12" t="inlineStr">
        <is>
          <t>H2 27: storage tube bank (~40 ft tubes)</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Conduit link</t>
        </is>
      </c>
      <c r="T5359" s="15" t="n">
        <v>40</v>
      </c>
      <c r="U5359" s="15" t="n">
        <v>116</v>
      </c>
      <c r="V5359" s="15">
        <f>ROUNDUP((T5359+U5359+2*'Read Me'!$B$13)*(1+'Read Me'!$B$12),-1)</f>
        <v/>
      </c>
      <c r="W5359" s="15">
        <f>V5359*N5359*O5359</f>
        <v/>
      </c>
      <c r="X5359" s="12">
        <f>IF(LEFT(I5359,2)="MV",2*N5359*IF(L5359="1/C",O5359,1),0)</f>
        <v/>
      </c>
      <c r="Y5359" s="12">
        <f>IF(OR(LEFT(K5359,4)="LVAX",LEFT(K5359,6)="MV15AX",LEFT(K5359,4)="CTAX",LEFT(K5359,2)="W|"),2*N5359*O5359,0)</f>
        <v/>
      </c>
      <c r="Z5359" s="12" t="inlineStr"/>
      <c r="AA5359" s="12">
        <f>N5359*O5359</f>
        <v/>
      </c>
    </row>
    <row r="5360">
      <c r="A5360" s="12" t="inlineStr">
        <is>
          <t>K-C-0064</t>
        </is>
      </c>
      <c r="B5360" s="12" t="inlineStr">
        <is>
          <t>K</t>
        </is>
      </c>
      <c r="C5360" s="12" t="inlineStr">
        <is>
          <t>Fuel supply (adjacent market)</t>
        </is>
      </c>
      <c r="D5360" s="12" t="inlineStr">
        <is>
          <t>Solenoid to JB JB-H2 27: storage tub-SOL01: 2 x 2/C (field cables)</t>
        </is>
      </c>
      <c r="E5360" s="12" t="inlineStr"/>
      <c r="F5360" s="12" t="inlineStr">
        <is>
          <t>H2 27: storage tube bank (~40 ft tubes)</t>
        </is>
      </c>
      <c r="G5360" s="12" t="inlineStr">
        <is>
          <t>JB-H2 27: storage tub-SOL01</t>
        </is>
      </c>
      <c r="H5360" s="12" t="inlineStr">
        <is>
          <t>H2 27: storage tube bank (~40 ft tubes)</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5" t="n">
        <v>54</v>
      </c>
      <c r="U5360" s="15" t="n">
        <v>10</v>
      </c>
      <c r="V5360" s="15">
        <f>ROUNDUP((T5360+U5360+2*'Read Me'!$B$13)*(1+'Read Me'!$B$12),-1)</f>
        <v/>
      </c>
      <c r="W5360" s="15">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K-C-0065</t>
        </is>
      </c>
      <c r="B5361" s="12" t="inlineStr">
        <is>
          <t>K</t>
        </is>
      </c>
      <c r="C5361" s="12" t="inlineStr">
        <is>
          <t>Fuel supply (adjacent market)</t>
        </is>
      </c>
      <c r="D5361" s="12" t="inlineStr">
        <is>
          <t>Home run JB-H2 27: storage tub-SOL01 to the control / marshalling room</t>
        </is>
      </c>
      <c r="E5361" s="12" t="inlineStr"/>
      <c r="F5361" s="12" t="inlineStr">
        <is>
          <t>H2 20: 13.8 kV e-house</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Conduit link</t>
        </is>
      </c>
      <c r="T5361" s="15" t="n">
        <v>40</v>
      </c>
      <c r="U5361" s="15" t="n">
        <v>116</v>
      </c>
      <c r="V5361" s="15">
        <f>ROUNDUP((T5361+U5361+2*'Read Me'!$B$13)*(1+'Read Me'!$B$12),-1)</f>
        <v/>
      </c>
      <c r="W5361" s="15">
        <f>V5361*N5361*O5361</f>
        <v/>
      </c>
      <c r="X5361" s="12">
        <f>IF(LEFT(I5361,2)="MV",2*N5361*IF(L5361="1/C",O5361,1),0)</f>
        <v/>
      </c>
      <c r="Y5361" s="12">
        <f>IF(OR(LEFT(K5361,4)="LVAX",LEFT(K5361,6)="MV15AX",LEFT(K5361,4)="CTAX",LEFT(K5361,2)="W|"),2*N5361*O5361,0)</f>
        <v/>
      </c>
      <c r="Z5361" s="12" t="inlineStr"/>
      <c r="AA5361" s="12">
        <f>N5361*O5361</f>
        <v/>
      </c>
    </row>
    <row r="5362">
      <c r="A5362" s="12" t="inlineStr">
        <is>
          <t>K-C-0066</t>
        </is>
      </c>
      <c r="B5362" s="12" t="inlineStr">
        <is>
          <t>K</t>
        </is>
      </c>
      <c r="C5362" s="12" t="inlineStr">
        <is>
          <t>Fuel supply (adjacent market)</t>
        </is>
      </c>
      <c r="D5362" s="12" t="inlineStr">
        <is>
          <t>Motor 1 of 1: control / local station</t>
        </is>
      </c>
      <c r="E5362" s="12" t="inlineStr"/>
      <c r="F5362" s="12" t="inlineStr">
        <is>
          <t>H2 20: 13.8 kV e-house</t>
        </is>
      </c>
      <c r="G5362" s="12" t="inlineStr"/>
      <c r="H5362" s="12" t="inlineStr">
        <is>
          <t>H2 27: storage tube bank (~40 ft tubes)</t>
        </is>
      </c>
      <c r="I5362" s="12" t="inlineStr">
        <is>
          <t>Control</t>
        </is>
      </c>
      <c r="J5362" s="12" t="inlineStr">
        <is>
          <t>ARMOR-X MC-HL 600 V control, Cu #14 AWG (Class I Div 2)</t>
        </is>
      </c>
      <c r="K5362" s="12" t="inlineStr">
        <is>
          <t>CTAX|7/C|14</t>
        </is>
      </c>
      <c r="L5362" s="12" t="inlineStr">
        <is>
          <t>7/C</t>
        </is>
      </c>
      <c r="M5362" s="12" t="inlineStr">
        <is>
          <t>14</t>
        </is>
      </c>
      <c r="N5362" s="12" t="n">
        <v>1</v>
      </c>
      <c r="O5362" s="12" t="n">
        <v>1</v>
      </c>
      <c r="P5362" s="12" t="n"/>
      <c r="Q5362" s="12" t="n"/>
      <c r="R5362" s="12" t="n"/>
      <c r="S5362" s="12" t="inlineStr">
        <is>
          <t>Conduit link</t>
        </is>
      </c>
      <c r="T5362" s="15" t="n">
        <v>44</v>
      </c>
      <c r="U5362" s="15" t="n">
        <v>97</v>
      </c>
      <c r="V5362" s="15">
        <f>ROUNDUP((T5362+U5362+2*'Read Me'!$B$13)*(1+'Read Me'!$B$12),-1)</f>
        <v/>
      </c>
      <c r="W5362" s="15">
        <f>V5362*N5362*O5362</f>
        <v/>
      </c>
      <c r="X5362" s="12">
        <f>IF(LEFT(I5362,2)="MV",2*N5362*IF(L5362="1/C",O5362,1),0)</f>
        <v/>
      </c>
      <c r="Y5362" s="12">
        <f>IF(OR(LEFT(K5362,4)="LVAX",LEFT(K5362,6)="MV15AX",LEFT(K5362,4)="CTAX",LEFT(K5362,2)="W|"),2*N5362*O5362,0)</f>
        <v/>
      </c>
      <c r="Z5362" s="12" t="inlineStr"/>
      <c r="AA5362" s="12">
        <f>N5362*O5362</f>
        <v/>
      </c>
    </row>
    <row r="5363">
      <c r="A5363" s="12" t="inlineStr">
        <is>
          <t>K-C-0067</t>
        </is>
      </c>
      <c r="B5363" s="12" t="inlineStr">
        <is>
          <t>K</t>
        </is>
      </c>
      <c r="C5363" s="12" t="inlineStr">
        <is>
          <t>Fuel supply (adjacent market)</t>
        </is>
      </c>
      <c r="D5363" s="12" t="inlineStr">
        <is>
          <t>Solenoid to JB JB-H2 27: storage tub-SOL01: 2 x 2/C (field cables)</t>
        </is>
      </c>
      <c r="E5363" s="12" t="inlineStr"/>
      <c r="F5363" s="12" t="inlineStr">
        <is>
          <t>H2 27: storage tube bank (~40 ft tubes)</t>
        </is>
      </c>
      <c r="G5363" s="12" t="inlineStr">
        <is>
          <t>JB-H2 27: storage tub-SOL01</t>
        </is>
      </c>
      <c r="H5363" s="12" t="inlineStr">
        <is>
          <t>H2 27: storage tube bank (~40 ft tubes)</t>
        </is>
      </c>
      <c r="I5363" s="12" t="inlineStr">
        <is>
          <t>Control</t>
        </is>
      </c>
      <c r="J5363" s="12" t="inlineStr">
        <is>
          <t>ARMOR-X MC-HL 600 V control, Cu #14 AWG (Class I Div 2)</t>
        </is>
      </c>
      <c r="K5363" s="12" t="inlineStr">
        <is>
          <t>CTAX|2/C|14</t>
        </is>
      </c>
      <c r="L5363" s="12" t="inlineStr">
        <is>
          <t>2/C</t>
        </is>
      </c>
      <c r="M5363" s="12" t="inlineStr">
        <is>
          <t>14</t>
        </is>
      </c>
      <c r="N5363" s="12" t="n">
        <v>2</v>
      </c>
      <c r="O5363" s="12" t="n">
        <v>1</v>
      </c>
      <c r="P5363" s="12" t="n"/>
      <c r="Q5363" s="12" t="n"/>
      <c r="R5363" s="12" t="n"/>
      <c r="S5363" s="12" t="inlineStr">
        <is>
          <t>Tray / conduit</t>
        </is>
      </c>
      <c r="T5363" s="15" t="n">
        <v>54</v>
      </c>
      <c r="U5363" s="15" t="n">
        <v>10</v>
      </c>
      <c r="V5363" s="15">
        <f>ROUNDUP((T5363+U5363+2*'Read Me'!$B$13)*(1+'Read Me'!$B$12),-1)</f>
        <v/>
      </c>
      <c r="W5363" s="15">
        <f>V5363*N5363*O5363</f>
        <v/>
      </c>
      <c r="X5363" s="12">
        <f>IF(LEFT(I5363,2)="MV",2*N5363*IF(L5363="1/C",O5363,1),0)</f>
        <v/>
      </c>
      <c r="Y5363" s="12">
        <f>IF(OR(LEFT(K5363,4)="LVAX",LEFT(K5363,6)="MV15AX",LEFT(K5363,4)="CTAX",LEFT(K5363,2)="W|"),2*N5363*O5363,0)</f>
        <v/>
      </c>
      <c r="Z5363" s="12" t="inlineStr">
        <is>
          <t>device-to-JB field wiring, one cable per device</t>
        </is>
      </c>
      <c r="AA5363" s="12">
        <f>N5363*O5363</f>
        <v/>
      </c>
    </row>
    <row r="5364">
      <c r="A5364" s="12" t="inlineStr">
        <is>
          <t>K-C-0068</t>
        </is>
      </c>
      <c r="B5364" s="12" t="inlineStr">
        <is>
          <t>K</t>
        </is>
      </c>
      <c r="C5364" s="12" t="inlineStr">
        <is>
          <t>Fuel supply (adjacent market)</t>
        </is>
      </c>
      <c r="D5364" s="12" t="inlineStr">
        <is>
          <t>Home run JB-H2 27: storage tub-SOL01 to the control / marshalling room</t>
        </is>
      </c>
      <c r="E5364" s="12" t="inlineStr"/>
      <c r="F5364" s="12" t="inlineStr">
        <is>
          <t>H2 20: 13.8 kV e-house</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CTAX|25/C|14</t>
        </is>
      </c>
      <c r="L5364" s="12" t="inlineStr">
        <is>
          <t>25/C</t>
        </is>
      </c>
      <c r="M5364" s="12" t="inlineStr">
        <is>
          <t>14</t>
        </is>
      </c>
      <c r="N5364" s="12" t="n">
        <v>1</v>
      </c>
      <c r="O5364" s="12" t="n">
        <v>1</v>
      </c>
      <c r="P5364" s="12" t="n"/>
      <c r="Q5364" s="12" t="n"/>
      <c r="R5364" s="12" t="n"/>
      <c r="S5364" s="12" t="inlineStr">
        <is>
          <t>Conduit link</t>
        </is>
      </c>
      <c r="T5364" s="15" t="n">
        <v>44</v>
      </c>
      <c r="U5364" s="15" t="n">
        <v>97</v>
      </c>
      <c r="V5364" s="15">
        <f>ROUNDUP((T5364+U5364+2*'Read Me'!$B$13)*(1+'Read Me'!$B$12),-1)</f>
        <v/>
      </c>
      <c r="W5364" s="15">
        <f>V5364*N5364*O5364</f>
        <v/>
      </c>
      <c r="X5364" s="12">
        <f>IF(LEFT(I5364,2)="MV",2*N5364*IF(L5364="1/C",O5364,1),0)</f>
        <v/>
      </c>
      <c r="Y5364" s="12">
        <f>IF(OR(LEFT(K5364,4)="LVAX",LEFT(K5364,6)="MV15AX",LEFT(K5364,4)="CTAX",LEFT(K5364,2)="W|"),2*N5364*O5364,0)</f>
        <v/>
      </c>
      <c r="Z5364" s="12" t="inlineStr"/>
      <c r="AA5364" s="12">
        <f>N5364*O5364</f>
        <v/>
      </c>
    </row>
    <row r="5365">
      <c r="A5365" s="12" t="inlineStr">
        <is>
          <t>K-C-0069</t>
        </is>
      </c>
      <c r="B5365" s="12" t="inlineStr">
        <is>
          <t>K</t>
        </is>
      </c>
      <c r="C5365" s="12" t="inlineStr">
        <is>
          <t>Fuel supply (adjacent market)</t>
        </is>
      </c>
      <c r="D5365" s="12" t="inlineStr">
        <is>
          <t>Motor 1 of 1: control / local station</t>
        </is>
      </c>
      <c r="E5365" s="12" t="inlineStr"/>
      <c r="F5365" s="12" t="inlineStr">
        <is>
          <t>H2 20: 13.8 kV e-house</t>
        </is>
      </c>
      <c r="G5365" s="12" t="inlineStr"/>
      <c r="H5365" s="12" t="inlineStr">
        <is>
          <t>H2 27: storage tube bank (~40 ft tubes)</t>
        </is>
      </c>
      <c r="I5365" s="12" t="inlineStr">
        <is>
          <t>Control</t>
        </is>
      </c>
      <c r="J5365" s="12" t="inlineStr">
        <is>
          <t>ARMOR-X MC-HL 600 V control, Cu #14 AWG (Class I Div 2)</t>
        </is>
      </c>
      <c r="K5365" s="12" t="inlineStr">
        <is>
          <t>CTAX|7/C|14</t>
        </is>
      </c>
      <c r="L5365" s="12" t="inlineStr">
        <is>
          <t>7/C</t>
        </is>
      </c>
      <c r="M5365" s="12" t="inlineStr">
        <is>
          <t>14</t>
        </is>
      </c>
      <c r="N5365" s="12" t="n">
        <v>1</v>
      </c>
      <c r="O5365" s="12" t="n">
        <v>1</v>
      </c>
      <c r="P5365" s="12" t="n"/>
      <c r="Q5365" s="12" t="n"/>
      <c r="R5365" s="12" t="n"/>
      <c r="S5365" s="12" t="inlineStr">
        <is>
          <t>Conduit link</t>
        </is>
      </c>
      <c r="T5365" s="15" t="n">
        <v>44</v>
      </c>
      <c r="U5365" s="15" t="n">
        <v>117</v>
      </c>
      <c r="V5365" s="15">
        <f>ROUNDUP((T5365+U5365+2*'Read Me'!$B$13)*(1+'Read Me'!$B$12),-1)</f>
        <v/>
      </c>
      <c r="W5365" s="15">
        <f>V5365*N5365*O5365</f>
        <v/>
      </c>
      <c r="X5365" s="12">
        <f>IF(LEFT(I5365,2)="MV",2*N5365*IF(L5365="1/C",O5365,1),0)</f>
        <v/>
      </c>
      <c r="Y5365" s="12">
        <f>IF(OR(LEFT(K5365,4)="LVAX",LEFT(K5365,6)="MV15AX",LEFT(K5365,4)="CTAX",LEFT(K5365,2)="W|"),2*N5365*O5365,0)</f>
        <v/>
      </c>
      <c r="Z5365" s="12" t="inlineStr"/>
      <c r="AA5365" s="12">
        <f>N5365*O5365</f>
        <v/>
      </c>
    </row>
    <row r="5366">
      <c r="A5366" s="12" t="inlineStr">
        <is>
          <t>K-C-0070</t>
        </is>
      </c>
      <c r="B5366" s="12" t="inlineStr">
        <is>
          <t>K</t>
        </is>
      </c>
      <c r="C5366" s="12" t="inlineStr">
        <is>
          <t>Fuel supply (adjacent market)</t>
        </is>
      </c>
      <c r="D5366" s="12" t="inlineStr">
        <is>
          <t>Solenoid to JB JB-H2 27: storage tub-SOL01: 2 x 2/C (field cables)</t>
        </is>
      </c>
      <c r="E5366" s="12" t="inlineStr"/>
      <c r="F5366" s="12" t="inlineStr">
        <is>
          <t>H2 27: storage tube bank (~40 ft tubes)</t>
        </is>
      </c>
      <c r="G5366" s="12" t="inlineStr">
        <is>
          <t>JB-H2 27: storage tub-SOL01</t>
        </is>
      </c>
      <c r="H5366" s="12" t="inlineStr">
        <is>
          <t>H2 27: storage tube bank (~40 ft tubes)</t>
        </is>
      </c>
      <c r="I5366" s="12" t="inlineStr">
        <is>
          <t>Control</t>
        </is>
      </c>
      <c r="J5366" s="12" t="inlineStr">
        <is>
          <t>ARMOR-X MC-HL 600 V control, Cu #14 AWG (Class I Div 2)</t>
        </is>
      </c>
      <c r="K5366" s="12" t="inlineStr">
        <is>
          <t>CTAX|2/C|14</t>
        </is>
      </c>
      <c r="L5366" s="12" t="inlineStr">
        <is>
          <t>2/C</t>
        </is>
      </c>
      <c r="M5366" s="12" t="inlineStr">
        <is>
          <t>14</t>
        </is>
      </c>
      <c r="N5366" s="12" t="n">
        <v>2</v>
      </c>
      <c r="O5366" s="12" t="n">
        <v>1</v>
      </c>
      <c r="P5366" s="12" t="n"/>
      <c r="Q5366" s="12" t="n"/>
      <c r="R5366" s="12" t="n"/>
      <c r="S5366" s="12" t="inlineStr">
        <is>
          <t>Tray / conduit</t>
        </is>
      </c>
      <c r="T5366" s="15" t="n">
        <v>54</v>
      </c>
      <c r="U5366" s="15" t="n">
        <v>10</v>
      </c>
      <c r="V5366" s="15">
        <f>ROUNDUP((T5366+U5366+2*'Read Me'!$B$13)*(1+'Read Me'!$B$12),-1)</f>
        <v/>
      </c>
      <c r="W5366" s="15">
        <f>V5366*N5366*O5366</f>
        <v/>
      </c>
      <c r="X5366" s="12">
        <f>IF(LEFT(I5366,2)="MV",2*N5366*IF(L5366="1/C",O5366,1),0)</f>
        <v/>
      </c>
      <c r="Y5366" s="12">
        <f>IF(OR(LEFT(K5366,4)="LVAX",LEFT(K5366,6)="MV15AX",LEFT(K5366,4)="CTAX",LEFT(K5366,2)="W|"),2*N5366*O5366,0)</f>
        <v/>
      </c>
      <c r="Z5366" s="12" t="inlineStr">
        <is>
          <t>device-to-JB field wiring, one cable per device</t>
        </is>
      </c>
      <c r="AA5366" s="12">
        <f>N5366*O5366</f>
        <v/>
      </c>
    </row>
    <row r="5367">
      <c r="A5367" s="12" t="inlineStr">
        <is>
          <t>K-C-0071</t>
        </is>
      </c>
      <c r="B5367" s="12" t="inlineStr">
        <is>
          <t>K</t>
        </is>
      </c>
      <c r="C5367" s="12" t="inlineStr">
        <is>
          <t>Fuel supply (adjacent market)</t>
        </is>
      </c>
      <c r="D5367" s="12" t="inlineStr">
        <is>
          <t>Home run JB-H2 27: storage tub-SOL01 to the control / marshalling room</t>
        </is>
      </c>
      <c r="E5367" s="12" t="inlineStr"/>
      <c r="F5367" s="12" t="inlineStr">
        <is>
          <t>H2 20: 13.8 kV e-house</t>
        </is>
      </c>
      <c r="G5367" s="12" t="inlineStr">
        <is>
          <t>JB-H2 27: storage tub-SOL01</t>
        </is>
      </c>
      <c r="H5367" s="12" t="inlineStr">
        <is>
          <t>H2 27: storage tube bank (~40 ft tubes)</t>
        </is>
      </c>
      <c r="I5367" s="12" t="inlineStr">
        <is>
          <t>Control</t>
        </is>
      </c>
      <c r="J5367" s="12" t="inlineStr">
        <is>
          <t>ARMOR-X MC-HL 600 V control, Cu #14 AWG (Class I Div 2)</t>
        </is>
      </c>
      <c r="K5367" s="12" t="inlineStr">
        <is>
          <t>CTAX|25/C|14</t>
        </is>
      </c>
      <c r="L5367" s="12" t="inlineStr">
        <is>
          <t>25/C</t>
        </is>
      </c>
      <c r="M5367" s="12" t="inlineStr">
        <is>
          <t>14</t>
        </is>
      </c>
      <c r="N5367" s="12" t="n">
        <v>1</v>
      </c>
      <c r="O5367" s="12" t="n">
        <v>1</v>
      </c>
      <c r="P5367" s="12" t="n"/>
      <c r="Q5367" s="12" t="n"/>
      <c r="R5367" s="12" t="n"/>
      <c r="S5367" s="12" t="inlineStr">
        <is>
          <t>Conduit link</t>
        </is>
      </c>
      <c r="T5367" s="15" t="n">
        <v>44</v>
      </c>
      <c r="U5367" s="15" t="n">
        <v>117</v>
      </c>
      <c r="V5367" s="15">
        <f>ROUNDUP((T5367+U5367+2*'Read Me'!$B$13)*(1+'Read Me'!$B$12),-1)</f>
        <v/>
      </c>
      <c r="W5367" s="15">
        <f>V5367*N5367*O5367</f>
        <v/>
      </c>
      <c r="X5367" s="12">
        <f>IF(LEFT(I5367,2)="MV",2*N5367*IF(L5367="1/C",O5367,1),0)</f>
        <v/>
      </c>
      <c r="Y5367" s="12">
        <f>IF(OR(LEFT(K5367,4)="LVAX",LEFT(K5367,6)="MV15AX",LEFT(K5367,4)="CTAX",LEFT(K5367,2)="W|"),2*N5367*O5367,0)</f>
        <v/>
      </c>
      <c r="Z5367" s="12" t="inlineStr"/>
      <c r="AA5367" s="12">
        <f>N5367*O5367</f>
        <v/>
      </c>
    </row>
    <row r="5368">
      <c r="A5368" s="12" t="inlineStr">
        <is>
          <t>K-C-0072</t>
        </is>
      </c>
      <c r="B5368" s="12" t="inlineStr">
        <is>
          <t>K</t>
        </is>
      </c>
      <c r="C5368" s="12" t="inlineStr">
        <is>
          <t>Fuel supply (adjacent market)</t>
        </is>
      </c>
      <c r="D5368" s="12" t="inlineStr">
        <is>
          <t>Motor 1 of 1: control / local station</t>
        </is>
      </c>
      <c r="E5368" s="12" t="inlineStr"/>
      <c r="F5368" s="12" t="inlineStr">
        <is>
          <t>H2 20: 13.8 kV e-house</t>
        </is>
      </c>
      <c r="G5368" s="12" t="inlineStr"/>
      <c r="H5368" s="12" t="inlineStr">
        <is>
          <t>H2 28: N2 purge supply</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5" t="n">
        <v>53</v>
      </c>
      <c r="U5368" s="15" t="n">
        <v>36</v>
      </c>
      <c r="V5368" s="15">
        <f>ROUNDUP((T5368+U5368+2*'Read Me'!$B$13)*(1+'Read Me'!$B$12),-1)</f>
        <v/>
      </c>
      <c r="W5368" s="15">
        <f>V5368*N5368*O5368</f>
        <v/>
      </c>
      <c r="X5368" s="12">
        <f>IF(LEFT(I5368,2)="MV",2*N5368*IF(L5368="1/C",O5368,1),0)</f>
        <v/>
      </c>
      <c r="Y5368" s="12">
        <f>IF(OR(LEFT(K5368,4)="LVAX",LEFT(K5368,6)="MV15AX",LEFT(K5368,4)="CTAX",LEFT(K5368,2)="W|"),2*N5368*O5368,0)</f>
        <v/>
      </c>
      <c r="Z5368" s="12" t="inlineStr"/>
      <c r="AA5368" s="12">
        <f>N5368*O5368</f>
        <v/>
      </c>
    </row>
    <row r="5369">
      <c r="A5369" s="12" t="inlineStr">
        <is>
          <t>K-C-0073</t>
        </is>
      </c>
      <c r="B5369" s="12" t="inlineStr">
        <is>
          <t>K</t>
        </is>
      </c>
      <c r="C5369" s="12" t="inlineStr">
        <is>
          <t>Fuel supply (adjacent market)</t>
        </is>
      </c>
      <c r="D5369" s="12" t="inlineStr">
        <is>
          <t>Solenoid to JB JB-H2 28: N2 purge su-SOL01: 2 x 2/C (field cables)</t>
        </is>
      </c>
      <c r="E5369" s="12" t="inlineStr"/>
      <c r="F5369" s="12" t="inlineStr">
        <is>
          <t>H2 28: N2 purge supply</t>
        </is>
      </c>
      <c r="G5369" s="12" t="inlineStr">
        <is>
          <t>JB-H2 28: N2 purge su-SOL01</t>
        </is>
      </c>
      <c r="H5369" s="12" t="inlineStr">
        <is>
          <t>H2 28: N2 purge supply</t>
        </is>
      </c>
      <c r="I5369" s="12" t="inlineStr">
        <is>
          <t>Control</t>
        </is>
      </c>
      <c r="J5369" s="12" t="inlineStr">
        <is>
          <t>ARMOR-X MC-HL 600 V control, Cu #14 AWG (Class I Div 2)</t>
        </is>
      </c>
      <c r="K5369" s="12" t="inlineStr">
        <is>
          <t>CTAX|2/C|14</t>
        </is>
      </c>
      <c r="L5369" s="12" t="inlineStr">
        <is>
          <t>2/C</t>
        </is>
      </c>
      <c r="M5369" s="12" t="inlineStr">
        <is>
          <t>14</t>
        </is>
      </c>
      <c r="N5369" s="12" t="n">
        <v>2</v>
      </c>
      <c r="O5369" s="12" t="n">
        <v>1</v>
      </c>
      <c r="P5369" s="12" t="n"/>
      <c r="Q5369" s="12" t="n"/>
      <c r="R5369" s="12" t="n"/>
      <c r="S5369" s="12" t="inlineStr">
        <is>
          <t>Tray / conduit</t>
        </is>
      </c>
      <c r="T5369" s="15" t="n">
        <v>56</v>
      </c>
      <c r="U5369" s="15" t="n">
        <v>10</v>
      </c>
      <c r="V5369" s="15">
        <f>ROUNDUP((T5369+U5369+2*'Read Me'!$B$13)*(1+'Read Me'!$B$12),-1)</f>
        <v/>
      </c>
      <c r="W5369" s="15">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K-C-0074</t>
        </is>
      </c>
      <c r="B5370" s="12" t="inlineStr">
        <is>
          <t>K</t>
        </is>
      </c>
      <c r="C5370" s="12" t="inlineStr">
        <is>
          <t>Fuel supply (adjacent market)</t>
        </is>
      </c>
      <c r="D5370" s="12" t="inlineStr">
        <is>
          <t>Home run JB-H2 28: N2 purge su-SOL01 to the control / marshalling room</t>
        </is>
      </c>
      <c r="E5370" s="12" t="inlineStr"/>
      <c r="F5370" s="12" t="inlineStr">
        <is>
          <t>H2 20: 13.8 kV e-house</t>
        </is>
      </c>
      <c r="G5370" s="12" t="inlineStr">
        <is>
          <t>JB-H2 28: N2 purge su-SOL01</t>
        </is>
      </c>
      <c r="H5370" s="12" t="inlineStr">
        <is>
          <t>H2 28: N2 purge supply</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5" t="n">
        <v>53</v>
      </c>
      <c r="U5370" s="15" t="n">
        <v>36</v>
      </c>
      <c r="V5370" s="15">
        <f>ROUNDUP((T5370+U5370+2*'Read Me'!$B$13)*(1+'Read Me'!$B$12),-1)</f>
        <v/>
      </c>
      <c r="W5370" s="15">
        <f>V5370*N5370*O5370</f>
        <v/>
      </c>
      <c r="X5370" s="12">
        <f>IF(LEFT(I5370,2)="MV",2*N5370*IF(L5370="1/C",O5370,1),0)</f>
        <v/>
      </c>
      <c r="Y5370" s="12">
        <f>IF(OR(LEFT(K5370,4)="LVAX",LEFT(K5370,6)="MV15AX",LEFT(K5370,4)="CTAX",LEFT(K5370,2)="W|"),2*N5370*O5370,0)</f>
        <v/>
      </c>
      <c r="Z5370" s="12" t="inlineStr"/>
      <c r="AA5370" s="12">
        <f>N5370*O5370</f>
        <v/>
      </c>
    </row>
    <row r="5371">
      <c r="A5371" s="12" t="inlineStr">
        <is>
          <t>K-C-0075</t>
        </is>
      </c>
      <c r="B5371" s="12" t="inlineStr">
        <is>
          <t>K</t>
        </is>
      </c>
      <c r="C5371" s="12" t="inlineStr">
        <is>
          <t>Fuel supply (adjacent market)</t>
        </is>
      </c>
      <c r="D5371" s="12" t="inlineStr">
        <is>
          <t>Motor 1 of 1: control / local station</t>
        </is>
      </c>
      <c r="E5371" s="12" t="inlineStr"/>
      <c r="F5371" s="12" t="inlineStr">
        <is>
          <t>H2 20: 13.8 kV e-house</t>
        </is>
      </c>
      <c r="G5371" s="12" t="inlineStr"/>
      <c r="H5371" s="12" t="inlineStr">
        <is>
          <t>H2 29: vent stack</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Conduit link</t>
        </is>
      </c>
      <c r="T5371" s="15" t="n">
        <v>44</v>
      </c>
      <c r="U5371" s="15" t="n">
        <v>210</v>
      </c>
      <c r="V5371" s="15">
        <f>ROUNDUP((T5371+U5371+2*'Read Me'!$B$13)*(1+'Read Me'!$B$12),-1)</f>
        <v/>
      </c>
      <c r="W5371" s="15">
        <f>V5371*N5371*O5371</f>
        <v/>
      </c>
      <c r="X5371" s="12">
        <f>IF(LEFT(I5371,2)="MV",2*N5371*IF(L5371="1/C",O5371,1),0)</f>
        <v/>
      </c>
      <c r="Y5371" s="12">
        <f>IF(OR(LEFT(K5371,4)="LVAX",LEFT(K5371,6)="MV15AX",LEFT(K5371,4)="CTAX",LEFT(K5371,2)="W|"),2*N5371*O5371,0)</f>
        <v/>
      </c>
      <c r="Z5371" s="12" t="inlineStr"/>
      <c r="AA5371" s="12">
        <f>N5371*O5371</f>
        <v/>
      </c>
    </row>
    <row r="5372">
      <c r="A5372" s="12" t="inlineStr">
        <is>
          <t>K-C-0076</t>
        </is>
      </c>
      <c r="B5372" s="12" t="inlineStr">
        <is>
          <t>K</t>
        </is>
      </c>
      <c r="C5372" s="12" t="inlineStr">
        <is>
          <t>Fuel supply (adjacent market)</t>
        </is>
      </c>
      <c r="D5372" s="12" t="inlineStr">
        <is>
          <t>Solenoid to JB JB-H2 29: vent stack-SOL01: 2 x 2/C (field cables)</t>
        </is>
      </c>
      <c r="E5372" s="12" t="inlineStr"/>
      <c r="F5372" s="12" t="inlineStr">
        <is>
          <t>H2 29: vent stack</t>
        </is>
      </c>
      <c r="G5372" s="12" t="inlineStr">
        <is>
          <t>JB-H2 29: vent stack-SOL01</t>
        </is>
      </c>
      <c r="H5372" s="12" t="inlineStr">
        <is>
          <t>H2 29: vent stack</t>
        </is>
      </c>
      <c r="I5372" s="12" t="inlineStr">
        <is>
          <t>Control</t>
        </is>
      </c>
      <c r="J5372" s="12" t="inlineStr">
        <is>
          <t>ARMOR-X MC-HL 600 V control, Cu #14 AWG (Class I Div 2)</t>
        </is>
      </c>
      <c r="K5372" s="12" t="inlineStr">
        <is>
          <t>CTAX|2/C|14</t>
        </is>
      </c>
      <c r="L5372" s="12" t="inlineStr">
        <is>
          <t>2/C</t>
        </is>
      </c>
      <c r="M5372" s="12" t="inlineStr">
        <is>
          <t>14</t>
        </is>
      </c>
      <c r="N5372" s="12" t="n">
        <v>2</v>
      </c>
      <c r="O5372" s="12" t="n">
        <v>1</v>
      </c>
      <c r="P5372" s="12" t="n"/>
      <c r="Q5372" s="12" t="n"/>
      <c r="R5372" s="12" t="n"/>
      <c r="S5372" s="12" t="inlineStr">
        <is>
          <t>Tray / conduit</t>
        </is>
      </c>
      <c r="T5372" s="15" t="n">
        <v>45</v>
      </c>
      <c r="U5372" s="15" t="n">
        <v>10</v>
      </c>
      <c r="V5372" s="15">
        <f>ROUNDUP((T5372+U5372+2*'Read Me'!$B$13)*(1+'Read Me'!$B$12),-1)</f>
        <v/>
      </c>
      <c r="W5372" s="15">
        <f>V5372*N5372*O5372</f>
        <v/>
      </c>
      <c r="X5372" s="12">
        <f>IF(LEFT(I5372,2)="MV",2*N5372*IF(L5372="1/C",O5372,1),0)</f>
        <v/>
      </c>
      <c r="Y5372" s="12">
        <f>IF(OR(LEFT(K5372,4)="LVAX",LEFT(K5372,6)="MV15AX",LEFT(K5372,4)="CTAX",LEFT(K5372,2)="W|"),2*N5372*O5372,0)</f>
        <v/>
      </c>
      <c r="Z5372" s="12" t="inlineStr">
        <is>
          <t>device-to-JB field wiring, one cable per device</t>
        </is>
      </c>
      <c r="AA5372" s="12">
        <f>N5372*O5372</f>
        <v/>
      </c>
    </row>
    <row r="5373">
      <c r="A5373" s="12" t="inlineStr">
        <is>
          <t>K-C-0077</t>
        </is>
      </c>
      <c r="B5373" s="12" t="inlineStr">
        <is>
          <t>K</t>
        </is>
      </c>
      <c r="C5373" s="12" t="inlineStr">
        <is>
          <t>Fuel supply (adjacent market)</t>
        </is>
      </c>
      <c r="D5373" s="12" t="inlineStr">
        <is>
          <t>Home run JB-H2 29: vent stack-SOL01 to the control / marshalling room</t>
        </is>
      </c>
      <c r="E5373" s="12" t="inlineStr"/>
      <c r="F5373" s="12" t="inlineStr">
        <is>
          <t>H2 20: 13.8 kV e-house</t>
        </is>
      </c>
      <c r="G5373" s="12" t="inlineStr">
        <is>
          <t>JB-H2 29: vent stack-SOL01</t>
        </is>
      </c>
      <c r="H5373" s="12" t="inlineStr">
        <is>
          <t>H2 29: vent stack</t>
        </is>
      </c>
      <c r="I5373" s="12" t="inlineStr">
        <is>
          <t>Control</t>
        </is>
      </c>
      <c r="J5373" s="12" t="inlineStr">
        <is>
          <t>ARMOR-X MC-HL 600 V control, Cu #14 AWG (Class I Div 2)</t>
        </is>
      </c>
      <c r="K5373" s="12" t="inlineStr">
        <is>
          <t>CTAX|25/C|14</t>
        </is>
      </c>
      <c r="L5373" s="12" t="inlineStr">
        <is>
          <t>25/C</t>
        </is>
      </c>
      <c r="M5373" s="12" t="inlineStr">
        <is>
          <t>14</t>
        </is>
      </c>
      <c r="N5373" s="12" t="n">
        <v>1</v>
      </c>
      <c r="O5373" s="12" t="n">
        <v>1</v>
      </c>
      <c r="P5373" s="12" t="n"/>
      <c r="Q5373" s="12" t="n"/>
      <c r="R5373" s="12" t="n"/>
      <c r="S5373" s="12" t="inlineStr">
        <is>
          <t>Conduit link</t>
        </is>
      </c>
      <c r="T5373" s="15" t="n">
        <v>44</v>
      </c>
      <c r="U5373" s="15" t="n">
        <v>210</v>
      </c>
      <c r="V5373" s="15">
        <f>ROUNDUP((T5373+U5373+2*'Read Me'!$B$13)*(1+'Read Me'!$B$12),-1)</f>
        <v/>
      </c>
      <c r="W5373" s="15">
        <f>V5373*N5373*O5373</f>
        <v/>
      </c>
      <c r="X5373" s="12">
        <f>IF(LEFT(I5373,2)="MV",2*N5373*IF(L5373="1/C",O5373,1),0)</f>
        <v/>
      </c>
      <c r="Y5373" s="12">
        <f>IF(OR(LEFT(K5373,4)="LVAX",LEFT(K5373,6)="MV15AX",LEFT(K5373,4)="CTAX",LEFT(K5373,2)="W|"),2*N5373*O5373,0)</f>
        <v/>
      </c>
      <c r="Z5373" s="12" t="inlineStr"/>
      <c r="AA5373" s="12">
        <f>N5373*O5373</f>
        <v/>
      </c>
    </row>
    <row r="5374">
      <c r="A5374" s="12" t="inlineStr">
        <is>
          <t>K-C-0078</t>
        </is>
      </c>
      <c r="B5374" s="12" t="inlineStr">
        <is>
          <t>K</t>
        </is>
      </c>
      <c r="C5374" s="12" t="inlineStr">
        <is>
          <t>Fuel supply (adjacent market)</t>
        </is>
      </c>
      <c r="D5374" s="12" t="inlineStr">
        <is>
          <t>Motor 1 of 1: control / local station</t>
        </is>
      </c>
      <c r="E5374" s="12" t="inlineStr"/>
      <c r="F5374" s="12" t="inlineStr">
        <is>
          <t>LNG 17: LNG e-house (13.8 kV / 480 V)</t>
        </is>
      </c>
      <c r="G5374" s="12" t="inlineStr"/>
      <c r="H5374" s="12" t="inlineStr">
        <is>
          <t>H2 30: H2 / gas blending skid (plant gas yard)</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5" t="n">
        <v>1011</v>
      </c>
      <c r="U5374" s="15" t="n">
        <v>132</v>
      </c>
      <c r="V5374" s="15">
        <f>ROUNDUP((T5374+U5374+2*'Read Me'!$B$13)*(1+'Read Me'!$B$12),-1)</f>
        <v/>
      </c>
      <c r="W5374" s="15">
        <f>V5374*N5374*O5374</f>
        <v/>
      </c>
      <c r="X5374" s="12">
        <f>IF(LEFT(I5374,2)="MV",2*N5374*IF(L5374="1/C",O5374,1),0)</f>
        <v/>
      </c>
      <c r="Y5374" s="12">
        <f>IF(OR(LEFT(K5374,4)="LVAX",LEFT(K5374,6)="MV15AX",LEFT(K5374,4)="CTAX",LEFT(K5374,2)="W|"),2*N5374*O5374,0)</f>
        <v/>
      </c>
      <c r="Z5374" s="12" t="inlineStr"/>
      <c r="AA5374" s="12">
        <f>N5374*O5374</f>
        <v/>
      </c>
    </row>
    <row r="5375">
      <c r="A5375" s="12" t="inlineStr">
        <is>
          <t>K-C-0079</t>
        </is>
      </c>
      <c r="B5375" s="12" t="inlineStr">
        <is>
          <t>K</t>
        </is>
      </c>
      <c r="C5375" s="12" t="inlineStr">
        <is>
          <t>Fuel supply (adjacent market)</t>
        </is>
      </c>
      <c r="D5375" s="12" t="inlineStr">
        <is>
          <t>Solenoid to JB JB-H2 30: H2 / gas bl-SOL01: 2 x 2/C (field cables)</t>
        </is>
      </c>
      <c r="E5375" s="12" t="inlineStr"/>
      <c r="F5375" s="12" t="inlineStr">
        <is>
          <t>H2 30: H2 / gas blending skid (plant gas yard)</t>
        </is>
      </c>
      <c r="G5375" s="12" t="inlineStr">
        <is>
          <t>JB-H2 30: H2 / gas bl-SOL01</t>
        </is>
      </c>
      <c r="H5375" s="12" t="inlineStr">
        <is>
          <t>H2 30: H2 / gas blending skid (plant gas yard)</t>
        </is>
      </c>
      <c r="I5375" s="12" t="inlineStr">
        <is>
          <t>Control</t>
        </is>
      </c>
      <c r="J5375" s="12" t="inlineStr">
        <is>
          <t>ARMOR-X MC-HL 600 V control, Cu #14 AWG (Class I Div 2)</t>
        </is>
      </c>
      <c r="K5375" s="12" t="inlineStr">
        <is>
          <t>CTAX|2/C|14</t>
        </is>
      </c>
      <c r="L5375" s="12" t="inlineStr">
        <is>
          <t>2/C</t>
        </is>
      </c>
      <c r="M5375" s="12" t="inlineStr">
        <is>
          <t>14</t>
        </is>
      </c>
      <c r="N5375" s="12" t="n">
        <v>2</v>
      </c>
      <c r="O5375" s="12" t="n">
        <v>1</v>
      </c>
      <c r="P5375" s="12" t="n"/>
      <c r="Q5375" s="12" t="n"/>
      <c r="R5375" s="12" t="n"/>
      <c r="S5375" s="12" t="inlineStr">
        <is>
          <t>Tray / conduit</t>
        </is>
      </c>
      <c r="T5375" s="15" t="n">
        <v>64</v>
      </c>
      <c r="U5375" s="15" t="n">
        <v>10</v>
      </c>
      <c r="V5375" s="15">
        <f>ROUNDUP((T5375+U5375+2*'Read Me'!$B$13)*(1+'Read Me'!$B$12),-1)</f>
        <v/>
      </c>
      <c r="W5375" s="15">
        <f>V5375*N5375*O5375</f>
        <v/>
      </c>
      <c r="X5375" s="12">
        <f>IF(LEFT(I5375,2)="MV",2*N5375*IF(L5375="1/C",O5375,1),0)</f>
        <v/>
      </c>
      <c r="Y5375" s="12">
        <f>IF(OR(LEFT(K5375,4)="LVAX",LEFT(K5375,6)="MV15AX",LEFT(K5375,4)="CTAX",LEFT(K5375,2)="W|"),2*N5375*O5375,0)</f>
        <v/>
      </c>
      <c r="Z5375" s="12" t="inlineStr">
        <is>
          <t>device-to-JB field wiring, one cable per device</t>
        </is>
      </c>
      <c r="AA5375" s="12">
        <f>N5375*O5375</f>
        <v/>
      </c>
    </row>
    <row r="5376">
      <c r="A5376" s="12" t="inlineStr">
        <is>
          <t>K-C-0080</t>
        </is>
      </c>
      <c r="B5376" s="12" t="inlineStr">
        <is>
          <t>K</t>
        </is>
      </c>
      <c r="C5376" s="12" t="inlineStr">
        <is>
          <t>Fuel supply (adjacent market)</t>
        </is>
      </c>
      <c r="D5376" s="12" t="inlineStr">
        <is>
          <t>Home run JB-H2 30: H2 / gas bl-SOL01 to the control / marshalling room</t>
        </is>
      </c>
      <c r="E5376" s="12" t="inlineStr"/>
      <c r="F5376" s="12" t="inlineStr">
        <is>
          <t>LNG 17: LNG e-house (13.8 kV / 480 V)</t>
        </is>
      </c>
      <c r="G5376" s="12" t="inlineStr">
        <is>
          <t>JB-H2 30: H2 / gas bl-SOL01</t>
        </is>
      </c>
      <c r="H5376" s="12" t="inlineStr">
        <is>
          <t>H2 30: H2 / gas blending skid (plant gas yard)</t>
        </is>
      </c>
      <c r="I5376" s="12" t="inlineStr">
        <is>
          <t>Control</t>
        </is>
      </c>
      <c r="J5376" s="12" t="inlineStr">
        <is>
          <t>ARMOR-X MC-HL 600 V control, Cu #14 AWG (Class I Div 2)</t>
        </is>
      </c>
      <c r="K5376" s="12" t="inlineStr">
        <is>
          <t>CTAX|25/C|14</t>
        </is>
      </c>
      <c r="L5376" s="12" t="inlineStr">
        <is>
          <t>25/C</t>
        </is>
      </c>
      <c r="M5376" s="12" t="inlineStr">
        <is>
          <t>14</t>
        </is>
      </c>
      <c r="N5376" s="12" t="n">
        <v>1</v>
      </c>
      <c r="O5376" s="12" t="n">
        <v>1</v>
      </c>
      <c r="P5376" s="12" t="n"/>
      <c r="Q5376" s="12" t="n"/>
      <c r="R5376" s="12" t="n"/>
      <c r="S5376" s="12" t="inlineStr">
        <is>
          <t>Duct bank</t>
        </is>
      </c>
      <c r="T5376" s="15" t="n">
        <v>1011</v>
      </c>
      <c r="U5376" s="15" t="n">
        <v>132</v>
      </c>
      <c r="V5376" s="15">
        <f>ROUNDUP((T5376+U5376+2*'Read Me'!$B$13)*(1+'Read Me'!$B$12),-1)</f>
        <v/>
      </c>
      <c r="W5376" s="15">
        <f>V5376*N5376*O5376</f>
        <v/>
      </c>
      <c r="X5376" s="12">
        <f>IF(LEFT(I5376,2)="MV",2*N5376*IF(L5376="1/C",O5376,1),0)</f>
        <v/>
      </c>
      <c r="Y5376" s="12">
        <f>IF(OR(LEFT(K5376,4)="LVAX",LEFT(K5376,6)="MV15AX",LEFT(K5376,4)="CTAX",LEFT(K5376,2)="W|"),2*N5376*O5376,0)</f>
        <v/>
      </c>
      <c r="Z5376" s="12" t="inlineStr"/>
      <c r="AA5376" s="12">
        <f>N5376*O5376</f>
        <v/>
      </c>
    </row>
    <row r="5377">
      <c r="A5377" s="12" t="inlineStr">
        <is>
          <t>K-C-0081</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Conduit link</t>
        </is>
      </c>
      <c r="T5377" s="15" t="n">
        <v>44</v>
      </c>
      <c r="U5377" s="15" t="n">
        <v>92</v>
      </c>
      <c r="V5377" s="15">
        <f>ROUNDUP((T5377+U5377+2*'Read Me'!$B$13)*(1+'Read Me'!$B$12),-1)</f>
        <v/>
      </c>
      <c r="W5377" s="15">
        <f>V5377*N5377*O5377</f>
        <v/>
      </c>
      <c r="X5377" s="12">
        <f>IF(LEFT(I5377,2)="MV",2*N5377*IF(L5377="1/C",O5377,1),0)</f>
        <v/>
      </c>
      <c r="Y5377" s="12">
        <f>IF(OR(LEFT(K5377,4)="LVAX",LEFT(K5377,6)="MV15AX",LEFT(K5377,4)="CTAX",LEFT(K5377,2)="W|"),2*N5377*O5377,0)</f>
        <v/>
      </c>
      <c r="Z5377" s="12" t="inlineStr"/>
      <c r="AA5377" s="12">
        <f>N5377*O5377</f>
        <v/>
      </c>
    </row>
    <row r="5378">
      <c r="A5378" s="12" t="inlineStr">
        <is>
          <t>K-C-0082</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5" t="n">
        <v>237</v>
      </c>
      <c r="U5378" s="15" t="n">
        <v>61</v>
      </c>
      <c r="V5378" s="15">
        <f>ROUNDUP((T5378+U5378+2*'Read Me'!$B$13)*(1+'Read Me'!$B$12),-1)</f>
        <v/>
      </c>
      <c r="W5378" s="15">
        <f>V5378*N5378*O5378</f>
        <v/>
      </c>
      <c r="X5378" s="12">
        <f>IF(LEFT(I5378,2)="MV",2*N5378*IF(L5378="1/C",O5378,1),0)</f>
        <v/>
      </c>
      <c r="Y5378" s="12">
        <f>IF(OR(LEFT(K5378,4)="LVAX",LEFT(K5378,6)="MV15AX",LEFT(K5378,4)="CTAX",LEFT(K5378,2)="W|"),2*N5378*O5378,0)</f>
        <v/>
      </c>
      <c r="Z5378" s="12" t="inlineStr"/>
      <c r="AA5378" s="12">
        <f>N5378*O5378</f>
        <v/>
      </c>
    </row>
    <row r="5379">
      <c r="A5379" s="12" t="inlineStr">
        <is>
          <t>K-C-0083</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5" t="n">
        <v>72</v>
      </c>
      <c r="U5379" s="15" t="n">
        <v>10</v>
      </c>
      <c r="V5379" s="15">
        <f>ROUNDUP((T5379+U5379+2*'Read Me'!$B$13)*(1+'Read Me'!$B$12),-1)</f>
        <v/>
      </c>
      <c r="W5379" s="15">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K-C-0084</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5" t="n">
        <v>237</v>
      </c>
      <c r="U5380" s="15" t="n">
        <v>61</v>
      </c>
      <c r="V5380" s="15">
        <f>ROUNDUP((T5380+U5380+2*'Read Me'!$B$13)*(1+'Read Me'!$B$12),-1)</f>
        <v/>
      </c>
      <c r="W5380" s="15">
        <f>V5380*N5380*O5380</f>
        <v/>
      </c>
      <c r="X5380" s="12">
        <f>IF(LEFT(I5380,2)="MV",2*N5380*IF(L5380="1/C",O5380,1),0)</f>
        <v/>
      </c>
      <c r="Y5380" s="12">
        <f>IF(OR(LEFT(K5380,4)="LVAX",LEFT(K5380,6)="MV15AX",LEFT(K5380,4)="CTAX",LEFT(K5380,2)="W|"),2*N5380*O5380,0)</f>
        <v/>
      </c>
      <c r="Z5380" s="12" t="inlineStr"/>
      <c r="AA5380" s="12">
        <f>N5380*O5380</f>
        <v/>
      </c>
    </row>
    <row r="5381">
      <c r="A5381" s="12" t="inlineStr">
        <is>
          <t>K-C-0085</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5" t="n">
        <v>147</v>
      </c>
      <c r="U5381" s="15" t="n">
        <v>66</v>
      </c>
      <c r="V5381" s="15">
        <f>ROUNDUP((T5381+U5381+2*'Read Me'!$B$13)*(1+'Read Me'!$B$12),-1)</f>
        <v/>
      </c>
      <c r="W5381" s="15">
        <f>V5381*N5381*O5381</f>
        <v/>
      </c>
      <c r="X5381" s="12">
        <f>IF(LEFT(I5381,2)="MV",2*N5381*IF(L5381="1/C",O5381,1),0)</f>
        <v/>
      </c>
      <c r="Y5381" s="12">
        <f>IF(OR(LEFT(K5381,4)="LVAX",LEFT(K5381,6)="MV15AX",LEFT(K5381,4)="CTAX",LEFT(K5381,2)="W|"),2*N5381*O5381,0)</f>
        <v/>
      </c>
      <c r="Z5381" s="12" t="inlineStr"/>
      <c r="AA5381" s="12">
        <f>N5381*O5381</f>
        <v/>
      </c>
    </row>
    <row r="5382">
      <c r="A5382" s="12" t="inlineStr">
        <is>
          <t>K-C-0086</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5" t="n">
        <v>72</v>
      </c>
      <c r="U5382" s="15" t="n">
        <v>10</v>
      </c>
      <c r="V5382" s="15">
        <f>ROUNDUP((T5382+U5382+2*'Read Me'!$B$13)*(1+'Read Me'!$B$12),-1)</f>
        <v/>
      </c>
      <c r="W5382" s="15">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K-C-0087</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5" t="n">
        <v>147</v>
      </c>
      <c r="U5383" s="15" t="n">
        <v>66</v>
      </c>
      <c r="V5383" s="15">
        <f>ROUNDUP((T5383+U5383+2*'Read Me'!$B$13)*(1+'Read Me'!$B$12),-1)</f>
        <v/>
      </c>
      <c r="W5383" s="15">
        <f>V5383*N5383*O5383</f>
        <v/>
      </c>
      <c r="X5383" s="12">
        <f>IF(LEFT(I5383,2)="MV",2*N5383*IF(L5383="1/C",O5383,1),0)</f>
        <v/>
      </c>
      <c r="Y5383" s="12">
        <f>IF(OR(LEFT(K5383,4)="LVAX",LEFT(K5383,6)="MV15AX",LEFT(K5383,4)="CTAX",LEFT(K5383,2)="W|"),2*N5383*O5383,0)</f>
        <v/>
      </c>
      <c r="Z5383" s="12" t="inlineStr"/>
      <c r="AA5383" s="12">
        <f>N5383*O5383</f>
        <v/>
      </c>
    </row>
    <row r="5384">
      <c r="A5384" s="12" t="inlineStr">
        <is>
          <t>K-C-0088</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5" t="n">
        <v>237</v>
      </c>
      <c r="U5384" s="15" t="n">
        <v>32</v>
      </c>
      <c r="V5384" s="15">
        <f>ROUNDUP((T5384+U5384+2*'Read Me'!$B$13)*(1+'Read Me'!$B$12),-1)</f>
        <v/>
      </c>
      <c r="W5384" s="15">
        <f>V5384*N5384*O5384</f>
        <v/>
      </c>
      <c r="X5384" s="12">
        <f>IF(LEFT(I5384,2)="MV",2*N5384*IF(L5384="1/C",O5384,1),0)</f>
        <v/>
      </c>
      <c r="Y5384" s="12">
        <f>IF(OR(LEFT(K5384,4)="LVAX",LEFT(K5384,6)="MV15AX",LEFT(K5384,4)="CTAX",LEFT(K5384,2)="W|"),2*N5384*O5384,0)</f>
        <v/>
      </c>
      <c r="Z5384" s="12" t="inlineStr"/>
      <c r="AA5384" s="12">
        <f>N5384*O5384</f>
        <v/>
      </c>
    </row>
    <row r="5385">
      <c r="A5385" s="12" t="inlineStr">
        <is>
          <t>K-C-0089</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5" t="n">
        <v>54</v>
      </c>
      <c r="U5385" s="15" t="n">
        <v>10</v>
      </c>
      <c r="V5385" s="15">
        <f>ROUNDUP((T5385+U5385+2*'Read Me'!$B$13)*(1+'Read Me'!$B$12),-1)</f>
        <v/>
      </c>
      <c r="W5385" s="15">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K-C-0090</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5" t="n">
        <v>237</v>
      </c>
      <c r="U5386" s="15" t="n">
        <v>32</v>
      </c>
      <c r="V5386" s="15">
        <f>ROUNDUP((T5386+U5386+2*'Read Me'!$B$13)*(1+'Read Me'!$B$12),-1)</f>
        <v/>
      </c>
      <c r="W5386" s="15">
        <f>V5386*N5386*O5386</f>
        <v/>
      </c>
      <c r="X5386" s="12">
        <f>IF(LEFT(I5386,2)="MV",2*N5386*IF(L5386="1/C",O5386,1),0)</f>
        <v/>
      </c>
      <c r="Y5386" s="12">
        <f>IF(OR(LEFT(K5386,4)="LVAX",LEFT(K5386,6)="MV15AX",LEFT(K5386,4)="CTAX",LEFT(K5386,2)="W|"),2*N5386*O5386,0)</f>
        <v/>
      </c>
      <c r="Z5386" s="12" t="inlineStr"/>
      <c r="AA5386" s="12">
        <f>N5386*O5386</f>
        <v/>
      </c>
    </row>
    <row r="5387">
      <c r="A5387" s="12" t="inlineStr">
        <is>
          <t>K-C-0091</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5" t="n">
        <v>230</v>
      </c>
      <c r="U5387" s="15" t="n">
        <v>32</v>
      </c>
      <c r="V5387" s="15">
        <f>ROUNDUP((T5387+U5387+2*'Read Me'!$B$13)*(1+'Read Me'!$B$12),-1)</f>
        <v/>
      </c>
      <c r="W5387" s="15">
        <f>V5387*N5387*O5387</f>
        <v/>
      </c>
      <c r="X5387" s="12">
        <f>IF(LEFT(I5387,2)="MV",2*N5387*IF(L5387="1/C",O5387,1),0)</f>
        <v/>
      </c>
      <c r="Y5387" s="12">
        <f>IF(OR(LEFT(K5387,4)="LVAX",LEFT(K5387,6)="MV15AX",LEFT(K5387,4)="CTAX",LEFT(K5387,2)="W|"),2*N5387*O5387,0)</f>
        <v/>
      </c>
      <c r="Z5387" s="12" t="inlineStr"/>
      <c r="AA5387" s="12">
        <f>N5387*O5387</f>
        <v/>
      </c>
    </row>
    <row r="5388">
      <c r="A5388" s="12" t="inlineStr">
        <is>
          <t>K-C-0092</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5" t="n">
        <v>170</v>
      </c>
      <c r="U5388" s="15" t="n">
        <v>10</v>
      </c>
      <c r="V5388" s="15">
        <f>ROUNDUP((T5388+U5388+2*'Read Me'!$B$13)*(1+'Read Me'!$B$12),-1)</f>
        <v/>
      </c>
      <c r="W5388" s="15">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K-C-0093</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5" t="n">
        <v>230</v>
      </c>
      <c r="U5389" s="15" t="n">
        <v>32</v>
      </c>
      <c r="V5389" s="15">
        <f>ROUNDUP((T5389+U5389+2*'Read Me'!$B$13)*(1+'Read Me'!$B$12),-1)</f>
        <v/>
      </c>
      <c r="W5389" s="15">
        <f>V5389*N5389*O5389</f>
        <v/>
      </c>
      <c r="X5389" s="12">
        <f>IF(LEFT(I5389,2)="MV",2*N5389*IF(L5389="1/C",O5389,1),0)</f>
        <v/>
      </c>
      <c r="Y5389" s="12">
        <f>IF(OR(LEFT(K5389,4)="LVAX",LEFT(K5389,6)="MV15AX",LEFT(K5389,4)="CTAX",LEFT(K5389,2)="W|"),2*N5389*O5389,0)</f>
        <v/>
      </c>
      <c r="Z5389" s="12" t="inlineStr"/>
      <c r="AA5389" s="12">
        <f>N5389*O5389</f>
        <v/>
      </c>
    </row>
    <row r="5390">
      <c r="A5390" s="12" t="inlineStr">
        <is>
          <t>K-C-0094</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5" t="n">
        <v>110</v>
      </c>
      <c r="U5390" s="15" t="n">
        <v>32</v>
      </c>
      <c r="V5390" s="15">
        <f>ROUNDUP((T5390+U5390+2*'Read Me'!$B$13)*(1+'Read Me'!$B$12),-1)</f>
        <v/>
      </c>
      <c r="W5390" s="15">
        <f>V5390*N5390*O5390</f>
        <v/>
      </c>
      <c r="X5390" s="12">
        <f>IF(LEFT(I5390,2)="MV",2*N5390*IF(L5390="1/C",O5390,1),0)</f>
        <v/>
      </c>
      <c r="Y5390" s="12">
        <f>IF(OR(LEFT(K5390,4)="LVAX",LEFT(K5390,6)="MV15AX",LEFT(K5390,4)="CTAX",LEFT(K5390,2)="W|"),2*N5390*O5390,0)</f>
        <v/>
      </c>
      <c r="Z5390" s="12" t="inlineStr"/>
      <c r="AA5390" s="12">
        <f>N5390*O5390</f>
        <v/>
      </c>
    </row>
    <row r="5391">
      <c r="A5391" s="12" t="inlineStr">
        <is>
          <t>K-C-0095</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5" t="n">
        <v>63</v>
      </c>
      <c r="U5391" s="15" t="n">
        <v>10</v>
      </c>
      <c r="V5391" s="15">
        <f>ROUNDUP((T5391+U5391+2*'Read Me'!$B$13)*(1+'Read Me'!$B$12),-1)</f>
        <v/>
      </c>
      <c r="W5391" s="15">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K-C-0096</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5" t="n">
        <v>110</v>
      </c>
      <c r="U5392" s="15" t="n">
        <v>32</v>
      </c>
      <c r="V5392" s="15">
        <f>ROUNDUP((T5392+U5392+2*'Read Me'!$B$13)*(1+'Read Me'!$B$12),-1)</f>
        <v/>
      </c>
      <c r="W5392" s="15">
        <f>V5392*N5392*O5392</f>
        <v/>
      </c>
      <c r="X5392" s="12">
        <f>IF(LEFT(I5392,2)="MV",2*N5392*IF(L5392="1/C",O5392,1),0)</f>
        <v/>
      </c>
      <c r="Y5392" s="12">
        <f>IF(OR(LEFT(K5392,4)="LVAX",LEFT(K5392,6)="MV15AX",LEFT(K5392,4)="CTAX",LEFT(K5392,2)="W|"),2*N5392*O5392,0)</f>
        <v/>
      </c>
      <c r="Z5392" s="12" t="inlineStr"/>
      <c r="AA5392" s="12">
        <f>N5392*O5392</f>
        <v/>
      </c>
    </row>
    <row r="5393">
      <c r="A5393" s="12" t="inlineStr">
        <is>
          <t>K-C-0097</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5" t="n">
        <v>259</v>
      </c>
      <c r="U5393" s="15" t="n">
        <v>32</v>
      </c>
      <c r="V5393" s="15">
        <f>ROUNDUP((T5393+U5393+2*'Read Me'!$B$13)*(1+'Read Me'!$B$12),-1)</f>
        <v/>
      </c>
      <c r="W5393" s="15">
        <f>V5393*N5393*O5393</f>
        <v/>
      </c>
      <c r="X5393" s="12">
        <f>IF(LEFT(I5393,2)="MV",2*N5393*IF(L5393="1/C",O5393,1),0)</f>
        <v/>
      </c>
      <c r="Y5393" s="12">
        <f>IF(OR(LEFT(K5393,4)="LVAX",LEFT(K5393,6)="MV15AX",LEFT(K5393,4)="CTAX",LEFT(K5393,2)="W|"),2*N5393*O5393,0)</f>
        <v/>
      </c>
      <c r="Z5393" s="12" t="inlineStr"/>
      <c r="AA5393" s="12">
        <f>N5393*O5393</f>
        <v/>
      </c>
    </row>
    <row r="5394">
      <c r="A5394" s="12" t="inlineStr">
        <is>
          <t>K-C-0098</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5" t="n">
        <v>122</v>
      </c>
      <c r="U5394" s="15" t="n">
        <v>10</v>
      </c>
      <c r="V5394" s="15">
        <f>ROUNDUP((T5394+U5394+2*'Read Me'!$B$13)*(1+'Read Me'!$B$12),-1)</f>
        <v/>
      </c>
      <c r="W5394" s="15">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K-C-0099</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5" t="n">
        <v>259</v>
      </c>
      <c r="U5395" s="15" t="n">
        <v>32</v>
      </c>
      <c r="V5395" s="15">
        <f>ROUNDUP((T5395+U5395+2*'Read Me'!$B$13)*(1+'Read Me'!$B$12),-1)</f>
        <v/>
      </c>
      <c r="W5395" s="15">
        <f>V5395*N5395*O5395</f>
        <v/>
      </c>
      <c r="X5395" s="12">
        <f>IF(LEFT(I5395,2)="MV",2*N5395*IF(L5395="1/C",O5395,1),0)</f>
        <v/>
      </c>
      <c r="Y5395" s="12">
        <f>IF(OR(LEFT(K5395,4)="LVAX",LEFT(K5395,6)="MV15AX",LEFT(K5395,4)="CTAX",LEFT(K5395,2)="W|"),2*N5395*O5395,0)</f>
        <v/>
      </c>
      <c r="Z5395" s="12" t="inlineStr"/>
      <c r="AA5395" s="12">
        <f>N5395*O5395</f>
        <v/>
      </c>
    </row>
    <row r="5396">
      <c r="A5396" s="12" t="inlineStr">
        <is>
          <t>K-C-0100</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5" t="n">
        <v>25</v>
      </c>
      <c r="U5396" s="15" t="n">
        <v>54</v>
      </c>
      <c r="V5396" s="15">
        <f>ROUNDUP((T5396+U5396+2*'Read Me'!$B$13)*(1+'Read Me'!$B$12),-1)</f>
        <v/>
      </c>
      <c r="W5396" s="15">
        <f>V5396*N5396*O5396</f>
        <v/>
      </c>
      <c r="X5396" s="12">
        <f>IF(LEFT(I5396,2)="MV",2*N5396*IF(L5396="1/C",O5396,1),0)</f>
        <v/>
      </c>
      <c r="Y5396" s="12">
        <f>IF(OR(LEFT(K5396,4)="LVAX",LEFT(K5396,6)="MV15AX",LEFT(K5396,4)="CTAX",LEFT(K5396,2)="W|"),2*N5396*O5396,0)</f>
        <v/>
      </c>
      <c r="Z5396" s="12" t="inlineStr"/>
      <c r="AA5396" s="12">
        <f>N5396*O5396</f>
        <v/>
      </c>
    </row>
    <row r="5397">
      <c r="A5397" s="12" t="inlineStr">
        <is>
          <t>K-C-0101</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5" t="n">
        <v>67</v>
      </c>
      <c r="U5397" s="15" t="n">
        <v>10</v>
      </c>
      <c r="V5397" s="15">
        <f>ROUNDUP((T5397+U5397+2*'Read Me'!$B$13)*(1+'Read Me'!$B$12),-1)</f>
        <v/>
      </c>
      <c r="W5397" s="15">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K-C-0102</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5" t="n">
        <v>25</v>
      </c>
      <c r="U5398" s="15" t="n">
        <v>54</v>
      </c>
      <c r="V5398" s="15">
        <f>ROUNDUP((T5398+U5398+2*'Read Me'!$B$13)*(1+'Read Me'!$B$12),-1)</f>
        <v/>
      </c>
      <c r="W5398" s="15">
        <f>V5398*N5398*O5398</f>
        <v/>
      </c>
      <c r="X5398" s="12">
        <f>IF(LEFT(I5398,2)="MV",2*N5398*IF(L5398="1/C",O5398,1),0)</f>
        <v/>
      </c>
      <c r="Y5398" s="12">
        <f>IF(OR(LEFT(K5398,4)="LVAX",LEFT(K5398,6)="MV15AX",LEFT(K5398,4)="CTAX",LEFT(K5398,2)="W|"),2*N5398*O5398,0)</f>
        <v/>
      </c>
      <c r="Z5398" s="12" t="inlineStr"/>
      <c r="AA5398" s="12">
        <f>N5398*O5398</f>
        <v/>
      </c>
    </row>
    <row r="5399">
      <c r="A5399" s="12" t="inlineStr">
        <is>
          <t>K-C-0103</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5" t="n">
        <v>20</v>
      </c>
      <c r="U5399" s="15" t="n">
        <v>32</v>
      </c>
      <c r="V5399" s="15">
        <f>ROUNDUP((T5399+U5399+2*'Read Me'!$B$13)*(1+'Read Me'!$B$12),-1)</f>
        <v/>
      </c>
      <c r="W5399" s="15">
        <f>V5399*N5399*O5399</f>
        <v/>
      </c>
      <c r="X5399" s="12">
        <f>IF(LEFT(I5399,2)="MV",2*N5399*IF(L5399="1/C",O5399,1),0)</f>
        <v/>
      </c>
      <c r="Y5399" s="12">
        <f>IF(OR(LEFT(K5399,4)="LVAX",LEFT(K5399,6)="MV15AX",LEFT(K5399,4)="CTAX",LEFT(K5399,2)="W|"),2*N5399*O5399,0)</f>
        <v/>
      </c>
      <c r="Z5399" s="12" t="inlineStr"/>
      <c r="AA5399" s="12">
        <f>N5399*O5399</f>
        <v/>
      </c>
    </row>
    <row r="5400">
      <c r="A5400" s="12" t="inlineStr">
        <is>
          <t>K-C-0104</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5" t="n">
        <v>74</v>
      </c>
      <c r="U5400" s="15" t="n">
        <v>10</v>
      </c>
      <c r="V5400" s="15">
        <f>ROUNDUP((T5400+U5400+2*'Read Me'!$B$13)*(1+'Read Me'!$B$12),-1)</f>
        <v/>
      </c>
      <c r="W5400" s="15">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K-C-0105</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5" t="n">
        <v>20</v>
      </c>
      <c r="U5401" s="15" t="n">
        <v>32</v>
      </c>
      <c r="V5401" s="15">
        <f>ROUNDUP((T5401+U5401+2*'Read Me'!$B$13)*(1+'Read Me'!$B$12),-1)</f>
        <v/>
      </c>
      <c r="W5401" s="15">
        <f>V5401*N5401*O5401</f>
        <v/>
      </c>
      <c r="X5401" s="12">
        <f>IF(LEFT(I5401,2)="MV",2*N5401*IF(L5401="1/C",O5401,1),0)</f>
        <v/>
      </c>
      <c r="Y5401" s="12">
        <f>IF(OR(LEFT(K5401,4)="LVAX",LEFT(K5401,6)="MV15AX",LEFT(K5401,4)="CTAX",LEFT(K5401,2)="W|"),2*N5401*O5401,0)</f>
        <v/>
      </c>
      <c r="Z5401" s="12" t="inlineStr"/>
      <c r="AA5401" s="12">
        <f>N5401*O5401</f>
        <v/>
      </c>
    </row>
    <row r="5402">
      <c r="A5402" s="12" t="inlineStr">
        <is>
          <t>K-C-0106</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5" t="n">
        <v>0</v>
      </c>
      <c r="U5402" s="15" t="n">
        <v>32</v>
      </c>
      <c r="V5402" s="15">
        <f>ROUNDUP((T5402+U5402+2*'Read Me'!$B$13)*(1+'Read Me'!$B$12),-1)</f>
        <v/>
      </c>
      <c r="W5402" s="15">
        <f>V5402*N5402*O5402</f>
        <v/>
      </c>
      <c r="X5402" s="12">
        <f>IF(LEFT(I5402,2)="MV",2*N5402*IF(L5402="1/C",O5402,1),0)</f>
        <v/>
      </c>
      <c r="Y5402" s="12">
        <f>IF(OR(LEFT(K5402,4)="LVAX",LEFT(K5402,6)="MV15AX",LEFT(K5402,4)="CTAX",LEFT(K5402,2)="W|"),2*N5402*O5402,0)</f>
        <v/>
      </c>
      <c r="Z5402" s="12" t="inlineStr"/>
      <c r="AA5402" s="12">
        <f>N5402*O5402</f>
        <v/>
      </c>
    </row>
    <row r="5403">
      <c r="A5403" s="12" t="inlineStr">
        <is>
          <t>K-C-0107</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5" t="n">
        <v>58</v>
      </c>
      <c r="U5403" s="15" t="n">
        <v>10</v>
      </c>
      <c r="V5403" s="15">
        <f>ROUNDUP((T5403+U5403+2*'Read Me'!$B$13)*(1+'Read Me'!$B$12),-1)</f>
        <v/>
      </c>
      <c r="W5403" s="15">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K-C-0108</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5" t="n">
        <v>0</v>
      </c>
      <c r="U5404" s="15" t="n">
        <v>32</v>
      </c>
      <c r="V5404" s="15">
        <f>ROUNDUP((T5404+U5404+2*'Read Me'!$B$13)*(1+'Read Me'!$B$12),-1)</f>
        <v/>
      </c>
      <c r="W5404" s="15">
        <f>V5404*N5404*O5404</f>
        <v/>
      </c>
      <c r="X5404" s="12">
        <f>IF(LEFT(I5404,2)="MV",2*N5404*IF(L5404="1/C",O5404,1),0)</f>
        <v/>
      </c>
      <c r="Y5404" s="12">
        <f>IF(OR(LEFT(K5404,4)="LVAX",LEFT(K5404,6)="MV15AX",LEFT(K5404,4)="CTAX",LEFT(K5404,2)="W|"),2*N5404*O5404,0)</f>
        <v/>
      </c>
      <c r="Z5404" s="12" t="inlineStr"/>
      <c r="AA5404" s="12">
        <f>N5404*O5404</f>
        <v/>
      </c>
    </row>
    <row r="5405">
      <c r="A5405" s="12" t="inlineStr">
        <is>
          <t>K-C-0109</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5" t="n">
        <v>25</v>
      </c>
      <c r="U5405" s="15" t="n">
        <v>117</v>
      </c>
      <c r="V5405" s="15">
        <f>ROUNDUP((T5405+U5405+2*'Read Me'!$B$13)*(1+'Read Me'!$B$12),-1)</f>
        <v/>
      </c>
      <c r="W5405" s="15">
        <f>V5405*N5405*O5405</f>
        <v/>
      </c>
      <c r="X5405" s="12">
        <f>IF(LEFT(I5405,2)="MV",2*N5405*IF(L5405="1/C",O5405,1),0)</f>
        <v/>
      </c>
      <c r="Y5405" s="12">
        <f>IF(OR(LEFT(K5405,4)="LVAX",LEFT(K5405,6)="MV15AX",LEFT(K5405,4)="CTAX",LEFT(K5405,2)="W|"),2*N5405*O5405,0)</f>
        <v/>
      </c>
      <c r="Z5405" s="12" t="inlineStr"/>
      <c r="AA5405" s="12">
        <f>N5405*O5405</f>
        <v/>
      </c>
    </row>
    <row r="5406">
      <c r="A5406" s="12" t="inlineStr">
        <is>
          <t>K-C-0110</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5" t="n">
        <v>55</v>
      </c>
      <c r="U5406" s="15" t="n">
        <v>10</v>
      </c>
      <c r="V5406" s="15">
        <f>ROUNDUP((T5406+U5406+2*'Read Me'!$B$13)*(1+'Read Me'!$B$12),-1)</f>
        <v/>
      </c>
      <c r="W5406" s="15">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K-C-0111</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5" t="n">
        <v>25</v>
      </c>
      <c r="U5407" s="15" t="n">
        <v>117</v>
      </c>
      <c r="V5407" s="15">
        <f>ROUNDUP((T5407+U5407+2*'Read Me'!$B$13)*(1+'Read Me'!$B$12),-1)</f>
        <v/>
      </c>
      <c r="W5407" s="15">
        <f>V5407*N5407*O5407</f>
        <v/>
      </c>
      <c r="X5407" s="12">
        <f>IF(LEFT(I5407,2)="MV",2*N5407*IF(L5407="1/C",O5407,1),0)</f>
        <v/>
      </c>
      <c r="Y5407" s="12">
        <f>IF(OR(LEFT(K5407,4)="LVAX",LEFT(K5407,6)="MV15AX",LEFT(K5407,4)="CTAX",LEFT(K5407,2)="W|"),2*N5407*O5407,0)</f>
        <v/>
      </c>
      <c r="Z5407" s="12" t="inlineStr"/>
      <c r="AA5407" s="12">
        <f>N5407*O5407</f>
        <v/>
      </c>
    </row>
    <row r="5408">
      <c r="A5408" s="12" t="inlineStr">
        <is>
          <t>K-C-0112</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5" t="n">
        <v>40</v>
      </c>
      <c r="U5408" s="15" t="n">
        <v>10</v>
      </c>
      <c r="V5408" s="15">
        <f>ROUNDUP((T5408+U5408+2*'Read Me'!$B$13)*(1+'Read Me'!$B$12),-1)</f>
        <v/>
      </c>
      <c r="W5408" s="15">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K-C-0113</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5" t="n">
        <v>775</v>
      </c>
      <c r="U5409" s="15" t="n">
        <v>32</v>
      </c>
      <c r="V5409" s="15">
        <f>ROUNDUP((T5409+U5409+2*'Read Me'!$B$13)*(1+'Read Me'!$B$12),-1)</f>
        <v/>
      </c>
      <c r="W5409" s="15">
        <f>V5409*N5409*O5409</f>
        <v/>
      </c>
      <c r="X5409" s="12">
        <f>IF(LEFT(I5409,2)="MV",2*N5409*IF(L5409="1/C",O5409,1),0)</f>
        <v/>
      </c>
      <c r="Y5409" s="12">
        <f>IF(OR(LEFT(K5409,4)="LVAX",LEFT(K5409,6)="MV15AX",LEFT(K5409,4)="CTAX",LEFT(K5409,2)="W|"),2*N5409*O5409,0)</f>
        <v/>
      </c>
      <c r="Z5409" s="12" t="inlineStr"/>
      <c r="AA5409" s="12">
        <f>N5409*O5409</f>
        <v/>
      </c>
    </row>
    <row r="5410">
      <c r="A5410" s="12" t="inlineStr">
        <is>
          <t>K-C-0114</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5" t="n">
        <v>53</v>
      </c>
      <c r="U5410" s="15" t="n">
        <v>10</v>
      </c>
      <c r="V5410" s="15">
        <f>ROUNDUP((T5410+U5410+2*'Read Me'!$B$13)*(1+'Read Me'!$B$12),-1)</f>
        <v/>
      </c>
      <c r="W5410" s="15">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K-C-0115</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5" t="n">
        <v>814</v>
      </c>
      <c r="U5411" s="15" t="n">
        <v>32</v>
      </c>
      <c r="V5411" s="15">
        <f>ROUNDUP((T5411+U5411+2*'Read Me'!$B$13)*(1+'Read Me'!$B$12),-1)</f>
        <v/>
      </c>
      <c r="W5411" s="15">
        <f>V5411*N5411*O5411</f>
        <v/>
      </c>
      <c r="X5411" s="12">
        <f>IF(LEFT(I5411,2)="MV",2*N5411*IF(L5411="1/C",O5411,1),0)</f>
        <v/>
      </c>
      <c r="Y5411" s="12">
        <f>IF(OR(LEFT(K5411,4)="LVAX",LEFT(K5411,6)="MV15AX",LEFT(K5411,4)="CTAX",LEFT(K5411,2)="W|"),2*N5411*O5411,0)</f>
        <v/>
      </c>
      <c r="Z5411" s="12" t="inlineStr"/>
      <c r="AA5411" s="12">
        <f>N5411*O5411</f>
        <v/>
      </c>
    </row>
    <row r="5412">
      <c r="A5412" s="12" t="inlineStr">
        <is>
          <t>K-C-0116</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5" t="n">
        <v>608</v>
      </c>
      <c r="U5412" s="15" t="n">
        <v>32</v>
      </c>
      <c r="V5412" s="15">
        <f>ROUNDUP((T5412+U5412+2*'Read Me'!$B$13)*(1+'Read Me'!$B$12),-1)</f>
        <v/>
      </c>
      <c r="W5412" s="15">
        <f>V5412*N5412*O5412</f>
        <v/>
      </c>
      <c r="X5412" s="12">
        <f>IF(LEFT(I5412,2)="MV",2*N5412*IF(L5412="1/C",O5412,1),0)</f>
        <v/>
      </c>
      <c r="Y5412" s="12">
        <f>IF(OR(LEFT(K5412,4)="LVAX",LEFT(K5412,6)="MV15AX",LEFT(K5412,4)="CTAX",LEFT(K5412,2)="W|"),2*N5412*O5412,0)</f>
        <v/>
      </c>
      <c r="Z5412" s="12" t="inlineStr"/>
      <c r="AA5412" s="12">
        <f>N5412*O5412</f>
        <v/>
      </c>
    </row>
    <row r="5413">
      <c r="A5413" s="12" t="inlineStr">
        <is>
          <t>K-C-0117</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5" t="n">
        <v>608</v>
      </c>
      <c r="U5413" s="15" t="n">
        <v>50</v>
      </c>
      <c r="V5413" s="15">
        <f>ROUNDUP((T5413+U5413+2*'Read Me'!$B$13)*(1+'Read Me'!$B$12),-1)</f>
        <v/>
      </c>
      <c r="W5413" s="15">
        <f>V5413*N5413*O5413</f>
        <v/>
      </c>
      <c r="X5413" s="12">
        <f>IF(LEFT(I5413,2)="MV",2*N5413*IF(L5413="1/C",O5413,1),0)</f>
        <v/>
      </c>
      <c r="Y5413" s="12">
        <f>IF(OR(LEFT(K5413,4)="LVAX",LEFT(K5413,6)="MV15AX",LEFT(K5413,4)="CTAX",LEFT(K5413,2)="W|"),2*N5413*O5413,0)</f>
        <v/>
      </c>
      <c r="Z5413" s="12" t="inlineStr"/>
      <c r="AA5413" s="12">
        <f>N5413*O5413</f>
        <v/>
      </c>
    </row>
    <row r="5414">
      <c r="A5414" s="12" t="inlineStr">
        <is>
          <t>K-C-0118</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5" t="n">
        <v>608</v>
      </c>
      <c r="U5414" s="15" t="n">
        <v>68</v>
      </c>
      <c r="V5414" s="15">
        <f>ROUNDUP((T5414+U5414+2*'Read Me'!$B$13)*(1+'Read Me'!$B$12),-1)</f>
        <v/>
      </c>
      <c r="W5414" s="15">
        <f>V5414*N5414*O5414</f>
        <v/>
      </c>
      <c r="X5414" s="12">
        <f>IF(LEFT(I5414,2)="MV",2*N5414*IF(L5414="1/C",O5414,1),0)</f>
        <v/>
      </c>
      <c r="Y5414" s="12">
        <f>IF(OR(LEFT(K5414,4)="LVAX",LEFT(K5414,6)="MV15AX",LEFT(K5414,4)="CTAX",LEFT(K5414,2)="W|"),2*N5414*O5414,0)</f>
        <v/>
      </c>
      <c r="Z5414" s="12" t="inlineStr"/>
      <c r="AA5414" s="12">
        <f>N5414*O5414</f>
        <v/>
      </c>
    </row>
    <row r="5415">
      <c r="A5415" s="12" t="inlineStr">
        <is>
          <t>K-C-0119</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5" t="n">
        <v>61</v>
      </c>
      <c r="U5415" s="15" t="n">
        <v>10</v>
      </c>
      <c r="V5415" s="15">
        <f>ROUNDUP((T5415+U5415+2*'Read Me'!$B$13)*(1+'Read Me'!$B$12),-1)</f>
        <v/>
      </c>
      <c r="W5415" s="15">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K-C-0120</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5" t="n">
        <v>485</v>
      </c>
      <c r="U5416" s="15" t="n">
        <v>70</v>
      </c>
      <c r="V5416" s="15">
        <f>ROUNDUP((T5416+U5416+2*'Read Me'!$B$13)*(1+'Read Me'!$B$12),-1)</f>
        <v/>
      </c>
      <c r="W5416" s="15">
        <f>V5416*N5416*O5416</f>
        <v/>
      </c>
      <c r="X5416" s="12">
        <f>IF(LEFT(I5416,2)="MV",2*N5416*IF(L5416="1/C",O5416,1),0)</f>
        <v/>
      </c>
      <c r="Y5416" s="12">
        <f>IF(OR(LEFT(K5416,4)="LVAX",LEFT(K5416,6)="MV15AX",LEFT(K5416,4)="CTAX",LEFT(K5416,2)="W|"),2*N5416*O5416,0)</f>
        <v/>
      </c>
      <c r="Z5416" s="12" t="inlineStr"/>
      <c r="AA5416" s="12">
        <f>N5416*O5416</f>
        <v/>
      </c>
    </row>
    <row r="5417">
      <c r="A5417" s="12" t="inlineStr">
        <is>
          <t>K-C-0121</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5" t="n">
        <v>473</v>
      </c>
      <c r="U5417" s="15" t="n">
        <v>32</v>
      </c>
      <c r="V5417" s="15">
        <f>ROUNDUP((T5417+U5417+2*'Read Me'!$B$13)*(1+'Read Me'!$B$12),-1)</f>
        <v/>
      </c>
      <c r="W5417" s="15">
        <f>V5417*N5417*O5417</f>
        <v/>
      </c>
      <c r="X5417" s="12">
        <f>IF(LEFT(I5417,2)="MV",2*N5417*IF(L5417="1/C",O5417,1),0)</f>
        <v/>
      </c>
      <c r="Y5417" s="12">
        <f>IF(OR(LEFT(K5417,4)="LVAX",LEFT(K5417,6)="MV15AX",LEFT(K5417,4)="CTAX",LEFT(K5417,2)="W|"),2*N5417*O5417,0)</f>
        <v/>
      </c>
      <c r="Z5417" s="12" t="inlineStr"/>
      <c r="AA5417" s="12">
        <f>N5417*O5417</f>
        <v/>
      </c>
    </row>
    <row r="5418">
      <c r="A5418" s="12" t="inlineStr">
        <is>
          <t>K-C-0122</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5" t="n">
        <v>453</v>
      </c>
      <c r="U5418" s="15" t="n">
        <v>50</v>
      </c>
      <c r="V5418" s="15">
        <f>ROUNDUP((T5418+U5418+2*'Read Me'!$B$13)*(1+'Read Me'!$B$12),-1)</f>
        <v/>
      </c>
      <c r="W5418" s="15">
        <f>V5418*N5418*O5418</f>
        <v/>
      </c>
      <c r="X5418" s="12">
        <f>IF(LEFT(I5418,2)="MV",2*N5418*IF(L5418="1/C",O5418,1),0)</f>
        <v/>
      </c>
      <c r="Y5418" s="12">
        <f>IF(OR(LEFT(K5418,4)="LVAX",LEFT(K5418,6)="MV15AX",LEFT(K5418,4)="CTAX",LEFT(K5418,2)="W|"),2*N5418*O5418,0)</f>
        <v/>
      </c>
      <c r="Z5418" s="12" t="inlineStr"/>
      <c r="AA5418" s="12">
        <f>N5418*O5418</f>
        <v/>
      </c>
    </row>
    <row r="5419">
      <c r="A5419" s="12" t="inlineStr">
        <is>
          <t>K-C-0123</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5" t="n">
        <v>453</v>
      </c>
      <c r="U5419" s="15" t="n">
        <v>32</v>
      </c>
      <c r="V5419" s="15">
        <f>ROUNDUP((T5419+U5419+2*'Read Me'!$B$13)*(1+'Read Me'!$B$12),-1)</f>
        <v/>
      </c>
      <c r="W5419" s="15">
        <f>V5419*N5419*O5419</f>
        <v/>
      </c>
      <c r="X5419" s="12">
        <f>IF(LEFT(I5419,2)="MV",2*N5419*IF(L5419="1/C",O5419,1),0)</f>
        <v/>
      </c>
      <c r="Y5419" s="12">
        <f>IF(OR(LEFT(K5419,4)="LVAX",LEFT(K5419,6)="MV15AX",LEFT(K5419,4)="CTAX",LEFT(K5419,2)="W|"),2*N5419*O5419,0)</f>
        <v/>
      </c>
      <c r="Z5419" s="12" t="inlineStr"/>
      <c r="AA5419" s="12">
        <f>N5419*O5419</f>
        <v/>
      </c>
    </row>
    <row r="5420">
      <c r="A5420" s="12" t="inlineStr">
        <is>
          <t>K-C-0124</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5" t="n">
        <v>426</v>
      </c>
      <c r="U5420" s="15" t="n">
        <v>33</v>
      </c>
      <c r="V5420" s="15">
        <f>ROUNDUP((T5420+U5420+2*'Read Me'!$B$13)*(1+'Read Me'!$B$12),-1)</f>
        <v/>
      </c>
      <c r="W5420" s="15">
        <f>V5420*N5420*O5420</f>
        <v/>
      </c>
      <c r="X5420" s="12">
        <f>IF(LEFT(I5420,2)="MV",2*N5420*IF(L5420="1/C",O5420,1),0)</f>
        <v/>
      </c>
      <c r="Y5420" s="12">
        <f>IF(OR(LEFT(K5420,4)="LVAX",LEFT(K5420,6)="MV15AX",LEFT(K5420,4)="CTAX",LEFT(K5420,2)="W|"),2*N5420*O5420,0)</f>
        <v/>
      </c>
      <c r="Z5420" s="12" t="inlineStr"/>
      <c r="AA5420" s="12">
        <f>N5420*O5420</f>
        <v/>
      </c>
    </row>
    <row r="5421">
      <c r="A5421" s="12" t="inlineStr">
        <is>
          <t>K-C-0125</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5" t="n">
        <v>379</v>
      </c>
      <c r="U5421" s="15" t="n">
        <v>49</v>
      </c>
      <c r="V5421" s="15">
        <f>ROUNDUP((T5421+U5421+2*'Read Me'!$B$13)*(1+'Read Me'!$B$12),-1)</f>
        <v/>
      </c>
      <c r="W5421" s="15">
        <f>V5421*N5421*O5421</f>
        <v/>
      </c>
      <c r="X5421" s="12">
        <f>IF(LEFT(I5421,2)="MV",2*N5421*IF(L5421="1/C",O5421,1),0)</f>
        <v/>
      </c>
      <c r="Y5421" s="12">
        <f>IF(OR(LEFT(K5421,4)="LVAX",LEFT(K5421,6)="MV15AX",LEFT(K5421,4)="CTAX",LEFT(K5421,2)="W|"),2*N5421*O5421,0)</f>
        <v/>
      </c>
      <c r="Z5421" s="12" t="inlineStr"/>
      <c r="AA5421" s="12">
        <f>N5421*O5421</f>
        <v/>
      </c>
    </row>
    <row r="5422">
      <c r="A5422" s="12" t="inlineStr">
        <is>
          <t>K-C-0126</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5" t="n">
        <v>356</v>
      </c>
      <c r="U5422" s="15" t="n">
        <v>49</v>
      </c>
      <c r="V5422" s="15">
        <f>ROUNDUP((T5422+U5422+2*'Read Me'!$B$13)*(1+'Read Me'!$B$12),-1)</f>
        <v/>
      </c>
      <c r="W5422" s="15">
        <f>V5422*N5422*O5422</f>
        <v/>
      </c>
      <c r="X5422" s="12">
        <f>IF(LEFT(I5422,2)="MV",2*N5422*IF(L5422="1/C",O5422,1),0)</f>
        <v/>
      </c>
      <c r="Y5422" s="12">
        <f>IF(OR(LEFT(K5422,4)="LVAX",LEFT(K5422,6)="MV15AX",LEFT(K5422,4)="CTAX",LEFT(K5422,2)="W|"),2*N5422*O5422,0)</f>
        <v/>
      </c>
      <c r="Z5422" s="12" t="inlineStr"/>
      <c r="AA5422" s="12">
        <f>N5422*O5422</f>
        <v/>
      </c>
    </row>
    <row r="5423">
      <c r="A5423" s="12" t="inlineStr">
        <is>
          <t>K-C-0127</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5" t="n">
        <v>333</v>
      </c>
      <c r="U5423" s="15" t="n">
        <v>49</v>
      </c>
      <c r="V5423" s="15">
        <f>ROUNDUP((T5423+U5423+2*'Read Me'!$B$13)*(1+'Read Me'!$B$12),-1)</f>
        <v/>
      </c>
      <c r="W5423" s="15">
        <f>V5423*N5423*O5423</f>
        <v/>
      </c>
      <c r="X5423" s="12">
        <f>IF(LEFT(I5423,2)="MV",2*N5423*IF(L5423="1/C",O5423,1),0)</f>
        <v/>
      </c>
      <c r="Y5423" s="12">
        <f>IF(OR(LEFT(K5423,4)="LVAX",LEFT(K5423,6)="MV15AX",LEFT(K5423,4)="CTAX",LEFT(K5423,2)="W|"),2*N5423*O5423,0)</f>
        <v/>
      </c>
      <c r="Z5423" s="12" t="inlineStr"/>
      <c r="AA5423" s="12">
        <f>N5423*O5423</f>
        <v/>
      </c>
    </row>
    <row r="5424">
      <c r="A5424" s="12" t="inlineStr">
        <is>
          <t>K-C-0128</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5" t="n">
        <v>303</v>
      </c>
      <c r="U5424" s="15" t="n">
        <v>59</v>
      </c>
      <c r="V5424" s="15">
        <f>ROUNDUP((T5424+U5424+2*'Read Me'!$B$13)*(1+'Read Me'!$B$12),-1)</f>
        <v/>
      </c>
      <c r="W5424" s="15">
        <f>V5424*N5424*O5424</f>
        <v/>
      </c>
      <c r="X5424" s="12">
        <f>IF(LEFT(I5424,2)="MV",2*N5424*IF(L5424="1/C",O5424,1),0)</f>
        <v/>
      </c>
      <c r="Y5424" s="12">
        <f>IF(OR(LEFT(K5424,4)="LVAX",LEFT(K5424,6)="MV15AX",LEFT(K5424,4)="CTAX",LEFT(K5424,2)="W|"),2*N5424*O5424,0)</f>
        <v/>
      </c>
      <c r="Z5424" s="12" t="inlineStr"/>
      <c r="AA5424" s="12">
        <f>N5424*O5424</f>
        <v/>
      </c>
    </row>
    <row r="5425">
      <c r="A5425" s="12" t="inlineStr">
        <is>
          <t>K-C-0129</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5" t="n">
        <v>393</v>
      </c>
      <c r="U5425" s="15" t="n">
        <v>32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K-C-0130</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5" t="n">
        <v>372</v>
      </c>
      <c r="U5426" s="15" t="n">
        <v>32</v>
      </c>
      <c r="V5426" s="15">
        <f>ROUNDUP((T5426+U5426+2*'Read Me'!$B$13)*(1+'Read Me'!$B$12),-1)</f>
        <v/>
      </c>
      <c r="W5426" s="15">
        <f>V5426*N5426*O5426</f>
        <v/>
      </c>
      <c r="X5426" s="12">
        <f>IF(LEFT(I5426,2)="MV",2*N5426*IF(L5426="1/C",O5426,1),0)</f>
        <v/>
      </c>
      <c r="Y5426" s="12">
        <f>IF(OR(LEFT(K5426,4)="LVAX",LEFT(K5426,6)="MV15AX",LEFT(K5426,4)="CTAX",LEFT(K5426,2)="W|"),2*N5426*O5426,0)</f>
        <v/>
      </c>
      <c r="Z5426" s="12" t="inlineStr"/>
      <c r="AA5426" s="12">
        <f>N5426*O5426</f>
        <v/>
      </c>
    </row>
    <row r="5427">
      <c r="A5427" s="12" t="inlineStr">
        <is>
          <t>K-C-0131</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5" t="n">
        <v>349</v>
      </c>
      <c r="U5427" s="15" t="n">
        <v>32</v>
      </c>
      <c r="V5427" s="15">
        <f>ROUNDUP((T5427+U5427+2*'Read Me'!$B$13)*(1+'Read Me'!$B$12),-1)</f>
        <v/>
      </c>
      <c r="W5427" s="15">
        <f>V5427*N5427*O5427</f>
        <v/>
      </c>
      <c r="X5427" s="12">
        <f>IF(LEFT(I5427,2)="MV",2*N5427*IF(L5427="1/C",O5427,1),0)</f>
        <v/>
      </c>
      <c r="Y5427" s="12">
        <f>IF(OR(LEFT(K5427,4)="LVAX",LEFT(K5427,6)="MV15AX",LEFT(K5427,4)="CTAX",LEFT(K5427,2)="W|"),2*N5427*O5427,0)</f>
        <v/>
      </c>
      <c r="Z5427" s="12" t="inlineStr"/>
      <c r="AA5427" s="12">
        <f>N5427*O5427</f>
        <v/>
      </c>
    </row>
    <row r="5428">
      <c r="A5428" s="12" t="inlineStr">
        <is>
          <t>K-C-0132</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5" t="n">
        <v>326</v>
      </c>
      <c r="U5428" s="15" t="n">
        <v>32</v>
      </c>
      <c r="V5428" s="15">
        <f>ROUNDUP((T5428+U5428+2*'Read Me'!$B$13)*(1+'Read Me'!$B$12),-1)</f>
        <v/>
      </c>
      <c r="W5428" s="15">
        <f>V5428*N5428*O5428</f>
        <v/>
      </c>
      <c r="X5428" s="12">
        <f>IF(LEFT(I5428,2)="MV",2*N5428*IF(L5428="1/C",O5428,1),0)</f>
        <v/>
      </c>
      <c r="Y5428" s="12">
        <f>IF(OR(LEFT(K5428,4)="LVAX",LEFT(K5428,6)="MV15AX",LEFT(K5428,4)="CTAX",LEFT(K5428,2)="W|"),2*N5428*O5428,0)</f>
        <v/>
      </c>
      <c r="Z5428" s="12" t="inlineStr"/>
      <c r="AA5428" s="12">
        <f>N5428*O5428</f>
        <v/>
      </c>
    </row>
    <row r="5429">
      <c r="A5429" s="12" t="inlineStr">
        <is>
          <t>K-C-0133</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5" t="n">
        <v>303</v>
      </c>
      <c r="U5429" s="15" t="n">
        <v>32</v>
      </c>
      <c r="V5429" s="15">
        <f>ROUNDUP((T5429+U5429+2*'Read Me'!$B$13)*(1+'Read Me'!$B$12),-1)</f>
        <v/>
      </c>
      <c r="W5429" s="15">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5" t="n">
        <v>4266</v>
      </c>
      <c r="U5430" s="15" t="n">
        <v>32</v>
      </c>
      <c r="V5430" s="15">
        <f>ROUNDUP((T5430+U5430+2*'Read Me'!$B$13)*(1+'Read Me'!$B$12),-1)</f>
        <v/>
      </c>
      <c r="W5430" s="15">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5" t="n">
        <v>3273</v>
      </c>
      <c r="U5431" s="15" t="n">
        <v>159</v>
      </c>
      <c r="V5431" s="15">
        <f>ROUNDUP((T5431+U5431+2*'Read Me'!$B$13)*(1+'Read Me'!$B$12),-1)</f>
        <v/>
      </c>
      <c r="W5431" s="15">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5" t="n">
        <v>2888</v>
      </c>
      <c r="U5432" s="15" t="n">
        <v>102</v>
      </c>
      <c r="V5432" s="15">
        <f>ROUNDUP((T5432+U5432+2*'Read Me'!$B$13)*(1+'Read Me'!$B$12),-1)</f>
        <v/>
      </c>
      <c r="W5432" s="15">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5" t="n">
        <v>2713</v>
      </c>
      <c r="U5433" s="15" t="n">
        <v>98</v>
      </c>
      <c r="V5433" s="15">
        <f>ROUNDUP((T5433+U5433+2*'Read Me'!$B$13)*(1+'Read Me'!$B$12),-1)</f>
        <v/>
      </c>
      <c r="W5433" s="15">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5" t="n">
        <v>0</v>
      </c>
      <c r="U5434" s="15" t="n">
        <v>32</v>
      </c>
      <c r="V5434" s="15">
        <f>ROUNDUP((T5434+U5434+2*'Read Me'!$B$13)*(1+'Read Me'!$B$12),-1)</f>
        <v/>
      </c>
      <c r="W5434" s="15">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5" t="n">
        <v>0</v>
      </c>
      <c r="U5435" s="15" t="n">
        <v>32</v>
      </c>
      <c r="V5435" s="15">
        <f>ROUNDUP((T5435+U5435+2*'Read Me'!$B$13)*(1+'Read Me'!$B$12),-1)</f>
        <v/>
      </c>
      <c r="W5435" s="15">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5" t="n">
        <v>485</v>
      </c>
      <c r="U5436" s="15" t="n">
        <v>70</v>
      </c>
      <c r="V5436" s="15">
        <f>ROUNDUP((T5436+U5436+2*'Read Me'!$B$13)*(1+'Read Me'!$B$12),-1)</f>
        <v/>
      </c>
      <c r="W5436" s="15">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5" t="n">
        <v>473</v>
      </c>
      <c r="U5437" s="15" t="n">
        <v>32</v>
      </c>
      <c r="V5437" s="15">
        <f>ROUNDUP((T5437+U5437+2*'Read Me'!$B$13)*(1+'Read Me'!$B$12),-1)</f>
        <v/>
      </c>
      <c r="W5437" s="15">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5" t="n">
        <v>453</v>
      </c>
      <c r="U5438" s="15" t="n">
        <v>32</v>
      </c>
      <c r="V5438" s="15">
        <f>ROUNDUP((T5438+U5438+2*'Read Me'!$B$13)*(1+'Read Me'!$B$12),-1)</f>
        <v/>
      </c>
      <c r="W5438" s="15">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5" t="n">
        <v>80</v>
      </c>
      <c r="U5439" s="15" t="n">
        <v>10</v>
      </c>
      <c r="V5439" s="15">
        <f>ROUNDUP((T5439+U5439+2*'Read Me'!$B$13)*(1+'Read Me'!$B$12),-1)</f>
        <v/>
      </c>
      <c r="W5439" s="15">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Conduit link</t>
        </is>
      </c>
      <c r="T5440" s="15" t="n">
        <v>30</v>
      </c>
      <c r="U5440" s="15" t="n">
        <v>32</v>
      </c>
      <c r="V5440" s="15">
        <f>ROUNDUP((T5440+U5440+2*'Read Me'!$B$13)*(1+'Read Me'!$B$12),-1)</f>
        <v/>
      </c>
      <c r="W5440" s="15">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5" t="n">
        <v>80</v>
      </c>
      <c r="U5441" s="15" t="n">
        <v>10</v>
      </c>
      <c r="V5441" s="15">
        <f>ROUNDUP((T5441+U5441+2*'Read Me'!$B$13)*(1+'Read Me'!$B$12),-1)</f>
        <v/>
      </c>
      <c r="W5441" s="15">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Conduit link</t>
        </is>
      </c>
      <c r="T5442" s="15" t="n">
        <v>30</v>
      </c>
      <c r="U5442" s="15" t="n">
        <v>32</v>
      </c>
      <c r="V5442" s="15">
        <f>ROUNDUP((T5442+U5442+2*'Read Me'!$B$13)*(1+'Read Me'!$B$12),-1)</f>
        <v/>
      </c>
      <c r="W5442" s="15">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5" t="n">
        <v>69</v>
      </c>
      <c r="U5443" s="15" t="n">
        <v>10</v>
      </c>
      <c r="V5443" s="15">
        <f>ROUNDUP((T5443+U5443+2*'Read Me'!$B$13)*(1+'Read Me'!$B$12),-1)</f>
        <v/>
      </c>
      <c r="W5443" s="15">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5" t="n">
        <v>0</v>
      </c>
      <c r="U5444" s="15" t="n">
        <v>32</v>
      </c>
      <c r="V5444" s="15">
        <f>ROUNDUP((T5444+U5444+2*'Read Me'!$B$13)*(1+'Read Me'!$B$12),-1)</f>
        <v/>
      </c>
      <c r="W5444" s="15">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5" t="n">
        <v>69</v>
      </c>
      <c r="U5445" s="15" t="n">
        <v>10</v>
      </c>
      <c r="V5445" s="15">
        <f>ROUNDUP((T5445+U5445+2*'Read Me'!$B$13)*(1+'Read Me'!$B$12),-1)</f>
        <v/>
      </c>
      <c r="W5445" s="15">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5" t="n">
        <v>0</v>
      </c>
      <c r="U5446" s="15" t="n">
        <v>32</v>
      </c>
      <c r="V5446" s="15">
        <f>ROUNDUP((T5446+U5446+2*'Read Me'!$B$13)*(1+'Read Me'!$B$12),-1)</f>
        <v/>
      </c>
      <c r="W5446" s="15">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5" t="n">
        <v>41</v>
      </c>
      <c r="U5447" s="15" t="n">
        <v>10</v>
      </c>
      <c r="V5447" s="15">
        <f>ROUNDUP((T5447+U5447+2*'Read Me'!$B$13)*(1+'Read Me'!$B$12),-1)</f>
        <v/>
      </c>
      <c r="W5447" s="15">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5" t="n">
        <v>348</v>
      </c>
      <c r="U5448" s="15" t="n">
        <v>48</v>
      </c>
      <c r="V5448" s="15">
        <f>ROUNDUP((T5448+U5448+2*'Read Me'!$B$13)*(1+'Read Me'!$B$12),-1)</f>
        <v/>
      </c>
      <c r="W5448" s="15">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5" t="n">
        <v>41</v>
      </c>
      <c r="U5449" s="15" t="n">
        <v>10</v>
      </c>
      <c r="V5449" s="15">
        <f>ROUNDUP((T5449+U5449+2*'Read Me'!$B$13)*(1+'Read Me'!$B$12),-1)</f>
        <v/>
      </c>
      <c r="W5449" s="15">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5" t="n">
        <v>348</v>
      </c>
      <c r="U5450" s="15" t="n">
        <v>48</v>
      </c>
      <c r="V5450" s="15">
        <f>ROUNDUP((T5450+U5450+2*'Read Me'!$B$13)*(1+'Read Me'!$B$12),-1)</f>
        <v/>
      </c>
      <c r="W5450" s="15">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5" t="n">
        <v>41</v>
      </c>
      <c r="U5451" s="15" t="n">
        <v>10</v>
      </c>
      <c r="V5451" s="15">
        <f>ROUNDUP((T5451+U5451+2*'Read Me'!$B$13)*(1+'Read Me'!$B$12),-1)</f>
        <v/>
      </c>
      <c r="W5451" s="15">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5" t="n">
        <v>348</v>
      </c>
      <c r="U5452" s="15" t="n">
        <v>32</v>
      </c>
      <c r="V5452" s="15">
        <f>ROUNDUP((T5452+U5452+2*'Read Me'!$B$13)*(1+'Read Me'!$B$12),-1)</f>
        <v/>
      </c>
      <c r="W5452" s="15">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5" t="n">
        <v>41</v>
      </c>
      <c r="U5453" s="15" t="n">
        <v>10</v>
      </c>
      <c r="V5453" s="15">
        <f>ROUNDUP((T5453+U5453+2*'Read Me'!$B$13)*(1+'Read Me'!$B$12),-1)</f>
        <v/>
      </c>
      <c r="W5453" s="15">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5" t="n">
        <v>348</v>
      </c>
      <c r="U5454" s="15" t="n">
        <v>32</v>
      </c>
      <c r="V5454" s="15">
        <f>ROUNDUP((T5454+U5454+2*'Read Me'!$B$13)*(1+'Read Me'!$B$12),-1)</f>
        <v/>
      </c>
      <c r="W5454" s="15">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5" t="n">
        <v>41</v>
      </c>
      <c r="U5455" s="15" t="n">
        <v>10</v>
      </c>
      <c r="V5455" s="15">
        <f>ROUNDUP((T5455+U5455+2*'Read Me'!$B$13)*(1+'Read Me'!$B$12),-1)</f>
        <v/>
      </c>
      <c r="W5455" s="15">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5" t="n">
        <v>321</v>
      </c>
      <c r="U5456" s="15" t="n">
        <v>32</v>
      </c>
      <c r="V5456" s="15">
        <f>ROUNDUP((T5456+U5456+2*'Read Me'!$B$13)*(1+'Read Me'!$B$12),-1)</f>
        <v/>
      </c>
      <c r="W5456" s="15">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5" t="n">
        <v>41</v>
      </c>
      <c r="U5457" s="15" t="n">
        <v>10</v>
      </c>
      <c r="V5457" s="15">
        <f>ROUNDUP((T5457+U5457+2*'Read Me'!$B$13)*(1+'Read Me'!$B$12),-1)</f>
        <v/>
      </c>
      <c r="W5457" s="15">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5" t="n">
        <v>321</v>
      </c>
      <c r="U5458" s="15" t="n">
        <v>32</v>
      </c>
      <c r="V5458" s="15">
        <f>ROUNDUP((T5458+U5458+2*'Read Me'!$B$13)*(1+'Read Me'!$B$12),-1)</f>
        <v/>
      </c>
      <c r="W5458" s="15">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5" t="n">
        <v>41</v>
      </c>
      <c r="U5459" s="15" t="n">
        <v>10</v>
      </c>
      <c r="V5459" s="15">
        <f>ROUNDUP((T5459+U5459+2*'Read Me'!$B$13)*(1+'Read Me'!$B$12),-1)</f>
        <v/>
      </c>
      <c r="W5459" s="15">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5" t="n">
        <v>295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5" t="n">
        <v>41</v>
      </c>
      <c r="U5461" s="15" t="n">
        <v>10</v>
      </c>
      <c r="V5461" s="15">
        <f>ROUNDUP((T5461+U5461+2*'Read Me'!$B$13)*(1+'Read Me'!$B$12),-1)</f>
        <v/>
      </c>
      <c r="W5461" s="15">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5" t="n">
        <v>295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5" t="n">
        <v>41</v>
      </c>
      <c r="U5463" s="15" t="n">
        <v>10</v>
      </c>
      <c r="V5463" s="15">
        <f>ROUNDUP((T5463+U5463+2*'Read Me'!$B$13)*(1+'Read Me'!$B$12),-1)</f>
        <v/>
      </c>
      <c r="W5463" s="15">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5" t="n">
        <v>254</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5" t="n">
        <v>41</v>
      </c>
      <c r="U5465" s="15" t="n">
        <v>10</v>
      </c>
      <c r="V5465" s="15">
        <f>ROUNDUP((T5465+U5465+2*'Read Me'!$B$13)*(1+'Read Me'!$B$12),-1)</f>
        <v/>
      </c>
      <c r="W5465" s="15">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5" t="n">
        <v>254</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5" t="n">
        <v>157</v>
      </c>
      <c r="U5467" s="15" t="n">
        <v>10</v>
      </c>
      <c r="V5467" s="15">
        <f>ROUNDUP((T5467+U5467+2*'Read Me'!$B$13)*(1+'Read Me'!$B$12),-1)</f>
        <v/>
      </c>
      <c r="W5467" s="15">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5" t="n">
        <v>395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5" t="n">
        <v>157</v>
      </c>
      <c r="U5469" s="15" t="n">
        <v>10</v>
      </c>
      <c r="V5469" s="15">
        <f>ROUNDUP((T5469+U5469+2*'Read Me'!$B$13)*(1+'Read Me'!$B$12),-1)</f>
        <v/>
      </c>
      <c r="W5469" s="15">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5" t="n">
        <v>395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5" t="n">
        <v>111</v>
      </c>
      <c r="U5471" s="15" t="n">
        <v>10</v>
      </c>
      <c r="V5471" s="15">
        <f>ROUNDUP((T5471+U5471+2*'Read Me'!$B$13)*(1+'Read Me'!$B$12),-1)</f>
        <v/>
      </c>
      <c r="W5471" s="15">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5" t="n">
        <v>53</v>
      </c>
      <c r="U5472" s="15" t="n">
        <v>77</v>
      </c>
      <c r="V5472" s="15">
        <f>ROUNDUP((T5472+U5472+2*'Read Me'!$B$13)*(1+'Read Me'!$B$12),-1)</f>
        <v/>
      </c>
      <c r="W5472" s="15">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5" t="n">
        <v>111</v>
      </c>
      <c r="U5473" s="15" t="n">
        <v>10</v>
      </c>
      <c r="V5473" s="15">
        <f>ROUNDUP((T5473+U5473+2*'Read Me'!$B$13)*(1+'Read Me'!$B$12),-1)</f>
        <v/>
      </c>
      <c r="W5473" s="15">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5" t="n">
        <v>53</v>
      </c>
      <c r="U5474" s="15" t="n">
        <v>77</v>
      </c>
      <c r="V5474" s="15">
        <f>ROUNDUP((T5474+U5474+2*'Read Me'!$B$13)*(1+'Read Me'!$B$12),-1)</f>
        <v/>
      </c>
      <c r="W5474" s="15">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5" t="n">
        <v>60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5" t="n">
        <v>146</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5" t="n">
        <v>60</v>
      </c>
      <c r="U5477" s="15" t="n">
        <v>10</v>
      </c>
      <c r="V5477" s="15">
        <f>ROUNDUP((T5477+U5477+2*'Read Me'!$B$13)*(1+'Read Me'!$B$12),-1)</f>
        <v/>
      </c>
      <c r="W5477" s="15">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5" t="n">
        <v>146</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5" t="n">
        <v>60</v>
      </c>
      <c r="U5479" s="15" t="n">
        <v>10</v>
      </c>
      <c r="V5479" s="15">
        <f>ROUNDUP((T5479+U5479+2*'Read Me'!$B$13)*(1+'Read Me'!$B$12),-1)</f>
        <v/>
      </c>
      <c r="W5479" s="15">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Conduit link</t>
        </is>
      </c>
      <c r="T5480" s="15" t="n">
        <v>0</v>
      </c>
      <c r="U5480" s="15" t="n">
        <v>49</v>
      </c>
      <c r="V5480" s="15">
        <f>ROUNDUP((T5480+U5480+2*'Read Me'!$B$13)*(1+'Read Me'!$B$12),-1)</f>
        <v/>
      </c>
      <c r="W5480" s="15">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5" t="n">
        <v>60</v>
      </c>
      <c r="U5481" s="15" t="n">
        <v>10</v>
      </c>
      <c r="V5481" s="15">
        <f>ROUNDUP((T5481+U5481+2*'Read Me'!$B$13)*(1+'Read Me'!$B$12),-1)</f>
        <v/>
      </c>
      <c r="W5481" s="15">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Conduit link</t>
        </is>
      </c>
      <c r="T5482" s="15" t="n">
        <v>0</v>
      </c>
      <c r="U5482" s="15" t="n">
        <v>49</v>
      </c>
      <c r="V5482" s="15">
        <f>ROUNDUP((T5482+U5482+2*'Read Me'!$B$13)*(1+'Read Me'!$B$12),-1)</f>
        <v/>
      </c>
      <c r="W5482" s="15">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5" t="n">
        <v>53</v>
      </c>
      <c r="U5483" s="15" t="n">
        <v>10</v>
      </c>
      <c r="V5483" s="15">
        <f>ROUNDUP((T5483+U5483+2*'Read Me'!$B$13)*(1+'Read Me'!$B$12),-1)</f>
        <v/>
      </c>
      <c r="W5483" s="15">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Conduit link</t>
        </is>
      </c>
      <c r="T5484" s="15" t="n">
        <v>44</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5" t="n">
        <v>53</v>
      </c>
      <c r="U5485" s="15" t="n">
        <v>10</v>
      </c>
      <c r="V5485" s="15">
        <f>ROUNDUP((T5485+U5485+2*'Read Me'!$B$13)*(1+'Read Me'!$B$12),-1)</f>
        <v/>
      </c>
      <c r="W5485" s="15">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Conduit link</t>
        </is>
      </c>
      <c r="T5486" s="15" t="n">
        <v>44</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5" t="n">
        <v>53</v>
      </c>
      <c r="U5487" s="15" t="n">
        <v>10</v>
      </c>
      <c r="V5487" s="15">
        <f>ROUNDUP((T5487+U5487+2*'Read Me'!$B$13)*(1+'Read Me'!$B$12),-1)</f>
        <v/>
      </c>
      <c r="W5487" s="15">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Conduit link</t>
        </is>
      </c>
      <c r="T5488" s="15" t="n">
        <v>44</v>
      </c>
      <c r="U5488" s="15" t="n">
        <v>47</v>
      </c>
      <c r="V5488" s="15">
        <f>ROUNDUP((T5488+U5488+2*'Read Me'!$B$13)*(1+'Read Me'!$B$12),-1)</f>
        <v/>
      </c>
      <c r="W5488" s="15">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5" t="n">
        <v>53</v>
      </c>
      <c r="U5489" s="15" t="n">
        <v>10</v>
      </c>
      <c r="V5489" s="15">
        <f>ROUNDUP((T5489+U5489+2*'Read Me'!$B$13)*(1+'Read Me'!$B$12),-1)</f>
        <v/>
      </c>
      <c r="W5489" s="15">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Conduit link</t>
        </is>
      </c>
      <c r="T5490" s="15" t="n">
        <v>44</v>
      </c>
      <c r="U5490" s="15" t="n">
        <v>47</v>
      </c>
      <c r="V5490" s="15">
        <f>ROUNDUP((T5490+U5490+2*'Read Me'!$B$13)*(1+'Read Me'!$B$12),-1)</f>
        <v/>
      </c>
      <c r="W5490" s="15">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5" t="n">
        <v>54</v>
      </c>
      <c r="U5491" s="15" t="n">
        <v>10</v>
      </c>
      <c r="V5491" s="15">
        <f>ROUNDUP((T5491+U5491+2*'Read Me'!$B$13)*(1+'Read Me'!$B$12),-1)</f>
        <v/>
      </c>
      <c r="W5491" s="15">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Conduit link</t>
        </is>
      </c>
      <c r="T5492" s="15" t="n">
        <v>40</v>
      </c>
      <c r="U5492" s="15" t="n">
        <v>96</v>
      </c>
      <c r="V5492" s="15">
        <f>ROUNDUP((T5492+U5492+2*'Read Me'!$B$13)*(1+'Read Me'!$B$12),-1)</f>
        <v/>
      </c>
      <c r="W5492" s="15">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5" t="n">
        <v>54</v>
      </c>
      <c r="U5493" s="15" t="n">
        <v>10</v>
      </c>
      <c r="V5493" s="15">
        <f>ROUNDUP((T5493+U5493+2*'Read Me'!$B$13)*(1+'Read Me'!$B$12),-1)</f>
        <v/>
      </c>
      <c r="W5493" s="15">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Conduit link</t>
        </is>
      </c>
      <c r="T5494" s="15" t="n">
        <v>40</v>
      </c>
      <c r="U5494" s="15" t="n">
        <v>96</v>
      </c>
      <c r="V5494" s="15">
        <f>ROUNDUP((T5494+U5494+2*'Read Me'!$B$13)*(1+'Read Me'!$B$12),-1)</f>
        <v/>
      </c>
      <c r="W5494" s="15">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5" t="n">
        <v>54</v>
      </c>
      <c r="U5495" s="15" t="n">
        <v>10</v>
      </c>
      <c r="V5495" s="15">
        <f>ROUNDUP((T5495+U5495+2*'Read Me'!$B$13)*(1+'Read Me'!$B$12),-1)</f>
        <v/>
      </c>
      <c r="W5495" s="15">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Conduit link</t>
        </is>
      </c>
      <c r="T5496" s="15" t="n">
        <v>40</v>
      </c>
      <c r="U5496" s="15" t="n">
        <v>116</v>
      </c>
      <c r="V5496" s="15">
        <f>ROUNDUP((T5496+U5496+2*'Read Me'!$B$13)*(1+'Read Me'!$B$12),-1)</f>
        <v/>
      </c>
      <c r="W5496" s="15">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5" t="n">
        <v>54</v>
      </c>
      <c r="U5497" s="15" t="n">
        <v>10</v>
      </c>
      <c r="V5497" s="15">
        <f>ROUNDUP((T5497+U5497+2*'Read Me'!$B$13)*(1+'Read Me'!$B$12),-1)</f>
        <v/>
      </c>
      <c r="W5497" s="15">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Conduit link</t>
        </is>
      </c>
      <c r="T5498" s="15" t="n">
        <v>40</v>
      </c>
      <c r="U5498" s="15" t="n">
        <v>116</v>
      </c>
      <c r="V5498" s="15">
        <f>ROUNDUP((T5498+U5498+2*'Read Me'!$B$13)*(1+'Read Me'!$B$12),-1)</f>
        <v/>
      </c>
      <c r="W5498" s="15">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5" t="n">
        <v>54</v>
      </c>
      <c r="U5499" s="15" t="n">
        <v>10</v>
      </c>
      <c r="V5499" s="15">
        <f>ROUNDUP((T5499+U5499+2*'Read Me'!$B$13)*(1+'Read Me'!$B$12),-1)</f>
        <v/>
      </c>
      <c r="W5499" s="15">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Conduit link</t>
        </is>
      </c>
      <c r="T5500" s="15" t="n">
        <v>44</v>
      </c>
      <c r="U5500" s="15" t="n">
        <v>97</v>
      </c>
      <c r="V5500" s="15">
        <f>ROUNDUP((T5500+U5500+2*'Read Me'!$B$13)*(1+'Read Me'!$B$12),-1)</f>
        <v/>
      </c>
      <c r="W5500" s="15">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5" t="n">
        <v>54</v>
      </c>
      <c r="U5501" s="15" t="n">
        <v>10</v>
      </c>
      <c r="V5501" s="15">
        <f>ROUNDUP((T5501+U5501+2*'Read Me'!$B$13)*(1+'Read Me'!$B$12),-1)</f>
        <v/>
      </c>
      <c r="W5501" s="15">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Conduit link</t>
        </is>
      </c>
      <c r="T5502" s="15" t="n">
        <v>44</v>
      </c>
      <c r="U5502" s="15" t="n">
        <v>97</v>
      </c>
      <c r="V5502" s="15">
        <f>ROUNDUP((T5502+U5502+2*'Read Me'!$B$13)*(1+'Read Me'!$B$12),-1)</f>
        <v/>
      </c>
      <c r="W5502" s="15">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5" t="n">
        <v>54</v>
      </c>
      <c r="U5503" s="15" t="n">
        <v>10</v>
      </c>
      <c r="V5503" s="15">
        <f>ROUNDUP((T5503+U5503+2*'Read Me'!$B$13)*(1+'Read Me'!$B$12),-1)</f>
        <v/>
      </c>
      <c r="W5503" s="15">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Conduit link</t>
        </is>
      </c>
      <c r="T5504" s="15" t="n">
        <v>44</v>
      </c>
      <c r="U5504" s="15" t="n">
        <v>117</v>
      </c>
      <c r="V5504" s="15">
        <f>ROUNDUP((T5504+U5504+2*'Read Me'!$B$13)*(1+'Read Me'!$B$12),-1)</f>
        <v/>
      </c>
      <c r="W5504" s="15">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5" t="n">
        <v>54</v>
      </c>
      <c r="U5505" s="15" t="n">
        <v>10</v>
      </c>
      <c r="V5505" s="15">
        <f>ROUNDUP((T5505+U5505+2*'Read Me'!$B$13)*(1+'Read Me'!$B$12),-1)</f>
        <v/>
      </c>
      <c r="W5505" s="15">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Conduit link</t>
        </is>
      </c>
      <c r="T5506" s="15" t="n">
        <v>44</v>
      </c>
      <c r="U5506" s="15" t="n">
        <v>117</v>
      </c>
      <c r="V5506" s="15">
        <f>ROUNDUP((T5506+U5506+2*'Read Me'!$B$13)*(1+'Read Me'!$B$12),-1)</f>
        <v/>
      </c>
      <c r="W5506" s="15">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5" t="n">
        <v>56</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5" t="n">
        <v>53</v>
      </c>
      <c r="U5508" s="15" t="n">
        <v>36</v>
      </c>
      <c r="V5508" s="15">
        <f>ROUNDUP((T5508+U5508+2*'Read Me'!$B$13)*(1+'Read Me'!$B$12),-1)</f>
        <v/>
      </c>
      <c r="W5508" s="15">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5" t="n">
        <v>56</v>
      </c>
      <c r="U5509" s="15" t="n">
        <v>10</v>
      </c>
      <c r="V5509" s="15">
        <f>ROUNDUP((T5509+U5509+2*'Read Me'!$B$13)*(1+'Read Me'!$B$12),-1)</f>
        <v/>
      </c>
      <c r="W5509" s="15">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5" t="n">
        <v>53</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5" t="n">
        <v>45</v>
      </c>
      <c r="U5511" s="15" t="n">
        <v>10</v>
      </c>
      <c r="V5511" s="15">
        <f>ROUNDUP((T5511+U5511+2*'Read Me'!$B$13)*(1+'Read Me'!$B$12),-1)</f>
        <v/>
      </c>
      <c r="W5511" s="15">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Conduit link</t>
        </is>
      </c>
      <c r="T5512" s="15" t="n">
        <v>44</v>
      </c>
      <c r="U5512" s="15" t="n">
        <v>210</v>
      </c>
      <c r="V5512" s="15">
        <f>ROUNDUP((T5512+U5512+2*'Read Me'!$B$13)*(1+'Read Me'!$B$12),-1)</f>
        <v/>
      </c>
      <c r="W5512" s="15">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5" t="n">
        <v>45</v>
      </c>
      <c r="U5513" s="15" t="n">
        <v>10</v>
      </c>
      <c r="V5513" s="15">
        <f>ROUNDUP((T5513+U5513+2*'Read Me'!$B$13)*(1+'Read Me'!$B$12),-1)</f>
        <v/>
      </c>
      <c r="W5513" s="15">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Conduit link</t>
        </is>
      </c>
      <c r="T5514" s="15" t="n">
        <v>44</v>
      </c>
      <c r="U5514" s="15" t="n">
        <v>210</v>
      </c>
      <c r="V5514" s="15">
        <f>ROUNDUP((T5514+U5514+2*'Read Me'!$B$13)*(1+'Read Me'!$B$12),-1)</f>
        <v/>
      </c>
      <c r="W5514" s="15">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skid (plant gas yard)</t>
        </is>
      </c>
      <c r="G5515" s="12" t="inlineStr">
        <is>
          <t>JB-H2 30: H2 / gas bl-AI01</t>
        </is>
      </c>
      <c r="H5515" s="12" t="inlineStr">
        <is>
          <t>H2 30: H2 / gas blending skid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5" t="n">
        <v>64</v>
      </c>
      <c r="U5515" s="15" t="n">
        <v>10</v>
      </c>
      <c r="V5515" s="15">
        <f>ROUNDUP((T5515+U5515+2*'Read Me'!$B$13)*(1+'Read Me'!$B$12),-1)</f>
        <v/>
      </c>
      <c r="W5515" s="15">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skid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5" t="n">
        <v>1011</v>
      </c>
      <c r="U5516" s="15" t="n">
        <v>132</v>
      </c>
      <c r="V5516" s="15">
        <f>ROUNDUP((T5516+U5516+2*'Read Me'!$B$13)*(1+'Read Me'!$B$12),-1)</f>
        <v/>
      </c>
      <c r="W5516" s="15">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skid (plant gas yard)</t>
        </is>
      </c>
      <c r="G5517" s="12" t="inlineStr">
        <is>
          <t>JB-H2 30: H2 / gas bl-DI01</t>
        </is>
      </c>
      <c r="H5517" s="12" t="inlineStr">
        <is>
          <t>H2 30: H2 / gas blending skid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5" t="n">
        <v>64</v>
      </c>
      <c r="U5517" s="15" t="n">
        <v>10</v>
      </c>
      <c r="V5517" s="15">
        <f>ROUNDUP((T5517+U5517+2*'Read Me'!$B$13)*(1+'Read Me'!$B$12),-1)</f>
        <v/>
      </c>
      <c r="W5517" s="15">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skid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5" t="n">
        <v>1011</v>
      </c>
      <c r="U5518" s="15" t="n">
        <v>132</v>
      </c>
      <c r="V5518" s="15">
        <f>ROUNDUP((T5518+U5518+2*'Read Me'!$B$13)*(1+'Read Me'!$B$12),-1)</f>
        <v/>
      </c>
      <c r="W5518" s="15">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Instrumentation</t>
        </is>
      </c>
      <c r="E5519" s="12" t="inlineStr"/>
      <c r="F5519" s="12" t="inlineStr">
        <is>
          <t>H2 20: 13.8 kV e-house</t>
        </is>
      </c>
      <c r="G5519" s="12" t="inlineStr">
        <is>
          <t>H2-ST</t>
        </is>
      </c>
      <c r="H5519" s="12" t="inlineStr">
        <is>
          <t>H2 storage tube banks x4</t>
        </is>
      </c>
      <c r="I5519" s="12" t="inlineStr">
        <is>
          <t>Instrumentation</t>
        </is>
      </c>
      <c r="J5519" s="12" t="inlineStr">
        <is>
          <t>Instrumentation ITC / PLTC, IS, #18 shielded pairs, blue jacket</t>
        </is>
      </c>
      <c r="K5519" s="12" t="inlineStr">
        <is>
          <t>ITC|4 pr|18</t>
        </is>
      </c>
      <c r="L5519" s="12" t="inlineStr">
        <is>
          <t>4 pr</t>
        </is>
      </c>
      <c r="M5519" s="12" t="inlineStr">
        <is>
          <t>18</t>
        </is>
      </c>
      <c r="N5519" s="12" t="n">
        <v>1</v>
      </c>
      <c r="O5519" s="12" t="n">
        <v>1</v>
      </c>
      <c r="P5519" s="12" t="n"/>
      <c r="Q5519" s="12" t="n"/>
      <c r="R5519" s="12" t="n"/>
      <c r="S5519" s="12" t="inlineStr">
        <is>
          <t>Conduit link</t>
        </is>
      </c>
      <c r="T5519" s="15" t="n">
        <v>44</v>
      </c>
      <c r="U5519" s="15" t="n">
        <v>92</v>
      </c>
      <c r="V5519" s="15">
        <f>ROUNDUP((T5519+U5519+2*'Read Me'!$B$13)*(1+'Read Me'!$B$12),-1)</f>
        <v/>
      </c>
      <c r="W5519" s="15">
        <f>V5519*N5519*O5519</f>
        <v/>
      </c>
      <c r="X5519" s="12">
        <f>IF(LEFT(I5519,2)="MV",2*N5519*IF(L5519="1/C",O5519,1),0)</f>
        <v/>
      </c>
      <c r="Y5519" s="12">
        <f>IF(OR(LEFT(K5519,4)="LVAX",LEFT(K5519,6)="MV15AX",LEFT(K5519,4)="CTAX",LEFT(K5519,2)="W|"),2*N5519*O5519,0)</f>
        <v/>
      </c>
      <c r="Z5519" s="12" t="inlineStr"/>
      <c r="AA5519" s="12">
        <f>N5519*O5519</f>
        <v/>
      </c>
    </row>
    <row r="5520">
      <c r="A5520" s="12" t="inlineStr">
        <is>
          <t>K-I-0082</t>
        </is>
      </c>
      <c r="B5520" s="12" t="inlineStr">
        <is>
          <t>K</t>
        </is>
      </c>
      <c r="C5520" s="12" t="inlineStr">
        <is>
          <t>Fuel supply (adjacent market)</t>
        </is>
      </c>
      <c r="D5520" s="12" t="inlineStr">
        <is>
          <t>Analog instrument to JB JB-LNG 10: truck unlo-AI01: 12 x 1 pr (field cables)</t>
        </is>
      </c>
      <c r="E5520" s="12" t="inlineStr"/>
      <c r="F5520" s="12" t="inlineStr">
        <is>
          <t>LNG 10: truck unloading bay 1</t>
        </is>
      </c>
      <c r="G5520" s="12" t="inlineStr">
        <is>
          <t>JB-LNG 10: truck unlo-AI01</t>
        </is>
      </c>
      <c r="H5520" s="12" t="inlineStr">
        <is>
          <t>LNG 10: truck unloading bay 1</t>
        </is>
      </c>
      <c r="I5520" s="12" t="inlineStr">
        <is>
          <t>Instrumentation</t>
        </is>
      </c>
      <c r="J5520" s="12" t="inlineStr">
        <is>
          <t>Instrumentation ITC / PLTC, IS, #18 shielded pairs, blue jacket</t>
        </is>
      </c>
      <c r="K5520" s="12" t="inlineStr">
        <is>
          <t>ITC|1 pr|16</t>
        </is>
      </c>
      <c r="L5520" s="12" t="inlineStr">
        <is>
          <t>1 pr</t>
        </is>
      </c>
      <c r="M5520" s="12" t="inlineStr">
        <is>
          <t>16</t>
        </is>
      </c>
      <c r="N5520" s="12" t="n">
        <v>12</v>
      </c>
      <c r="O5520" s="12" t="n">
        <v>1</v>
      </c>
      <c r="P5520" s="12" t="n"/>
      <c r="Q5520" s="12" t="n"/>
      <c r="R5520" s="12" t="n"/>
      <c r="S5520" s="12" t="inlineStr">
        <is>
          <t>Tray / conduit</t>
        </is>
      </c>
      <c r="T5520" s="15" t="n">
        <v>72</v>
      </c>
      <c r="U5520" s="15" t="n">
        <v>10</v>
      </c>
      <c r="V5520" s="15">
        <f>ROUNDUP((T5520+U5520+2*'Read Me'!$B$13)*(1+'Read Me'!$B$12),-1)</f>
        <v/>
      </c>
      <c r="W5520" s="15">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K-I-0083</t>
        </is>
      </c>
      <c r="B5521" s="12" t="inlineStr">
        <is>
          <t>K</t>
        </is>
      </c>
      <c r="C5521" s="12" t="inlineStr">
        <is>
          <t>Fuel supply (adjacent market)</t>
        </is>
      </c>
      <c r="D5521" s="12" t="inlineStr">
        <is>
          <t>Home run JB-LNG 10: truck unlo-AI01 to the control / marshalling room</t>
        </is>
      </c>
      <c r="E5521" s="12" t="inlineStr"/>
      <c r="F5521" s="12" t="inlineStr">
        <is>
          <t>LNG 17: LNG e-house (13.8 kV / 480 V)</t>
        </is>
      </c>
      <c r="G5521" s="12" t="inlineStr">
        <is>
          <t>JB-LNG 10: truck unlo-AI01</t>
        </is>
      </c>
      <c r="H5521" s="12" t="inlineStr">
        <is>
          <t>LNG 10: truck unloading bay 1</t>
        </is>
      </c>
      <c r="I5521" s="12" t="inlineStr">
        <is>
          <t>Instrumentation</t>
        </is>
      </c>
      <c r="J5521" s="12" t="inlineStr">
        <is>
          <t>Instrumentation ITC / PLTC, IS, #18 shielded pairs, blue jacket</t>
        </is>
      </c>
      <c r="K5521" s="12" t="inlineStr">
        <is>
          <t>ITC|24 pr|18</t>
        </is>
      </c>
      <c r="L5521" s="12" t="inlineStr">
        <is>
          <t>24 pr</t>
        </is>
      </c>
      <c r="M5521" s="12" t="inlineStr">
        <is>
          <t>18</t>
        </is>
      </c>
      <c r="N5521" s="12" t="n">
        <v>1</v>
      </c>
      <c r="O5521" s="12" t="n">
        <v>1</v>
      </c>
      <c r="P5521" s="12" t="n"/>
      <c r="Q5521" s="12" t="n"/>
      <c r="R5521" s="12" t="n"/>
      <c r="S5521" s="12" t="inlineStr">
        <is>
          <t>Duct bank</t>
        </is>
      </c>
      <c r="T5521" s="15" t="n">
        <v>237</v>
      </c>
      <c r="U5521" s="15" t="n">
        <v>61</v>
      </c>
      <c r="V5521" s="15">
        <f>ROUNDUP((T5521+U5521+2*'Read Me'!$B$13)*(1+'Read Me'!$B$12),-1)</f>
        <v/>
      </c>
      <c r="W5521" s="15">
        <f>V5521*N5521*O5521</f>
        <v/>
      </c>
      <c r="X5521" s="12">
        <f>IF(LEFT(I5521,2)="MV",2*N5521*IF(L5521="1/C",O5521,1),0)</f>
        <v/>
      </c>
      <c r="Y5521" s="12">
        <f>IF(OR(LEFT(K5521,4)="LVAX",LEFT(K5521,6)="MV15AX",LEFT(K5521,4)="CTAX",LEFT(K5521,2)="W|"),2*N5521*O5521,0)</f>
        <v/>
      </c>
      <c r="Z5521" s="12" t="inlineStr"/>
      <c r="AA5521" s="12">
        <f>N5521*O5521</f>
        <v/>
      </c>
    </row>
    <row r="5522">
      <c r="A5522" s="12" t="inlineStr">
        <is>
          <t>K-I-0084</t>
        </is>
      </c>
      <c r="B5522" s="12" t="inlineStr">
        <is>
          <t>K</t>
        </is>
      </c>
      <c r="C5522" s="12" t="inlineStr">
        <is>
          <t>Fuel supply (adjacent market)</t>
        </is>
      </c>
      <c r="D5522" s="12" t="inlineStr">
        <is>
          <t>Discrete device to JB JB-LNG 10: truck unlo-DI01: 12 x 1 pr (field cables)</t>
        </is>
      </c>
      <c r="E5522" s="12" t="inlineStr"/>
      <c r="F5522" s="12" t="inlineStr">
        <is>
          <t>LNG 10: truck unloading bay 1</t>
        </is>
      </c>
      <c r="G5522" s="12" t="inlineStr">
        <is>
          <t>JB-LNG 10: truck unlo-DI01</t>
        </is>
      </c>
      <c r="H5522" s="12" t="inlineStr">
        <is>
          <t>LNG 10: truck unloading bay 1</t>
        </is>
      </c>
      <c r="I5522" s="12" t="inlineStr">
        <is>
          <t>Instrumentation</t>
        </is>
      </c>
      <c r="J5522" s="12" t="inlineStr">
        <is>
          <t>Instrumentation ITC / PLTC, IS, #18 shielded pairs, blue jacket</t>
        </is>
      </c>
      <c r="K5522" s="12" t="inlineStr">
        <is>
          <t>ITC|1 pr|16</t>
        </is>
      </c>
      <c r="L5522" s="12" t="inlineStr">
        <is>
          <t>1 pr</t>
        </is>
      </c>
      <c r="M5522" s="12" t="inlineStr">
        <is>
          <t>16</t>
        </is>
      </c>
      <c r="N5522" s="12" t="n">
        <v>12</v>
      </c>
      <c r="O5522" s="12" t="n">
        <v>1</v>
      </c>
      <c r="P5522" s="12" t="n"/>
      <c r="Q5522" s="12" t="n"/>
      <c r="R5522" s="12" t="n"/>
      <c r="S5522" s="12" t="inlineStr">
        <is>
          <t>Tray / conduit</t>
        </is>
      </c>
      <c r="T5522" s="15" t="n">
        <v>72</v>
      </c>
      <c r="U5522" s="15" t="n">
        <v>10</v>
      </c>
      <c r="V5522" s="15">
        <f>ROUNDUP((T5522+U5522+2*'Read Me'!$B$13)*(1+'Read Me'!$B$12),-1)</f>
        <v/>
      </c>
      <c r="W5522" s="15">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K-I-0085</t>
        </is>
      </c>
      <c r="B5523" s="12" t="inlineStr">
        <is>
          <t>K</t>
        </is>
      </c>
      <c r="C5523" s="12" t="inlineStr">
        <is>
          <t>Fuel supply (adjacent market)</t>
        </is>
      </c>
      <c r="D5523" s="12" t="inlineStr">
        <is>
          <t>Home run JB-LNG 10: truck unlo-DI01 to the control / marshalling room</t>
        </is>
      </c>
      <c r="E5523" s="12" t="inlineStr"/>
      <c r="F5523" s="12" t="inlineStr">
        <is>
          <t>LNG 17: LNG e-house (13.8 kV / 480 V)</t>
        </is>
      </c>
      <c r="G5523" s="12" t="inlineStr">
        <is>
          <t>JB-LNG 10: truck unlo-DI01</t>
        </is>
      </c>
      <c r="H5523" s="12" t="inlineStr">
        <is>
          <t>LNG 10: truck unloading bay 1</t>
        </is>
      </c>
      <c r="I5523" s="12" t="inlineStr">
        <is>
          <t>Instrumentation</t>
        </is>
      </c>
      <c r="J5523" s="12" t="inlineStr">
        <is>
          <t>Instrumentation ITC / PLTC, IS, #18 shielded pairs, blue jacket</t>
        </is>
      </c>
      <c r="K5523" s="12" t="inlineStr">
        <is>
          <t>ITC|24 pr|18</t>
        </is>
      </c>
      <c r="L5523" s="12" t="inlineStr">
        <is>
          <t>24 pr</t>
        </is>
      </c>
      <c r="M5523" s="12" t="inlineStr">
        <is>
          <t>18</t>
        </is>
      </c>
      <c r="N5523" s="12" t="n">
        <v>1</v>
      </c>
      <c r="O5523" s="12" t="n">
        <v>1</v>
      </c>
      <c r="P5523" s="12" t="n"/>
      <c r="Q5523" s="12" t="n"/>
      <c r="R5523" s="12" t="n"/>
      <c r="S5523" s="12" t="inlineStr">
        <is>
          <t>Duct bank</t>
        </is>
      </c>
      <c r="T5523" s="15" t="n">
        <v>237</v>
      </c>
      <c r="U5523" s="15" t="n">
        <v>61</v>
      </c>
      <c r="V5523" s="15">
        <f>ROUNDUP((T5523+U5523+2*'Read Me'!$B$13)*(1+'Read Me'!$B$12),-1)</f>
        <v/>
      </c>
      <c r="W5523" s="15">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Analog instrument to JB JB-LNG 10: truck unlo-AI01: 12 x 1 pr (field cables)</t>
        </is>
      </c>
      <c r="E5524" s="12" t="inlineStr"/>
      <c r="F5524" s="12" t="inlineStr">
        <is>
          <t>LNG 10: truck unloading bay 2</t>
        </is>
      </c>
      <c r="G5524" s="12" t="inlineStr">
        <is>
          <t>JB-LNG 10: truck unlo-AI01</t>
        </is>
      </c>
      <c r="H5524" s="12" t="inlineStr">
        <is>
          <t>LNG 10: truck unloading bay 2</t>
        </is>
      </c>
      <c r="I5524" s="12" t="inlineStr">
        <is>
          <t>Instrumentation</t>
        </is>
      </c>
      <c r="J5524" s="12" t="inlineStr">
        <is>
          <t>Instrumentation ITC / PLTC, IS, #18 shielded pairs, blue jacket</t>
        </is>
      </c>
      <c r="K5524" s="12" t="inlineStr">
        <is>
          <t>ITC|1 pr|16</t>
        </is>
      </c>
      <c r="L5524" s="12" t="inlineStr">
        <is>
          <t>1 pr</t>
        </is>
      </c>
      <c r="M5524" s="12" t="inlineStr">
        <is>
          <t>16</t>
        </is>
      </c>
      <c r="N5524" s="12" t="n">
        <v>12</v>
      </c>
      <c r="O5524" s="12" t="n">
        <v>1</v>
      </c>
      <c r="P5524" s="12" t="n"/>
      <c r="Q5524" s="12" t="n"/>
      <c r="R5524" s="12" t="n"/>
      <c r="S5524" s="12" t="inlineStr">
        <is>
          <t>Tray / conduit</t>
        </is>
      </c>
      <c r="T5524" s="15" t="n">
        <v>72</v>
      </c>
      <c r="U5524" s="15" t="n">
        <v>10</v>
      </c>
      <c r="V5524" s="15">
        <f>ROUNDUP((T5524+U5524+2*'Read Me'!$B$13)*(1+'Read Me'!$B$12),-1)</f>
        <v/>
      </c>
      <c r="W5524" s="15">
        <f>V5524*N5524*O5524</f>
        <v/>
      </c>
      <c r="X5524" s="12">
        <f>IF(LEFT(I5524,2)="MV",2*N5524*IF(L5524="1/C",O5524,1),0)</f>
        <v/>
      </c>
      <c r="Y5524" s="12">
        <f>IF(OR(LEFT(K5524,4)="LVAX",LEFT(K5524,6)="MV15AX",LEFT(K5524,4)="CTAX",LEFT(K5524,2)="W|"),2*N5524*O5524,0)</f>
        <v/>
      </c>
      <c r="Z5524" s="12" t="inlineStr">
        <is>
          <t>device-to-JB field wiring, one cable per device</t>
        </is>
      </c>
      <c r="AA5524" s="12">
        <f>N5524*O5524</f>
        <v/>
      </c>
    </row>
    <row r="5525">
      <c r="A5525" s="12" t="inlineStr">
        <is>
          <t>K-I-0087</t>
        </is>
      </c>
      <c r="B5525" s="12" t="inlineStr">
        <is>
          <t>K</t>
        </is>
      </c>
      <c r="C5525" s="12" t="inlineStr">
        <is>
          <t>Fuel supply (adjacent market)</t>
        </is>
      </c>
      <c r="D5525" s="12" t="inlineStr">
        <is>
          <t>Home run JB-LNG 10: truck unlo-AI01 to the control / marshalling room</t>
        </is>
      </c>
      <c r="E5525" s="12" t="inlineStr"/>
      <c r="F5525" s="12" t="inlineStr">
        <is>
          <t>LNG 17: LNG e-house (13.8 kV / 480 V)</t>
        </is>
      </c>
      <c r="G5525" s="12" t="inlineStr">
        <is>
          <t>JB-LNG 10: truck unlo-AI01</t>
        </is>
      </c>
      <c r="H5525" s="12" t="inlineStr">
        <is>
          <t>LNG 10: truck unloading bay 2</t>
        </is>
      </c>
      <c r="I5525" s="12" t="inlineStr">
        <is>
          <t>Instrumentation</t>
        </is>
      </c>
      <c r="J5525" s="12" t="inlineStr">
        <is>
          <t>Instrumentation ITC / PLTC, IS, #18 shielded pairs, blue jacket</t>
        </is>
      </c>
      <c r="K5525" s="12" t="inlineStr">
        <is>
          <t>ITC|24 pr|18</t>
        </is>
      </c>
      <c r="L5525" s="12" t="inlineStr">
        <is>
          <t>24 pr</t>
        </is>
      </c>
      <c r="M5525" s="12" t="inlineStr">
        <is>
          <t>18</t>
        </is>
      </c>
      <c r="N5525" s="12" t="n">
        <v>1</v>
      </c>
      <c r="O5525" s="12" t="n">
        <v>1</v>
      </c>
      <c r="P5525" s="12" t="n"/>
      <c r="Q5525" s="12" t="n"/>
      <c r="R5525" s="12" t="n"/>
      <c r="S5525" s="12" t="inlineStr">
        <is>
          <t>Duct bank</t>
        </is>
      </c>
      <c r="T5525" s="15" t="n">
        <v>147</v>
      </c>
      <c r="U5525" s="15" t="n">
        <v>66</v>
      </c>
      <c r="V5525" s="15">
        <f>ROUNDUP((T5525+U5525+2*'Read Me'!$B$13)*(1+'Read Me'!$B$12),-1)</f>
        <v/>
      </c>
      <c r="W5525" s="15">
        <f>V5525*N5525*O5525</f>
        <v/>
      </c>
      <c r="X5525" s="12">
        <f>IF(LEFT(I5525,2)="MV",2*N5525*IF(L5525="1/C",O5525,1),0)</f>
        <v/>
      </c>
      <c r="Y5525" s="12">
        <f>IF(OR(LEFT(K5525,4)="LVAX",LEFT(K5525,6)="MV15AX",LEFT(K5525,4)="CTAX",LEFT(K5525,2)="W|"),2*N5525*O5525,0)</f>
        <v/>
      </c>
      <c r="Z5525" s="12" t="inlineStr"/>
      <c r="AA5525" s="12">
        <f>N5525*O5525</f>
        <v/>
      </c>
    </row>
    <row r="5526">
      <c r="A5526" s="12" t="inlineStr">
        <is>
          <t>K-I-0088</t>
        </is>
      </c>
      <c r="B5526" s="12" t="inlineStr">
        <is>
          <t>K</t>
        </is>
      </c>
      <c r="C5526" s="12" t="inlineStr">
        <is>
          <t>Fuel supply (adjacent market)</t>
        </is>
      </c>
      <c r="D5526" s="12" t="inlineStr">
        <is>
          <t>Discrete device to JB JB-LNG 10: truck unlo-DI01: 12 x 1 pr (field cables)</t>
        </is>
      </c>
      <c r="E5526" s="12" t="inlineStr"/>
      <c r="F5526" s="12" t="inlineStr">
        <is>
          <t>LNG 10: truck unloading bay 2</t>
        </is>
      </c>
      <c r="G5526" s="12" t="inlineStr">
        <is>
          <t>JB-LNG 10: truck unlo-DI01</t>
        </is>
      </c>
      <c r="H5526" s="12" t="inlineStr">
        <is>
          <t>LNG 10: truck unloading bay 2</t>
        </is>
      </c>
      <c r="I5526" s="12" t="inlineStr">
        <is>
          <t>Instrumentation</t>
        </is>
      </c>
      <c r="J5526" s="12" t="inlineStr">
        <is>
          <t>Instrumentation ITC / PLTC, IS, #18 shielded pairs, blue jacket</t>
        </is>
      </c>
      <c r="K5526" s="12" t="inlineStr">
        <is>
          <t>ITC|1 pr|16</t>
        </is>
      </c>
      <c r="L5526" s="12" t="inlineStr">
        <is>
          <t>1 pr</t>
        </is>
      </c>
      <c r="M5526" s="12" t="inlineStr">
        <is>
          <t>16</t>
        </is>
      </c>
      <c r="N5526" s="12" t="n">
        <v>12</v>
      </c>
      <c r="O5526" s="12" t="n">
        <v>1</v>
      </c>
      <c r="P5526" s="12" t="n"/>
      <c r="Q5526" s="12" t="n"/>
      <c r="R5526" s="12" t="n"/>
      <c r="S5526" s="12" t="inlineStr">
        <is>
          <t>Tray / conduit</t>
        </is>
      </c>
      <c r="T5526" s="15" t="n">
        <v>72</v>
      </c>
      <c r="U5526" s="15" t="n">
        <v>10</v>
      </c>
      <c r="V5526" s="15">
        <f>ROUNDUP((T5526+U5526+2*'Read Me'!$B$13)*(1+'Read Me'!$B$12),-1)</f>
        <v/>
      </c>
      <c r="W5526" s="15">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K-I-0089</t>
        </is>
      </c>
      <c r="B5527" s="12" t="inlineStr">
        <is>
          <t>K</t>
        </is>
      </c>
      <c r="C5527" s="12" t="inlineStr">
        <is>
          <t>Fuel supply (adjacent market)</t>
        </is>
      </c>
      <c r="D5527" s="12" t="inlineStr">
        <is>
          <t>Home run JB-LNG 10: truck unlo-DI01 to the control / marshalling room</t>
        </is>
      </c>
      <c r="E5527" s="12" t="inlineStr"/>
      <c r="F5527" s="12" t="inlineStr">
        <is>
          <t>LNG 17: LNG e-house (13.8 kV / 480 V)</t>
        </is>
      </c>
      <c r="G5527" s="12" t="inlineStr">
        <is>
          <t>JB-LNG 10: truck unlo-DI01</t>
        </is>
      </c>
      <c r="H5527" s="12" t="inlineStr">
        <is>
          <t>LNG 10: truck unloading bay 2</t>
        </is>
      </c>
      <c r="I5527" s="12" t="inlineStr">
        <is>
          <t>Instrumentation</t>
        </is>
      </c>
      <c r="J5527" s="12" t="inlineStr">
        <is>
          <t>Instrumentation ITC / PLTC, IS, #18 shielded pairs, blue jacket</t>
        </is>
      </c>
      <c r="K5527" s="12" t="inlineStr">
        <is>
          <t>ITC|24 pr|18</t>
        </is>
      </c>
      <c r="L5527" s="12" t="inlineStr">
        <is>
          <t>24 pr</t>
        </is>
      </c>
      <c r="M5527" s="12" t="inlineStr">
        <is>
          <t>18</t>
        </is>
      </c>
      <c r="N5527" s="12" t="n">
        <v>1</v>
      </c>
      <c r="O5527" s="12" t="n">
        <v>1</v>
      </c>
      <c r="P5527" s="12" t="n"/>
      <c r="Q5527" s="12" t="n"/>
      <c r="R5527" s="12" t="n"/>
      <c r="S5527" s="12" t="inlineStr">
        <is>
          <t>Duct bank</t>
        </is>
      </c>
      <c r="T5527" s="15" t="n">
        <v>147</v>
      </c>
      <c r="U5527" s="15" t="n">
        <v>66</v>
      </c>
      <c r="V5527" s="15">
        <f>ROUNDUP((T5527+U5527+2*'Read Me'!$B$13)*(1+'Read Me'!$B$12),-1)</f>
        <v/>
      </c>
      <c r="W5527" s="15">
        <f>V5527*N5527*O5527</f>
        <v/>
      </c>
      <c r="X5527" s="12">
        <f>IF(LEFT(I5527,2)="MV",2*N5527*IF(L5527="1/C",O5527,1),0)</f>
        <v/>
      </c>
      <c r="Y5527" s="12">
        <f>IF(OR(LEFT(K5527,4)="LVAX",LEFT(K5527,6)="MV15AX",LEFT(K5527,4)="CTAX",LEFT(K5527,2)="W|"),2*N5527*O5527,0)</f>
        <v/>
      </c>
      <c r="Z5527" s="12" t="inlineStr"/>
      <c r="AA5527" s="12">
        <f>N5527*O5527</f>
        <v/>
      </c>
    </row>
    <row r="5528">
      <c r="A5528" s="12" t="inlineStr">
        <is>
          <t>K-I-0090</t>
        </is>
      </c>
      <c r="B5528" s="12" t="inlineStr">
        <is>
          <t>K</t>
        </is>
      </c>
      <c r="C5528" s="12" t="inlineStr">
        <is>
          <t>Fuel supply (adjacent market)</t>
        </is>
      </c>
      <c r="D5528" s="12" t="inlineStr">
        <is>
          <t>Analog instrument to JB JB-LNG 10: unloading -AI01: 12 x 1 pr (field cables)</t>
        </is>
      </c>
      <c r="E5528" s="12" t="inlineStr"/>
      <c r="F5528" s="12" t="inlineStr">
        <is>
          <t>LNG 10: unloading skid</t>
        </is>
      </c>
      <c r="G5528" s="12" t="inlineStr">
        <is>
          <t>JB-LNG 10: unloading -AI01</t>
        </is>
      </c>
      <c r="H5528" s="12" t="inlineStr">
        <is>
          <t>LNG 10: unloading skid</t>
        </is>
      </c>
      <c r="I5528" s="12" t="inlineStr">
        <is>
          <t>Instrumentation</t>
        </is>
      </c>
      <c r="J5528" s="12" t="inlineStr">
        <is>
          <t>Instrumentation ITC / PLTC, IS, #18 shielded pairs, blue jacket</t>
        </is>
      </c>
      <c r="K5528" s="12" t="inlineStr">
        <is>
          <t>ITC|1 pr|16</t>
        </is>
      </c>
      <c r="L5528" s="12" t="inlineStr">
        <is>
          <t>1 pr</t>
        </is>
      </c>
      <c r="M5528" s="12" t="inlineStr">
        <is>
          <t>16</t>
        </is>
      </c>
      <c r="N5528" s="12" t="n">
        <v>12</v>
      </c>
      <c r="O5528" s="12" t="n">
        <v>1</v>
      </c>
      <c r="P5528" s="12" t="n"/>
      <c r="Q5528" s="12" t="n"/>
      <c r="R5528" s="12" t="n"/>
      <c r="S5528" s="12" t="inlineStr">
        <is>
          <t>Tray / conduit</t>
        </is>
      </c>
      <c r="T5528" s="15" t="n">
        <v>54</v>
      </c>
      <c r="U5528" s="15" t="n">
        <v>10</v>
      </c>
      <c r="V5528" s="15">
        <f>ROUNDUP((T5528+U5528+2*'Read Me'!$B$13)*(1+'Read Me'!$B$12),-1)</f>
        <v/>
      </c>
      <c r="W5528" s="15">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K-I-0091</t>
        </is>
      </c>
      <c r="B5529" s="12" t="inlineStr">
        <is>
          <t>K</t>
        </is>
      </c>
      <c r="C5529" s="12" t="inlineStr">
        <is>
          <t>Fuel supply (adjacent market)</t>
        </is>
      </c>
      <c r="D5529" s="12" t="inlineStr">
        <is>
          <t>Home run JB-LNG 10: unloading -AI01 to the control / marshalling room</t>
        </is>
      </c>
      <c r="E5529" s="12" t="inlineStr"/>
      <c r="F5529" s="12" t="inlineStr">
        <is>
          <t>LNG 17: LNG e-house (13.8 kV / 480 V)</t>
        </is>
      </c>
      <c r="G5529" s="12" t="inlineStr">
        <is>
          <t>JB-LNG 10: unloading -AI01</t>
        </is>
      </c>
      <c r="H5529" s="12" t="inlineStr">
        <is>
          <t>LNG 10: unloading skid</t>
        </is>
      </c>
      <c r="I5529" s="12" t="inlineStr">
        <is>
          <t>Instrumentation</t>
        </is>
      </c>
      <c r="J5529" s="12" t="inlineStr">
        <is>
          <t>Instrumentation ITC / PLTC, IS, #18 shielded pairs, blue jacket</t>
        </is>
      </c>
      <c r="K5529" s="12" t="inlineStr">
        <is>
          <t>ITC|24 pr|18</t>
        </is>
      </c>
      <c r="L5529" s="12" t="inlineStr">
        <is>
          <t>24 pr</t>
        </is>
      </c>
      <c r="M5529" s="12" t="inlineStr">
        <is>
          <t>18</t>
        </is>
      </c>
      <c r="N5529" s="12" t="n">
        <v>1</v>
      </c>
      <c r="O5529" s="12" t="n">
        <v>1</v>
      </c>
      <c r="P5529" s="12" t="n"/>
      <c r="Q5529" s="12" t="n"/>
      <c r="R5529" s="12" t="n"/>
      <c r="S5529" s="12" t="inlineStr">
        <is>
          <t>Duct bank</t>
        </is>
      </c>
      <c r="T5529" s="15" t="n">
        <v>237</v>
      </c>
      <c r="U5529" s="15" t="n">
        <v>32</v>
      </c>
      <c r="V5529" s="15">
        <f>ROUNDUP((T5529+U5529+2*'Read Me'!$B$13)*(1+'Read Me'!$B$12),-1)</f>
        <v/>
      </c>
      <c r="W5529" s="15">
        <f>V5529*N5529*O5529</f>
        <v/>
      </c>
      <c r="X5529" s="12">
        <f>IF(LEFT(I5529,2)="MV",2*N5529*IF(L5529="1/C",O5529,1),0)</f>
        <v/>
      </c>
      <c r="Y5529" s="12">
        <f>IF(OR(LEFT(K5529,4)="LVAX",LEFT(K5529,6)="MV15AX",LEFT(K5529,4)="CTAX",LEFT(K5529,2)="W|"),2*N5529*O5529,0)</f>
        <v/>
      </c>
      <c r="Z5529" s="12" t="inlineStr"/>
      <c r="AA5529" s="12">
        <f>N5529*O5529</f>
        <v/>
      </c>
    </row>
    <row r="5530">
      <c r="A5530" s="12" t="inlineStr">
        <is>
          <t>K-I-0092</t>
        </is>
      </c>
      <c r="B5530" s="12" t="inlineStr">
        <is>
          <t>K</t>
        </is>
      </c>
      <c r="C5530" s="12" t="inlineStr">
        <is>
          <t>Fuel supply (adjacent market)</t>
        </is>
      </c>
      <c r="D5530" s="12" t="inlineStr">
        <is>
          <t>Discrete device to JB JB-LNG 10: unloading -DI01: 12 x 1 pr (field cables)</t>
        </is>
      </c>
      <c r="E5530" s="12" t="inlineStr"/>
      <c r="F5530" s="12" t="inlineStr">
        <is>
          <t>LNG 10: unloading skid</t>
        </is>
      </c>
      <c r="G5530" s="12" t="inlineStr">
        <is>
          <t>JB-LNG 10: unloading -DI01</t>
        </is>
      </c>
      <c r="H5530" s="12" t="inlineStr">
        <is>
          <t>LNG 10: unloading skid</t>
        </is>
      </c>
      <c r="I5530" s="12" t="inlineStr">
        <is>
          <t>Instrumentation</t>
        </is>
      </c>
      <c r="J5530" s="12" t="inlineStr">
        <is>
          <t>Instrumentation ITC / PLTC, IS, #18 shielded pairs, blue jacket</t>
        </is>
      </c>
      <c r="K5530" s="12" t="inlineStr">
        <is>
          <t>ITC|1 pr|16</t>
        </is>
      </c>
      <c r="L5530" s="12" t="inlineStr">
        <is>
          <t>1 pr</t>
        </is>
      </c>
      <c r="M5530" s="12" t="inlineStr">
        <is>
          <t>16</t>
        </is>
      </c>
      <c r="N5530" s="12" t="n">
        <v>12</v>
      </c>
      <c r="O5530" s="12" t="n">
        <v>1</v>
      </c>
      <c r="P5530" s="12" t="n"/>
      <c r="Q5530" s="12" t="n"/>
      <c r="R5530" s="12" t="n"/>
      <c r="S5530" s="12" t="inlineStr">
        <is>
          <t>Tray / conduit</t>
        </is>
      </c>
      <c r="T5530" s="15" t="n">
        <v>54</v>
      </c>
      <c r="U5530" s="15" t="n">
        <v>10</v>
      </c>
      <c r="V5530" s="15">
        <f>ROUNDUP((T5530+U5530+2*'Read Me'!$B$13)*(1+'Read Me'!$B$12),-1)</f>
        <v/>
      </c>
      <c r="W5530" s="15">
        <f>V5530*N5530*O5530</f>
        <v/>
      </c>
      <c r="X5530" s="12">
        <f>IF(LEFT(I5530,2)="MV",2*N5530*IF(L5530="1/C",O5530,1),0)</f>
        <v/>
      </c>
      <c r="Y5530" s="12">
        <f>IF(OR(LEFT(K5530,4)="LVAX",LEFT(K5530,6)="MV15AX",LEFT(K5530,4)="CTAX",LEFT(K5530,2)="W|"),2*N5530*O5530,0)</f>
        <v/>
      </c>
      <c r="Z5530" s="12" t="inlineStr">
        <is>
          <t>device-to-JB field wiring, one cable per device</t>
        </is>
      </c>
      <c r="AA5530" s="12">
        <f>N5530*O5530</f>
        <v/>
      </c>
    </row>
    <row r="5531">
      <c r="A5531" s="12" t="inlineStr">
        <is>
          <t>K-I-0093</t>
        </is>
      </c>
      <c r="B5531" s="12" t="inlineStr">
        <is>
          <t>K</t>
        </is>
      </c>
      <c r="C5531" s="12" t="inlineStr">
        <is>
          <t>Fuel supply (adjacent market)</t>
        </is>
      </c>
      <c r="D5531" s="12" t="inlineStr">
        <is>
          <t>Home run JB-LNG 10: unloading -DI01 to the control / marshalling room</t>
        </is>
      </c>
      <c r="E5531" s="12" t="inlineStr"/>
      <c r="F5531" s="12" t="inlineStr">
        <is>
          <t>LNG 17: LNG e-house (13.8 kV / 480 V)</t>
        </is>
      </c>
      <c r="G5531" s="12" t="inlineStr">
        <is>
          <t>JB-LNG 10: unloading -DI01</t>
        </is>
      </c>
      <c r="H5531" s="12" t="inlineStr">
        <is>
          <t>LNG 10: unloading skid</t>
        </is>
      </c>
      <c r="I5531" s="12" t="inlineStr">
        <is>
          <t>Instrumentation</t>
        </is>
      </c>
      <c r="J5531" s="12" t="inlineStr">
        <is>
          <t>Instrumentation ITC / PLTC, IS, #18 shielded pairs, blue jacket</t>
        </is>
      </c>
      <c r="K5531" s="12" t="inlineStr">
        <is>
          <t>ITC|24 pr|18</t>
        </is>
      </c>
      <c r="L5531" s="12" t="inlineStr">
        <is>
          <t>24 pr</t>
        </is>
      </c>
      <c r="M5531" s="12" t="inlineStr">
        <is>
          <t>18</t>
        </is>
      </c>
      <c r="N5531" s="12" t="n">
        <v>1</v>
      </c>
      <c r="O5531" s="12" t="n">
        <v>1</v>
      </c>
      <c r="P5531" s="12" t="n"/>
      <c r="Q5531" s="12" t="n"/>
      <c r="R5531" s="12" t="n"/>
      <c r="S5531" s="12" t="inlineStr">
        <is>
          <t>Duct bank</t>
        </is>
      </c>
      <c r="T5531" s="15" t="n">
        <v>237</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c r="AA5531" s="12">
        <f>N5531*O5531</f>
        <v/>
      </c>
    </row>
    <row r="5532">
      <c r="A5532" s="12" t="inlineStr">
        <is>
          <t>K-I-0094</t>
        </is>
      </c>
      <c r="B5532" s="12" t="inlineStr">
        <is>
          <t>K</t>
        </is>
      </c>
      <c r="C5532" s="12" t="inlineStr">
        <is>
          <t>Fuel supply (adjacent market)</t>
        </is>
      </c>
      <c r="D5532" s="12" t="inlineStr">
        <is>
          <t>Analog instrument to JB JB-LNG-T1-AI01: 4 x 1 pr (field cables)</t>
        </is>
      </c>
      <c r="E5532" s="12" t="inlineStr">
        <is>
          <t>LNG-T1</t>
        </is>
      </c>
      <c r="F5532" s="12" t="inlineStr">
        <is>
          <t>LNG 11: tank 1, Chart HS 50000 (51,780 gal)</t>
        </is>
      </c>
      <c r="G5532" s="12" t="inlineStr">
        <is>
          <t>JB-LNG-T1-AI01</t>
        </is>
      </c>
      <c r="H5532" s="12" t="inlineStr">
        <is>
          <t>LNG 11: tank 1, Chart HS 50000 (51,780 gal)</t>
        </is>
      </c>
      <c r="I5532" s="12" t="inlineStr">
        <is>
          <t>Instrumentation</t>
        </is>
      </c>
      <c r="J5532" s="12" t="inlineStr">
        <is>
          <t>Instrumentation ITC / PLTC, IS, #18 shielded pairs, blue jacket</t>
        </is>
      </c>
      <c r="K5532" s="12" t="inlineStr">
        <is>
          <t>ITC|1 pr|16</t>
        </is>
      </c>
      <c r="L5532" s="12" t="inlineStr">
        <is>
          <t>1 pr</t>
        </is>
      </c>
      <c r="M5532" s="12" t="inlineStr">
        <is>
          <t>16</t>
        </is>
      </c>
      <c r="N5532" s="12" t="n">
        <v>4</v>
      </c>
      <c r="O5532" s="12" t="n">
        <v>1</v>
      </c>
      <c r="P5532" s="12" t="n"/>
      <c r="Q5532" s="12" t="n"/>
      <c r="R5532" s="12" t="n"/>
      <c r="S5532" s="12" t="inlineStr">
        <is>
          <t>Tray / conduit</t>
        </is>
      </c>
      <c r="T5532" s="15" t="n">
        <v>77</v>
      </c>
      <c r="U5532" s="15" t="n">
        <v>10</v>
      </c>
      <c r="V5532" s="15">
        <f>ROUNDUP((T5532+U5532+2*'Read Me'!$B$13)*(1+'Read Me'!$B$12),-1)</f>
        <v/>
      </c>
      <c r="W5532" s="15">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K-I-0095</t>
        </is>
      </c>
      <c r="B5533" s="12" t="inlineStr">
        <is>
          <t>K</t>
        </is>
      </c>
      <c r="C5533" s="12" t="inlineStr">
        <is>
          <t>Fuel supply (adjacent market)</t>
        </is>
      </c>
      <c r="D5533" s="12" t="inlineStr">
        <is>
          <t>Home run JB-LNG-T1-AI01 to the control / marshalling room</t>
        </is>
      </c>
      <c r="E5533" s="12" t="inlineStr"/>
      <c r="F5533" s="12" t="inlineStr">
        <is>
          <t>LNG 17: LNG e-house (13.8 kV / 480 V)</t>
        </is>
      </c>
      <c r="G5533" s="12" t="inlineStr">
        <is>
          <t>JB-LNG-T1-AI01</t>
        </is>
      </c>
      <c r="H5533" s="12" t="inlineStr">
        <is>
          <t>LNG 11: tank 1, Chart HS 50000 (51,780 gal)</t>
        </is>
      </c>
      <c r="I5533" s="12" t="inlineStr">
        <is>
          <t>Instrumentation</t>
        </is>
      </c>
      <c r="J5533" s="12" t="inlineStr">
        <is>
          <t>Instrumentation ITC / PLTC, IS, #18 shielded pairs, blue jacket</t>
        </is>
      </c>
      <c r="K5533" s="12" t="inlineStr">
        <is>
          <t>ITC|24 pr|18</t>
        </is>
      </c>
      <c r="L5533" s="12" t="inlineStr">
        <is>
          <t>24 pr</t>
        </is>
      </c>
      <c r="M5533" s="12" t="inlineStr">
        <is>
          <t>18</t>
        </is>
      </c>
      <c r="N5533" s="12" t="n">
        <v>1</v>
      </c>
      <c r="O5533" s="12" t="n">
        <v>1</v>
      </c>
      <c r="P5533" s="12" t="n"/>
      <c r="Q5533" s="12" t="n"/>
      <c r="R5533" s="12" t="n"/>
      <c r="S5533" s="12" t="inlineStr">
        <is>
          <t>Duct bank</t>
        </is>
      </c>
      <c r="T5533" s="15" t="n">
        <v>210</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c r="AA5533" s="12">
        <f>N5533*O5533</f>
        <v/>
      </c>
    </row>
    <row r="5534">
      <c r="A5534" s="12" t="inlineStr">
        <is>
          <t>K-I-0096</t>
        </is>
      </c>
      <c r="B5534" s="12" t="inlineStr">
        <is>
          <t>K</t>
        </is>
      </c>
      <c r="C5534" s="12" t="inlineStr">
        <is>
          <t>Fuel supply (adjacent market)</t>
        </is>
      </c>
      <c r="D5534" s="12" t="inlineStr">
        <is>
          <t>Discrete device to JB JB-LNG-T1-DI01: 4 x 1 pr (field cables)</t>
        </is>
      </c>
      <c r="E5534" s="12" t="inlineStr">
        <is>
          <t>LNG-T1</t>
        </is>
      </c>
      <c r="F5534" s="12" t="inlineStr">
        <is>
          <t>LNG 11: tank 1, Chart HS 50000 (51,780 gal)</t>
        </is>
      </c>
      <c r="G5534" s="12" t="inlineStr">
        <is>
          <t>JB-LNG-T1-DI01</t>
        </is>
      </c>
      <c r="H5534" s="12" t="inlineStr">
        <is>
          <t>LNG 11: tank 1, Chart HS 50000 (51,780 gal)</t>
        </is>
      </c>
      <c r="I5534" s="12" t="inlineStr">
        <is>
          <t>Instrumentation</t>
        </is>
      </c>
      <c r="J5534" s="12" t="inlineStr">
        <is>
          <t>Instrumentation ITC / PLTC, IS, #18 shielded pairs, blue jacket</t>
        </is>
      </c>
      <c r="K5534" s="12" t="inlineStr">
        <is>
          <t>ITC|1 pr|16</t>
        </is>
      </c>
      <c r="L5534" s="12" t="inlineStr">
        <is>
          <t>1 pr</t>
        </is>
      </c>
      <c r="M5534" s="12" t="inlineStr">
        <is>
          <t>16</t>
        </is>
      </c>
      <c r="N5534" s="12" t="n">
        <v>4</v>
      </c>
      <c r="O5534" s="12" t="n">
        <v>1</v>
      </c>
      <c r="P5534" s="12" t="n"/>
      <c r="Q5534" s="12" t="n"/>
      <c r="R5534" s="12" t="n"/>
      <c r="S5534" s="12" t="inlineStr">
        <is>
          <t>Tray / conduit</t>
        </is>
      </c>
      <c r="T5534" s="15" t="n">
        <v>77</v>
      </c>
      <c r="U5534" s="15" t="n">
        <v>10</v>
      </c>
      <c r="V5534" s="15">
        <f>ROUNDUP((T5534+U5534+2*'Read Me'!$B$13)*(1+'Read Me'!$B$12),-1)</f>
        <v/>
      </c>
      <c r="W5534" s="15">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K-I-0097</t>
        </is>
      </c>
      <c r="B5535" s="12" t="inlineStr">
        <is>
          <t>K</t>
        </is>
      </c>
      <c r="C5535" s="12" t="inlineStr">
        <is>
          <t>Fuel supply (adjacent market)</t>
        </is>
      </c>
      <c r="D5535" s="12" t="inlineStr">
        <is>
          <t>Home run JB-LNG-T1-DI01 to the control / marshalling room</t>
        </is>
      </c>
      <c r="E5535" s="12" t="inlineStr"/>
      <c r="F5535" s="12" t="inlineStr">
        <is>
          <t>LNG 17: LNG e-house (13.8 kV / 480 V)</t>
        </is>
      </c>
      <c r="G5535" s="12" t="inlineStr">
        <is>
          <t>JB-LNG-T1-DI01</t>
        </is>
      </c>
      <c r="H5535" s="12" t="inlineStr">
        <is>
          <t>LNG 11: tank 1, Chart HS 50000 (51,780 gal)</t>
        </is>
      </c>
      <c r="I5535" s="12" t="inlineStr">
        <is>
          <t>Instrumentation</t>
        </is>
      </c>
      <c r="J5535" s="12" t="inlineStr">
        <is>
          <t>Instrumentation ITC / PLTC, IS, #18 shielded pairs, blue jacket</t>
        </is>
      </c>
      <c r="K5535" s="12" t="inlineStr">
        <is>
          <t>ITC|24 pr|18</t>
        </is>
      </c>
      <c r="L5535" s="12" t="inlineStr">
        <is>
          <t>24 pr</t>
        </is>
      </c>
      <c r="M5535" s="12" t="inlineStr">
        <is>
          <t>18</t>
        </is>
      </c>
      <c r="N5535" s="12" t="n">
        <v>1</v>
      </c>
      <c r="O5535" s="12" t="n">
        <v>1</v>
      </c>
      <c r="P5535" s="12" t="n"/>
      <c r="Q5535" s="12" t="n"/>
      <c r="R5535" s="12" t="n"/>
      <c r="S5535" s="12" t="inlineStr">
        <is>
          <t>Duct bank</t>
        </is>
      </c>
      <c r="T5535" s="15" t="n">
        <v>210</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c r="AA5535" s="12">
        <f>N5535*O5535</f>
        <v/>
      </c>
    </row>
    <row r="5536">
      <c r="A5536" s="12" t="inlineStr">
        <is>
          <t>K-I-0098</t>
        </is>
      </c>
      <c r="B5536" s="12" t="inlineStr">
        <is>
          <t>K</t>
        </is>
      </c>
      <c r="C5536" s="12" t="inlineStr">
        <is>
          <t>Fuel supply (adjacent market)</t>
        </is>
      </c>
      <c r="D5536" s="12" t="inlineStr">
        <is>
          <t>Analog instrument to JB JB-LNG-T2-AI01: 4 x 1 pr (field cables)</t>
        </is>
      </c>
      <c r="E5536" s="12" t="inlineStr">
        <is>
          <t>LNG-T2</t>
        </is>
      </c>
      <c r="F5536" s="12" t="inlineStr">
        <is>
          <t>LNG 11: tank 2, Chart HS 50000 (51,780 gal)</t>
        </is>
      </c>
      <c r="G5536" s="12" t="inlineStr">
        <is>
          <t>JB-LNG-T2-AI01</t>
        </is>
      </c>
      <c r="H5536" s="12" t="inlineStr">
        <is>
          <t>LNG 11: tank 2, Chart HS 50000 (51,780 gal)</t>
        </is>
      </c>
      <c r="I5536" s="12" t="inlineStr">
        <is>
          <t>Instrumentation</t>
        </is>
      </c>
      <c r="J5536" s="12" t="inlineStr">
        <is>
          <t>Instrumentation ITC / PLTC, IS, #18 shielded pairs, blue jacket</t>
        </is>
      </c>
      <c r="K5536" s="12" t="inlineStr">
        <is>
          <t>ITC|1 pr|16</t>
        </is>
      </c>
      <c r="L5536" s="12" t="inlineStr">
        <is>
          <t>1 pr</t>
        </is>
      </c>
      <c r="M5536" s="12" t="inlineStr">
        <is>
          <t>16</t>
        </is>
      </c>
      <c r="N5536" s="12" t="n">
        <v>4</v>
      </c>
      <c r="O5536" s="12" t="n">
        <v>1</v>
      </c>
      <c r="P5536" s="12" t="n"/>
      <c r="Q5536" s="12" t="n"/>
      <c r="R5536" s="12" t="n"/>
      <c r="S5536" s="12" t="inlineStr">
        <is>
          <t>Tray / conduit</t>
        </is>
      </c>
      <c r="T5536" s="15" t="n">
        <v>77</v>
      </c>
      <c r="U5536" s="15" t="n">
        <v>10</v>
      </c>
      <c r="V5536" s="15">
        <f>ROUNDUP((T5536+U5536+2*'Read Me'!$B$13)*(1+'Read Me'!$B$12),-1)</f>
        <v/>
      </c>
      <c r="W5536" s="15">
        <f>V5536*N5536*O5536</f>
        <v/>
      </c>
      <c r="X5536" s="12">
        <f>IF(LEFT(I5536,2)="MV",2*N5536*IF(L5536="1/C",O5536,1),0)</f>
        <v/>
      </c>
      <c r="Y5536" s="12">
        <f>IF(OR(LEFT(K5536,4)="LVAX",LEFT(K5536,6)="MV15AX",LEFT(K5536,4)="CTAX",LEFT(K5536,2)="W|"),2*N5536*O5536,0)</f>
        <v/>
      </c>
      <c r="Z5536" s="12" t="inlineStr">
        <is>
          <t>device-to-JB field wiring, one cable per device</t>
        </is>
      </c>
      <c r="AA5536" s="12">
        <f>N5536*O5536</f>
        <v/>
      </c>
    </row>
    <row r="5537">
      <c r="A5537" s="12" t="inlineStr">
        <is>
          <t>K-I-0099</t>
        </is>
      </c>
      <c r="B5537" s="12" t="inlineStr">
        <is>
          <t>K</t>
        </is>
      </c>
      <c r="C5537" s="12" t="inlineStr">
        <is>
          <t>Fuel supply (adjacent market)</t>
        </is>
      </c>
      <c r="D5537" s="12" t="inlineStr">
        <is>
          <t>Home run JB-LNG-T2-AI01 to the control / marshalling room</t>
        </is>
      </c>
      <c r="E5537" s="12" t="inlineStr"/>
      <c r="F5537" s="12" t="inlineStr">
        <is>
          <t>LNG 17: LNG e-house (13.8 kV / 480 V)</t>
        </is>
      </c>
      <c r="G5537" s="12" t="inlineStr">
        <is>
          <t>JB-LNG-T2-AI01</t>
        </is>
      </c>
      <c r="H5537" s="12" t="inlineStr">
        <is>
          <t>LNG 11: tank 2, Chart HS 50000 (51,780 gal)</t>
        </is>
      </c>
      <c r="I5537" s="12" t="inlineStr">
        <is>
          <t>Instrumentation</t>
        </is>
      </c>
      <c r="J5537" s="12" t="inlineStr">
        <is>
          <t>Instrumentation ITC / PLTC, IS, #18 shielded pairs, blue jacket</t>
        </is>
      </c>
      <c r="K5537" s="12" t="inlineStr">
        <is>
          <t>ITC|24 pr|18</t>
        </is>
      </c>
      <c r="L5537" s="12" t="inlineStr">
        <is>
          <t>24 pr</t>
        </is>
      </c>
      <c r="M5537" s="12" t="inlineStr">
        <is>
          <t>18</t>
        </is>
      </c>
      <c r="N5537" s="12" t="n">
        <v>1</v>
      </c>
      <c r="O5537" s="12" t="n">
        <v>1</v>
      </c>
      <c r="P5537" s="12" t="n"/>
      <c r="Q5537" s="12" t="n"/>
      <c r="R5537" s="12" t="n"/>
      <c r="S5537" s="12" t="inlineStr">
        <is>
          <t>Duct bank</t>
        </is>
      </c>
      <c r="T5537" s="15" t="n">
        <v>230</v>
      </c>
      <c r="U5537" s="15" t="n">
        <v>32</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K-I-0100</t>
        </is>
      </c>
      <c r="B5538" s="12" t="inlineStr">
        <is>
          <t>K</t>
        </is>
      </c>
      <c r="C5538" s="12" t="inlineStr">
        <is>
          <t>Fuel supply (adjacent market)</t>
        </is>
      </c>
      <c r="D5538" s="12" t="inlineStr">
        <is>
          <t>Discrete device to JB JB-LNG-T2-DI01: 4 x 1 pr (field cables)</t>
        </is>
      </c>
      <c r="E5538" s="12" t="inlineStr">
        <is>
          <t>LNG-T2</t>
        </is>
      </c>
      <c r="F5538" s="12" t="inlineStr">
        <is>
          <t>LNG 11: tank 2, Chart HS 50000 (51,780 gal)</t>
        </is>
      </c>
      <c r="G5538" s="12" t="inlineStr">
        <is>
          <t>JB-LNG-T2-DI01</t>
        </is>
      </c>
      <c r="H5538" s="12" t="inlineStr">
        <is>
          <t>LNG 11: tank 2, Chart HS 50000 (51,780 gal)</t>
        </is>
      </c>
      <c r="I5538" s="12" t="inlineStr">
        <is>
          <t>Instrumentation</t>
        </is>
      </c>
      <c r="J5538" s="12" t="inlineStr">
        <is>
          <t>Instrumentation ITC / PLTC, IS, #18 shielded pairs, blue jacket</t>
        </is>
      </c>
      <c r="K5538" s="12" t="inlineStr">
        <is>
          <t>ITC|1 pr|16</t>
        </is>
      </c>
      <c r="L5538" s="12" t="inlineStr">
        <is>
          <t>1 pr</t>
        </is>
      </c>
      <c r="M5538" s="12" t="inlineStr">
        <is>
          <t>16</t>
        </is>
      </c>
      <c r="N5538" s="12" t="n">
        <v>4</v>
      </c>
      <c r="O5538" s="12" t="n">
        <v>1</v>
      </c>
      <c r="P5538" s="12" t="n"/>
      <c r="Q5538" s="12" t="n"/>
      <c r="R5538" s="12" t="n"/>
      <c r="S5538" s="12" t="inlineStr">
        <is>
          <t>Tray / conduit</t>
        </is>
      </c>
      <c r="T5538" s="15" t="n">
        <v>77</v>
      </c>
      <c r="U5538" s="15" t="n">
        <v>10</v>
      </c>
      <c r="V5538" s="15">
        <f>ROUNDUP((T5538+U5538+2*'Read Me'!$B$13)*(1+'Read Me'!$B$12),-1)</f>
        <v/>
      </c>
      <c r="W5538" s="15">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K-I-0101</t>
        </is>
      </c>
      <c r="B5539" s="12" t="inlineStr">
        <is>
          <t>K</t>
        </is>
      </c>
      <c r="C5539" s="12" t="inlineStr">
        <is>
          <t>Fuel supply (adjacent market)</t>
        </is>
      </c>
      <c r="D5539" s="12" t="inlineStr">
        <is>
          <t>Home run JB-LNG-T2-DI01 to the control / marshalling room</t>
        </is>
      </c>
      <c r="E5539" s="12" t="inlineStr"/>
      <c r="F5539" s="12" t="inlineStr">
        <is>
          <t>LNG 17: LNG e-house (13.8 kV / 480 V)</t>
        </is>
      </c>
      <c r="G5539" s="12" t="inlineStr">
        <is>
          <t>JB-LNG-T2-DI01</t>
        </is>
      </c>
      <c r="H5539" s="12" t="inlineStr">
        <is>
          <t>LNG 11: tank 2, Chart HS 50000 (51,780 gal)</t>
        </is>
      </c>
      <c r="I5539" s="12" t="inlineStr">
        <is>
          <t>Instrumentation</t>
        </is>
      </c>
      <c r="J5539" s="12" t="inlineStr">
        <is>
          <t>Instrumentation ITC / PLTC, IS, #18 shielded pairs, blue jacket</t>
        </is>
      </c>
      <c r="K5539" s="12" t="inlineStr">
        <is>
          <t>ITC|24 pr|18</t>
        </is>
      </c>
      <c r="L5539" s="12" t="inlineStr">
        <is>
          <t>24 pr</t>
        </is>
      </c>
      <c r="M5539" s="12" t="inlineStr">
        <is>
          <t>18</t>
        </is>
      </c>
      <c r="N5539" s="12" t="n">
        <v>1</v>
      </c>
      <c r="O5539" s="12" t="n">
        <v>1</v>
      </c>
      <c r="P5539" s="12" t="n"/>
      <c r="Q5539" s="12" t="n"/>
      <c r="R5539" s="12" t="n"/>
      <c r="S5539" s="12" t="inlineStr">
        <is>
          <t>Duct bank</t>
        </is>
      </c>
      <c r="T5539" s="15" t="n">
        <v>230</v>
      </c>
      <c r="U5539" s="15" t="n">
        <v>32</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K-I-0102</t>
        </is>
      </c>
      <c r="B5540" s="12" t="inlineStr">
        <is>
          <t>K</t>
        </is>
      </c>
      <c r="C5540" s="12" t="inlineStr">
        <is>
          <t>Fuel supply (adjacent market)</t>
        </is>
      </c>
      <c r="D5540" s="12" t="inlineStr">
        <is>
          <t>Analog instrument to JB JB-LNG-T3-AI01: 4 x 1 pr (field cables)</t>
        </is>
      </c>
      <c r="E5540" s="12" t="inlineStr">
        <is>
          <t>LNG-T3</t>
        </is>
      </c>
      <c r="F5540" s="12" t="inlineStr">
        <is>
          <t>LNG 11: tank 3, Chart HS 50000 (51,780 gal)</t>
        </is>
      </c>
      <c r="G5540" s="12" t="inlineStr">
        <is>
          <t>JB-LNG-T3-AI01</t>
        </is>
      </c>
      <c r="H5540" s="12" t="inlineStr">
        <is>
          <t>LNG 11: tank 3, Chart HS 50000 (51,780 gal)</t>
        </is>
      </c>
      <c r="I5540" s="12" t="inlineStr">
        <is>
          <t>Instrumentation</t>
        </is>
      </c>
      <c r="J5540" s="12" t="inlineStr">
        <is>
          <t>Instrumentation ITC / PLTC, IS, #18 shielded pairs, blue jacket</t>
        </is>
      </c>
      <c r="K5540" s="12" t="inlineStr">
        <is>
          <t>ITC|1 pr|16</t>
        </is>
      </c>
      <c r="L5540" s="12" t="inlineStr">
        <is>
          <t>1 pr</t>
        </is>
      </c>
      <c r="M5540" s="12" t="inlineStr">
        <is>
          <t>16</t>
        </is>
      </c>
      <c r="N5540" s="12" t="n">
        <v>4</v>
      </c>
      <c r="O5540" s="12" t="n">
        <v>1</v>
      </c>
      <c r="P5540" s="12" t="n"/>
      <c r="Q5540" s="12" t="n"/>
      <c r="R5540" s="12" t="n"/>
      <c r="S5540" s="12" t="inlineStr">
        <is>
          <t>Tray / conduit</t>
        </is>
      </c>
      <c r="T5540" s="15" t="n">
        <v>77</v>
      </c>
      <c r="U5540" s="15" t="n">
        <v>10</v>
      </c>
      <c r="V5540" s="15">
        <f>ROUNDUP((T5540+U5540+2*'Read Me'!$B$13)*(1+'Read Me'!$B$12),-1)</f>
        <v/>
      </c>
      <c r="W5540" s="15">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K-I-0103</t>
        </is>
      </c>
      <c r="B5541" s="12" t="inlineStr">
        <is>
          <t>K</t>
        </is>
      </c>
      <c r="C5541" s="12" t="inlineStr">
        <is>
          <t>Fuel supply (adjacent market)</t>
        </is>
      </c>
      <c r="D5541" s="12" t="inlineStr">
        <is>
          <t>Home run JB-LNG-T3-AI01 to the control / marshalling room</t>
        </is>
      </c>
      <c r="E5541" s="12" t="inlineStr"/>
      <c r="F5541" s="12" t="inlineStr">
        <is>
          <t>LNG 17: LNG e-house (13.8 kV / 480 V)</t>
        </is>
      </c>
      <c r="G5541" s="12" t="inlineStr">
        <is>
          <t>JB-LNG-T3-AI01</t>
        </is>
      </c>
      <c r="H5541" s="12" t="inlineStr">
        <is>
          <t>LNG 11: tank 3, Chart HS 50000 (51,780 gal)</t>
        </is>
      </c>
      <c r="I5541" s="12" t="inlineStr">
        <is>
          <t>Instrumentation</t>
        </is>
      </c>
      <c r="J5541" s="12" t="inlineStr">
        <is>
          <t>Instrumentation ITC / PLTC, IS, #18 shielded pairs, blue jacket</t>
        </is>
      </c>
      <c r="K5541" s="12" t="inlineStr">
        <is>
          <t>ITC|24 pr|18</t>
        </is>
      </c>
      <c r="L5541" s="12" t="inlineStr">
        <is>
          <t>24 pr</t>
        </is>
      </c>
      <c r="M5541" s="12" t="inlineStr">
        <is>
          <t>18</t>
        </is>
      </c>
      <c r="N5541" s="12" t="n">
        <v>1</v>
      </c>
      <c r="O5541" s="12" t="n">
        <v>1</v>
      </c>
      <c r="P5541" s="12" t="n"/>
      <c r="Q5541" s="12" t="n"/>
      <c r="R5541" s="12" t="n"/>
      <c r="S5541" s="12" t="inlineStr">
        <is>
          <t>Duct bank</t>
        </is>
      </c>
      <c r="T5541" s="15" t="n">
        <v>250</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c r="AA5541" s="12">
        <f>N5541*O5541</f>
        <v/>
      </c>
    </row>
    <row r="5542">
      <c r="A5542" s="12" t="inlineStr">
        <is>
          <t>K-I-0104</t>
        </is>
      </c>
      <c r="B5542" s="12" t="inlineStr">
        <is>
          <t>K</t>
        </is>
      </c>
      <c r="C5542" s="12" t="inlineStr">
        <is>
          <t>Fuel supply (adjacent market)</t>
        </is>
      </c>
      <c r="D5542" s="12" t="inlineStr">
        <is>
          <t>Discrete device to JB JB-LNG-T3-DI01: 4 x 1 pr (field cables)</t>
        </is>
      </c>
      <c r="E5542" s="12" t="inlineStr">
        <is>
          <t>LNG-T3</t>
        </is>
      </c>
      <c r="F5542" s="12" t="inlineStr">
        <is>
          <t>LNG 11: tank 3, Chart HS 50000 (51,780 gal)</t>
        </is>
      </c>
      <c r="G5542" s="12" t="inlineStr">
        <is>
          <t>JB-LNG-T3-DI01</t>
        </is>
      </c>
      <c r="H5542" s="12" t="inlineStr">
        <is>
          <t>LNG 11: tank 3, Chart HS 50000 (51,780 gal)</t>
        </is>
      </c>
      <c r="I5542" s="12" t="inlineStr">
        <is>
          <t>Instrumentation</t>
        </is>
      </c>
      <c r="J5542" s="12" t="inlineStr">
        <is>
          <t>Instrumentation ITC / PLTC, IS, #18 shielded pairs, blue jacket</t>
        </is>
      </c>
      <c r="K5542" s="12" t="inlineStr">
        <is>
          <t>ITC|1 pr|16</t>
        </is>
      </c>
      <c r="L5542" s="12" t="inlineStr">
        <is>
          <t>1 pr</t>
        </is>
      </c>
      <c r="M5542" s="12" t="inlineStr">
        <is>
          <t>16</t>
        </is>
      </c>
      <c r="N5542" s="12" t="n">
        <v>4</v>
      </c>
      <c r="O5542" s="12" t="n">
        <v>1</v>
      </c>
      <c r="P5542" s="12" t="n"/>
      <c r="Q5542" s="12" t="n"/>
      <c r="R5542" s="12" t="n"/>
      <c r="S5542" s="12" t="inlineStr">
        <is>
          <t>Tray / conduit</t>
        </is>
      </c>
      <c r="T5542" s="15" t="n">
        <v>77</v>
      </c>
      <c r="U5542" s="15" t="n">
        <v>10</v>
      </c>
      <c r="V5542" s="15">
        <f>ROUNDUP((T5542+U5542+2*'Read Me'!$B$13)*(1+'Read Me'!$B$12),-1)</f>
        <v/>
      </c>
      <c r="W5542" s="15">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K-I-0105</t>
        </is>
      </c>
      <c r="B5543" s="12" t="inlineStr">
        <is>
          <t>K</t>
        </is>
      </c>
      <c r="C5543" s="12" t="inlineStr">
        <is>
          <t>Fuel supply (adjacent market)</t>
        </is>
      </c>
      <c r="D5543" s="12" t="inlineStr">
        <is>
          <t>Home run JB-LNG-T3-DI01 to the control / marshalling room</t>
        </is>
      </c>
      <c r="E5543" s="12" t="inlineStr"/>
      <c r="F5543" s="12" t="inlineStr">
        <is>
          <t>LNG 17: LNG e-house (13.8 kV / 480 V)</t>
        </is>
      </c>
      <c r="G5543" s="12" t="inlineStr">
        <is>
          <t>JB-LNG-T3-DI01</t>
        </is>
      </c>
      <c r="H5543" s="12" t="inlineStr">
        <is>
          <t>LNG 11: tank 3, Chart HS 50000 (51,780 gal)</t>
        </is>
      </c>
      <c r="I5543" s="12" t="inlineStr">
        <is>
          <t>Instrumentation</t>
        </is>
      </c>
      <c r="J5543" s="12" t="inlineStr">
        <is>
          <t>Instrumentation ITC / PLTC, IS, #18 shielded pairs, blue jacket</t>
        </is>
      </c>
      <c r="K5543" s="12" t="inlineStr">
        <is>
          <t>ITC|24 pr|18</t>
        </is>
      </c>
      <c r="L5543" s="12" t="inlineStr">
        <is>
          <t>24 pr</t>
        </is>
      </c>
      <c r="M5543" s="12" t="inlineStr">
        <is>
          <t>18</t>
        </is>
      </c>
      <c r="N5543" s="12" t="n">
        <v>1</v>
      </c>
      <c r="O5543" s="12" t="n">
        <v>1</v>
      </c>
      <c r="P5543" s="12" t="n"/>
      <c r="Q5543" s="12" t="n"/>
      <c r="R5543" s="12" t="n"/>
      <c r="S5543" s="12" t="inlineStr">
        <is>
          <t>Duct bank</t>
        </is>
      </c>
      <c r="T5543" s="15" t="n">
        <v>250</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K-I-0106</t>
        </is>
      </c>
      <c r="B5544" s="12" t="inlineStr">
        <is>
          <t>K</t>
        </is>
      </c>
      <c r="C5544" s="12" t="inlineStr">
        <is>
          <t>Fuel supply (adjacent market)</t>
        </is>
      </c>
      <c r="D5544" s="12" t="inlineStr">
        <is>
          <t>Analog instrument to JB JB-LNG-T4-AI01: 4 x 1 pr (field cables)</t>
        </is>
      </c>
      <c r="E5544" s="12" t="inlineStr">
        <is>
          <t>LNG-T4</t>
        </is>
      </c>
      <c r="F5544" s="12" t="inlineStr">
        <is>
          <t>LNG 11: tank 4, Chart HS 50000 (51,780 gal)</t>
        </is>
      </c>
      <c r="G5544" s="12" t="inlineStr">
        <is>
          <t>JB-LNG-T4-AI01</t>
        </is>
      </c>
      <c r="H5544" s="12" t="inlineStr">
        <is>
          <t>LNG 11: tank 4, Chart HS 50000 (51,780 gal)</t>
        </is>
      </c>
      <c r="I5544" s="12" t="inlineStr">
        <is>
          <t>Instrumentation</t>
        </is>
      </c>
      <c r="J5544" s="12" t="inlineStr">
        <is>
          <t>Instrumentation ITC / PLTC, IS, #18 shielded pairs, blue jacket</t>
        </is>
      </c>
      <c r="K5544" s="12" t="inlineStr">
        <is>
          <t>ITC|1 pr|16</t>
        </is>
      </c>
      <c r="L5544" s="12" t="inlineStr">
        <is>
          <t>1 pr</t>
        </is>
      </c>
      <c r="M5544" s="12" t="inlineStr">
        <is>
          <t>16</t>
        </is>
      </c>
      <c r="N5544" s="12" t="n">
        <v>4</v>
      </c>
      <c r="O5544" s="12" t="n">
        <v>1</v>
      </c>
      <c r="P5544" s="12" t="n"/>
      <c r="Q5544" s="12" t="n"/>
      <c r="R5544" s="12" t="n"/>
      <c r="S5544" s="12" t="inlineStr">
        <is>
          <t>Tray / conduit</t>
        </is>
      </c>
      <c r="T5544" s="15" t="n">
        <v>77</v>
      </c>
      <c r="U5544" s="15" t="n">
        <v>10</v>
      </c>
      <c r="V5544" s="15">
        <f>ROUNDUP((T5544+U5544+2*'Read Me'!$B$13)*(1+'Read Me'!$B$12),-1)</f>
        <v/>
      </c>
      <c r="W5544" s="15">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K-I-0107</t>
        </is>
      </c>
      <c r="B5545" s="12" t="inlineStr">
        <is>
          <t>K</t>
        </is>
      </c>
      <c r="C5545" s="12" t="inlineStr">
        <is>
          <t>Fuel supply (adjacent market)</t>
        </is>
      </c>
      <c r="D5545" s="12" t="inlineStr">
        <is>
          <t>Home run JB-LNG-T4-AI01 to the control / marshalling room</t>
        </is>
      </c>
      <c r="E5545" s="12" t="inlineStr"/>
      <c r="F5545" s="12" t="inlineStr">
        <is>
          <t>LNG 17: LNG e-house (13.8 kV / 480 V)</t>
        </is>
      </c>
      <c r="G5545" s="12" t="inlineStr">
        <is>
          <t>JB-LNG-T4-AI01</t>
        </is>
      </c>
      <c r="H5545" s="12" t="inlineStr">
        <is>
          <t>LNG 11: tank 4, Chart HS 50000 (51,780 gal)</t>
        </is>
      </c>
      <c r="I5545" s="12" t="inlineStr">
        <is>
          <t>Instrumentation</t>
        </is>
      </c>
      <c r="J5545" s="12" t="inlineStr">
        <is>
          <t>Instrumentation ITC / PLTC, IS, #18 shielded pairs, blue jacket</t>
        </is>
      </c>
      <c r="K5545" s="12" t="inlineStr">
        <is>
          <t>ITC|24 pr|18</t>
        </is>
      </c>
      <c r="L5545" s="12" t="inlineStr">
        <is>
          <t>24 pr</t>
        </is>
      </c>
      <c r="M5545" s="12" t="inlineStr">
        <is>
          <t>18</t>
        </is>
      </c>
      <c r="N5545" s="12" t="n">
        <v>1</v>
      </c>
      <c r="O5545" s="12" t="n">
        <v>1</v>
      </c>
      <c r="P5545" s="12" t="n"/>
      <c r="Q5545" s="12" t="n"/>
      <c r="R5545" s="12" t="n"/>
      <c r="S5545" s="12" t="inlineStr">
        <is>
          <t>Duct bank</t>
        </is>
      </c>
      <c r="T5545" s="15" t="n">
        <v>270</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c r="AA5545" s="12">
        <f>N5545*O5545</f>
        <v/>
      </c>
    </row>
    <row r="5546">
      <c r="A5546" s="12" t="inlineStr">
        <is>
          <t>K-I-0108</t>
        </is>
      </c>
      <c r="B5546" s="12" t="inlineStr">
        <is>
          <t>K</t>
        </is>
      </c>
      <c r="C5546" s="12" t="inlineStr">
        <is>
          <t>Fuel supply (adjacent market)</t>
        </is>
      </c>
      <c r="D5546" s="12" t="inlineStr">
        <is>
          <t>Discrete device to JB JB-LNG-T4-DI01: 4 x 1 pr (field cables)</t>
        </is>
      </c>
      <c r="E5546" s="12" t="inlineStr">
        <is>
          <t>LNG-T4</t>
        </is>
      </c>
      <c r="F5546" s="12" t="inlineStr">
        <is>
          <t>LNG 11: tank 4, Chart HS 50000 (51,780 gal)</t>
        </is>
      </c>
      <c r="G5546" s="12" t="inlineStr">
        <is>
          <t>JB-LNG-T4-DI01</t>
        </is>
      </c>
      <c r="H5546" s="12" t="inlineStr">
        <is>
          <t>LNG 11: tank 4, Chart HS 50000 (51,780 gal)</t>
        </is>
      </c>
      <c r="I5546" s="12" t="inlineStr">
        <is>
          <t>Instrumentation</t>
        </is>
      </c>
      <c r="J5546" s="12" t="inlineStr">
        <is>
          <t>Instrumentation ITC / PLTC, IS, #18 shielded pairs, blue jacket</t>
        </is>
      </c>
      <c r="K5546" s="12" t="inlineStr">
        <is>
          <t>ITC|1 pr|16</t>
        </is>
      </c>
      <c r="L5546" s="12" t="inlineStr">
        <is>
          <t>1 pr</t>
        </is>
      </c>
      <c r="M5546" s="12" t="inlineStr">
        <is>
          <t>16</t>
        </is>
      </c>
      <c r="N5546" s="12" t="n">
        <v>4</v>
      </c>
      <c r="O5546" s="12" t="n">
        <v>1</v>
      </c>
      <c r="P5546" s="12" t="n"/>
      <c r="Q5546" s="12" t="n"/>
      <c r="R5546" s="12" t="n"/>
      <c r="S5546" s="12" t="inlineStr">
        <is>
          <t>Tray / conduit</t>
        </is>
      </c>
      <c r="T5546" s="15" t="n">
        <v>77</v>
      </c>
      <c r="U5546" s="15" t="n">
        <v>10</v>
      </c>
      <c r="V5546" s="15">
        <f>ROUNDUP((T5546+U5546+2*'Read Me'!$B$13)*(1+'Read Me'!$B$12),-1)</f>
        <v/>
      </c>
      <c r="W5546" s="15">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K-I-0109</t>
        </is>
      </c>
      <c r="B5547" s="12" t="inlineStr">
        <is>
          <t>K</t>
        </is>
      </c>
      <c r="C5547" s="12" t="inlineStr">
        <is>
          <t>Fuel supply (adjacent market)</t>
        </is>
      </c>
      <c r="D5547" s="12" t="inlineStr">
        <is>
          <t>Home run JB-LNG-T4-DI01 to the control / marshalling room</t>
        </is>
      </c>
      <c r="E5547" s="12" t="inlineStr"/>
      <c r="F5547" s="12" t="inlineStr">
        <is>
          <t>LNG 17: LNG e-house (13.8 kV / 480 V)</t>
        </is>
      </c>
      <c r="G5547" s="12" t="inlineStr">
        <is>
          <t>JB-LNG-T4-DI01</t>
        </is>
      </c>
      <c r="H5547" s="12" t="inlineStr">
        <is>
          <t>LNG 11: tank 4, Chart HS 50000 (51,780 gal)</t>
        </is>
      </c>
      <c r="I5547" s="12" t="inlineStr">
        <is>
          <t>Instrumentation</t>
        </is>
      </c>
      <c r="J5547" s="12" t="inlineStr">
        <is>
          <t>Instrumentation ITC / PLTC, IS, #18 shielded pairs, blue jacket</t>
        </is>
      </c>
      <c r="K5547" s="12" t="inlineStr">
        <is>
          <t>ITC|24 pr|18</t>
        </is>
      </c>
      <c r="L5547" s="12" t="inlineStr">
        <is>
          <t>24 pr</t>
        </is>
      </c>
      <c r="M5547" s="12" t="inlineStr">
        <is>
          <t>18</t>
        </is>
      </c>
      <c r="N5547" s="12" t="n">
        <v>1</v>
      </c>
      <c r="O5547" s="12" t="n">
        <v>1</v>
      </c>
      <c r="P5547" s="12" t="n"/>
      <c r="Q5547" s="12" t="n"/>
      <c r="R5547" s="12" t="n"/>
      <c r="S5547" s="12" t="inlineStr">
        <is>
          <t>Duct bank</t>
        </is>
      </c>
      <c r="T5547" s="15" t="n">
        <v>270</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c r="AA5547" s="12">
        <f>N5547*O5547</f>
        <v/>
      </c>
    </row>
    <row r="5548">
      <c r="A5548" s="12" t="inlineStr">
        <is>
          <t>K-I-0110</t>
        </is>
      </c>
      <c r="B5548" s="12" t="inlineStr">
        <is>
          <t>K</t>
        </is>
      </c>
      <c r="C5548" s="12" t="inlineStr">
        <is>
          <t>Fuel supply (adjacent market)</t>
        </is>
      </c>
      <c r="D5548" s="12" t="inlineStr">
        <is>
          <t>Analog instrument to JB JB-LNG-T5-AI01: 4 x 1 pr (field cables)</t>
        </is>
      </c>
      <c r="E5548" s="12" t="inlineStr">
        <is>
          <t>LNG-T5</t>
        </is>
      </c>
      <c r="F5548" s="12" t="inlineStr">
        <is>
          <t>LNG 11: tank 5, Chart HS 50000 (51,780 gal)</t>
        </is>
      </c>
      <c r="G5548" s="12" t="inlineStr">
        <is>
          <t>JB-LNG-T5-AI01</t>
        </is>
      </c>
      <c r="H5548" s="12" t="inlineStr">
        <is>
          <t>LNG 11: tank 5, Chart HS 50000 (51,780 gal)</t>
        </is>
      </c>
      <c r="I5548" s="12" t="inlineStr">
        <is>
          <t>Instrumentation</t>
        </is>
      </c>
      <c r="J5548" s="12" t="inlineStr">
        <is>
          <t>Instrumentation ITC / PLTC, IS, #18 shielded pairs, blue jacket</t>
        </is>
      </c>
      <c r="K5548" s="12" t="inlineStr">
        <is>
          <t>ITC|1 pr|16</t>
        </is>
      </c>
      <c r="L5548" s="12" t="inlineStr">
        <is>
          <t>1 pr</t>
        </is>
      </c>
      <c r="M5548" s="12" t="inlineStr">
        <is>
          <t>16</t>
        </is>
      </c>
      <c r="N5548" s="12" t="n">
        <v>4</v>
      </c>
      <c r="O5548" s="12" t="n">
        <v>1</v>
      </c>
      <c r="P5548" s="12" t="n"/>
      <c r="Q5548" s="12" t="n"/>
      <c r="R5548" s="12" t="n"/>
      <c r="S5548" s="12" t="inlineStr">
        <is>
          <t>Tray / conduit</t>
        </is>
      </c>
      <c r="T5548" s="15" t="n">
        <v>77</v>
      </c>
      <c r="U5548" s="15" t="n">
        <v>10</v>
      </c>
      <c r="V5548" s="15">
        <f>ROUNDUP((T5548+U5548+2*'Read Me'!$B$13)*(1+'Read Me'!$B$12),-1)</f>
        <v/>
      </c>
      <c r="W5548" s="15">
        <f>V5548*N5548*O5548</f>
        <v/>
      </c>
      <c r="X5548" s="12">
        <f>IF(LEFT(I5548,2)="MV",2*N5548*IF(L5548="1/C",O5548,1),0)</f>
        <v/>
      </c>
      <c r="Y5548" s="12">
        <f>IF(OR(LEFT(K5548,4)="LVAX",LEFT(K5548,6)="MV15AX",LEFT(K5548,4)="CTAX",LEFT(K5548,2)="W|"),2*N5548*O5548,0)</f>
        <v/>
      </c>
      <c r="Z5548" s="12" t="inlineStr">
        <is>
          <t>device-to-JB field wiring, one cable per device</t>
        </is>
      </c>
      <c r="AA5548" s="12">
        <f>N5548*O5548</f>
        <v/>
      </c>
    </row>
    <row r="5549">
      <c r="A5549" s="12" t="inlineStr">
        <is>
          <t>K-I-0111</t>
        </is>
      </c>
      <c r="B5549" s="12" t="inlineStr">
        <is>
          <t>K</t>
        </is>
      </c>
      <c r="C5549" s="12" t="inlineStr">
        <is>
          <t>Fuel supply (adjacent market)</t>
        </is>
      </c>
      <c r="D5549" s="12" t="inlineStr">
        <is>
          <t>Home run JB-LNG-T5-AI01 to the control / marshalling room</t>
        </is>
      </c>
      <c r="E5549" s="12" t="inlineStr"/>
      <c r="F5549" s="12" t="inlineStr">
        <is>
          <t>LNG 17: LNG e-house (13.8 kV / 480 V)</t>
        </is>
      </c>
      <c r="G5549" s="12" t="inlineStr">
        <is>
          <t>JB-LNG-T5-AI01</t>
        </is>
      </c>
      <c r="H5549" s="12" t="inlineStr">
        <is>
          <t>LNG 11: tank 5, Chart HS 50000 (51,780 gal)</t>
        </is>
      </c>
      <c r="I5549" s="12" t="inlineStr">
        <is>
          <t>Instrumentation</t>
        </is>
      </c>
      <c r="J5549" s="12" t="inlineStr">
        <is>
          <t>Instrumentation ITC / PLTC, IS, #18 shielded pairs, blue jacket</t>
        </is>
      </c>
      <c r="K5549" s="12" t="inlineStr">
        <is>
          <t>ITC|24 pr|18</t>
        </is>
      </c>
      <c r="L5549" s="12" t="inlineStr">
        <is>
          <t>24 pr</t>
        </is>
      </c>
      <c r="M5549" s="12" t="inlineStr">
        <is>
          <t>18</t>
        </is>
      </c>
      <c r="N5549" s="12" t="n">
        <v>1</v>
      </c>
      <c r="O5549" s="12" t="n">
        <v>1</v>
      </c>
      <c r="P5549" s="12" t="n"/>
      <c r="Q5549" s="12" t="n"/>
      <c r="R5549" s="12" t="n"/>
      <c r="S5549" s="12" t="inlineStr">
        <is>
          <t>Duct bank</t>
        </is>
      </c>
      <c r="T5549" s="15" t="n">
        <v>290</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c r="AA5549" s="12">
        <f>N5549*O5549</f>
        <v/>
      </c>
    </row>
    <row r="5550">
      <c r="A5550" s="12" t="inlineStr">
        <is>
          <t>K-I-0112</t>
        </is>
      </c>
      <c r="B5550" s="12" t="inlineStr">
        <is>
          <t>K</t>
        </is>
      </c>
      <c r="C5550" s="12" t="inlineStr">
        <is>
          <t>Fuel supply (adjacent market)</t>
        </is>
      </c>
      <c r="D5550" s="12" t="inlineStr">
        <is>
          <t>Discrete device to JB JB-LNG-T5-DI01: 4 x 1 pr (field cables)</t>
        </is>
      </c>
      <c r="E5550" s="12" t="inlineStr">
        <is>
          <t>LNG-T5</t>
        </is>
      </c>
      <c r="F5550" s="12" t="inlineStr">
        <is>
          <t>LNG 11: tank 5, Chart HS 50000 (51,780 gal)</t>
        </is>
      </c>
      <c r="G5550" s="12" t="inlineStr">
        <is>
          <t>JB-LNG-T5-DI01</t>
        </is>
      </c>
      <c r="H5550" s="12" t="inlineStr">
        <is>
          <t>LNG 11: tank 5, Chart HS 50000 (51,780 gal)</t>
        </is>
      </c>
      <c r="I5550" s="12" t="inlineStr">
        <is>
          <t>Instrumentation</t>
        </is>
      </c>
      <c r="J5550" s="12" t="inlineStr">
        <is>
          <t>Instrumentation ITC / PLTC, IS, #18 shielded pairs, blue jacket</t>
        </is>
      </c>
      <c r="K5550" s="12" t="inlineStr">
        <is>
          <t>ITC|1 pr|16</t>
        </is>
      </c>
      <c r="L5550" s="12" t="inlineStr">
        <is>
          <t>1 pr</t>
        </is>
      </c>
      <c r="M5550" s="12" t="inlineStr">
        <is>
          <t>16</t>
        </is>
      </c>
      <c r="N5550" s="12" t="n">
        <v>4</v>
      </c>
      <c r="O5550" s="12" t="n">
        <v>1</v>
      </c>
      <c r="P5550" s="12" t="n"/>
      <c r="Q5550" s="12" t="n"/>
      <c r="R5550" s="12" t="n"/>
      <c r="S5550" s="12" t="inlineStr">
        <is>
          <t>Tray / conduit</t>
        </is>
      </c>
      <c r="T5550" s="15" t="n">
        <v>77</v>
      </c>
      <c r="U5550" s="15" t="n">
        <v>10</v>
      </c>
      <c r="V5550" s="15">
        <f>ROUNDUP((T5550+U5550+2*'Read Me'!$B$13)*(1+'Read Me'!$B$12),-1)</f>
        <v/>
      </c>
      <c r="W5550" s="15">
        <f>V5550*N5550*O5550</f>
        <v/>
      </c>
      <c r="X5550" s="12">
        <f>IF(LEFT(I5550,2)="MV",2*N5550*IF(L5550="1/C",O5550,1),0)</f>
        <v/>
      </c>
      <c r="Y5550" s="12">
        <f>IF(OR(LEFT(K5550,4)="LVAX",LEFT(K5550,6)="MV15AX",LEFT(K5550,4)="CTAX",LEFT(K5550,2)="W|"),2*N5550*O5550,0)</f>
        <v/>
      </c>
      <c r="Z5550" s="12" t="inlineStr">
        <is>
          <t>device-to-JB field wiring, one cable per device</t>
        </is>
      </c>
      <c r="AA5550" s="12">
        <f>N5550*O5550</f>
        <v/>
      </c>
    </row>
    <row r="5551">
      <c r="A5551" s="12" t="inlineStr">
        <is>
          <t>K-I-0113</t>
        </is>
      </c>
      <c r="B5551" s="12" t="inlineStr">
        <is>
          <t>K</t>
        </is>
      </c>
      <c r="C5551" s="12" t="inlineStr">
        <is>
          <t>Fuel supply (adjacent market)</t>
        </is>
      </c>
      <c r="D5551" s="12" t="inlineStr">
        <is>
          <t>Home run JB-LNG-T5-DI01 to the control / marshalling room</t>
        </is>
      </c>
      <c r="E5551" s="12" t="inlineStr"/>
      <c r="F5551" s="12" t="inlineStr">
        <is>
          <t>LNG 17: LNG e-house (13.8 kV / 480 V)</t>
        </is>
      </c>
      <c r="G5551" s="12" t="inlineStr">
        <is>
          <t>JB-LNG-T5-DI01</t>
        </is>
      </c>
      <c r="H5551" s="12" t="inlineStr">
        <is>
          <t>LNG 11: tank 5, Chart HS 50000 (51,780 gal)</t>
        </is>
      </c>
      <c r="I5551" s="12" t="inlineStr">
        <is>
          <t>Instrumentation</t>
        </is>
      </c>
      <c r="J5551" s="12" t="inlineStr">
        <is>
          <t>Instrumentation ITC / PLTC, IS, #18 shielded pairs, blue jacket</t>
        </is>
      </c>
      <c r="K5551" s="12" t="inlineStr">
        <is>
          <t>ITC|24 pr|18</t>
        </is>
      </c>
      <c r="L5551" s="12" t="inlineStr">
        <is>
          <t>24 pr</t>
        </is>
      </c>
      <c r="M5551" s="12" t="inlineStr">
        <is>
          <t>18</t>
        </is>
      </c>
      <c r="N5551" s="12" t="n">
        <v>1</v>
      </c>
      <c r="O5551" s="12" t="n">
        <v>1</v>
      </c>
      <c r="P5551" s="12" t="n"/>
      <c r="Q5551" s="12" t="n"/>
      <c r="R5551" s="12" t="n"/>
      <c r="S5551" s="12" t="inlineStr">
        <is>
          <t>Duct bank</t>
        </is>
      </c>
      <c r="T5551" s="15" t="n">
        <v>290</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c r="AA5551" s="12">
        <f>N5551*O5551</f>
        <v/>
      </c>
    </row>
    <row r="5552">
      <c r="A5552" s="12" t="inlineStr">
        <is>
          <t>K-I-0114</t>
        </is>
      </c>
      <c r="B5552" s="12" t="inlineStr">
        <is>
          <t>K</t>
        </is>
      </c>
      <c r="C5552" s="12" t="inlineStr">
        <is>
          <t>Fuel supply (adjacent market)</t>
        </is>
      </c>
      <c r="D5552" s="12" t="inlineStr">
        <is>
          <t>Analog instrument to JB JB-LNG-T6-AI01: 4 x 1 pr (field cables)</t>
        </is>
      </c>
      <c r="E5552" s="12" t="inlineStr">
        <is>
          <t>LNG-T6</t>
        </is>
      </c>
      <c r="F5552" s="12" t="inlineStr">
        <is>
          <t>LNG 11: tank 6, Chart HS 50000 (51,780 gal)</t>
        </is>
      </c>
      <c r="G5552" s="12" t="inlineStr">
        <is>
          <t>JB-LNG-T6-AI01</t>
        </is>
      </c>
      <c r="H5552" s="12" t="inlineStr">
        <is>
          <t>LNG 11: tank 6, Chart HS 50000 (51,780 gal)</t>
        </is>
      </c>
      <c r="I5552" s="12" t="inlineStr">
        <is>
          <t>Instrumentation</t>
        </is>
      </c>
      <c r="J5552" s="12" t="inlineStr">
        <is>
          <t>Instrumentation ITC / PLTC, IS, #18 shielded pairs, blue jacket</t>
        </is>
      </c>
      <c r="K5552" s="12" t="inlineStr">
        <is>
          <t>ITC|1 pr|16</t>
        </is>
      </c>
      <c r="L5552" s="12" t="inlineStr">
        <is>
          <t>1 pr</t>
        </is>
      </c>
      <c r="M5552" s="12" t="inlineStr">
        <is>
          <t>16</t>
        </is>
      </c>
      <c r="N5552" s="12" t="n">
        <v>4</v>
      </c>
      <c r="O5552" s="12" t="n">
        <v>1</v>
      </c>
      <c r="P5552" s="12" t="n"/>
      <c r="Q5552" s="12" t="n"/>
      <c r="R5552" s="12" t="n"/>
      <c r="S5552" s="12" t="inlineStr">
        <is>
          <t>Tray / conduit</t>
        </is>
      </c>
      <c r="T5552" s="15" t="n">
        <v>77</v>
      </c>
      <c r="U5552" s="15" t="n">
        <v>10</v>
      </c>
      <c r="V5552" s="15">
        <f>ROUNDUP((T5552+U5552+2*'Read Me'!$B$13)*(1+'Read Me'!$B$12),-1)</f>
        <v/>
      </c>
      <c r="W5552" s="15">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K-I-0115</t>
        </is>
      </c>
      <c r="B5553" s="12" t="inlineStr">
        <is>
          <t>K</t>
        </is>
      </c>
      <c r="C5553" s="12" t="inlineStr">
        <is>
          <t>Fuel supply (adjacent market)</t>
        </is>
      </c>
      <c r="D5553" s="12" t="inlineStr">
        <is>
          <t>Home run JB-LNG-T6-AI01 to the control / marshalling room</t>
        </is>
      </c>
      <c r="E5553" s="12" t="inlineStr"/>
      <c r="F5553" s="12" t="inlineStr">
        <is>
          <t>LNG 17: LNG e-house (13.8 kV / 480 V)</t>
        </is>
      </c>
      <c r="G5553" s="12" t="inlineStr">
        <is>
          <t>JB-LNG-T6-AI01</t>
        </is>
      </c>
      <c r="H5553" s="12" t="inlineStr">
        <is>
          <t>LNG 11: tank 6, Chart HS 50000 (51,780 gal)</t>
        </is>
      </c>
      <c r="I5553" s="12" t="inlineStr">
        <is>
          <t>Instrumentation</t>
        </is>
      </c>
      <c r="J5553" s="12" t="inlineStr">
        <is>
          <t>Instrumentation ITC / PLTC, IS, #18 shielded pairs, blue jacket</t>
        </is>
      </c>
      <c r="K5553" s="12" t="inlineStr">
        <is>
          <t>ITC|24 pr|18</t>
        </is>
      </c>
      <c r="L5553" s="12" t="inlineStr">
        <is>
          <t>24 pr</t>
        </is>
      </c>
      <c r="M5553" s="12" t="inlineStr">
        <is>
          <t>18</t>
        </is>
      </c>
      <c r="N5553" s="12" t="n">
        <v>1</v>
      </c>
      <c r="O5553" s="12" t="n">
        <v>1</v>
      </c>
      <c r="P5553" s="12" t="n"/>
      <c r="Q5553" s="12" t="n"/>
      <c r="R5553" s="12" t="n"/>
      <c r="S5553" s="12" t="inlineStr">
        <is>
          <t>Duct bank</t>
        </is>
      </c>
      <c r="T5553" s="15" t="n">
        <v>310</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c r="AA5553" s="12">
        <f>N5553*O5553</f>
        <v/>
      </c>
    </row>
    <row r="5554">
      <c r="A5554" s="12" t="inlineStr">
        <is>
          <t>K-I-0116</t>
        </is>
      </c>
      <c r="B5554" s="12" t="inlineStr">
        <is>
          <t>K</t>
        </is>
      </c>
      <c r="C5554" s="12" t="inlineStr">
        <is>
          <t>Fuel supply (adjacent market)</t>
        </is>
      </c>
      <c r="D5554" s="12" t="inlineStr">
        <is>
          <t>Discrete device to JB JB-LNG-T6-DI01: 4 x 1 pr (field cables)</t>
        </is>
      </c>
      <c r="E5554" s="12" t="inlineStr">
        <is>
          <t>LNG-T6</t>
        </is>
      </c>
      <c r="F5554" s="12" t="inlineStr">
        <is>
          <t>LNG 11: tank 6, Chart HS 50000 (51,780 gal)</t>
        </is>
      </c>
      <c r="G5554" s="12" t="inlineStr">
        <is>
          <t>JB-LNG-T6-DI01</t>
        </is>
      </c>
      <c r="H5554" s="12" t="inlineStr">
        <is>
          <t>LNG 11: tank 6, Chart HS 50000 (51,780 gal)</t>
        </is>
      </c>
      <c r="I5554" s="12" t="inlineStr">
        <is>
          <t>Instrumentation</t>
        </is>
      </c>
      <c r="J5554" s="12" t="inlineStr">
        <is>
          <t>Instrumentation ITC / PLTC, IS, #18 shielded pairs, blue jacket</t>
        </is>
      </c>
      <c r="K5554" s="12" t="inlineStr">
        <is>
          <t>ITC|1 pr|16</t>
        </is>
      </c>
      <c r="L5554" s="12" t="inlineStr">
        <is>
          <t>1 pr</t>
        </is>
      </c>
      <c r="M5554" s="12" t="inlineStr">
        <is>
          <t>16</t>
        </is>
      </c>
      <c r="N5554" s="12" t="n">
        <v>4</v>
      </c>
      <c r="O5554" s="12" t="n">
        <v>1</v>
      </c>
      <c r="P5554" s="12" t="n"/>
      <c r="Q5554" s="12" t="n"/>
      <c r="R5554" s="12" t="n"/>
      <c r="S5554" s="12" t="inlineStr">
        <is>
          <t>Tray / conduit</t>
        </is>
      </c>
      <c r="T5554" s="15" t="n">
        <v>77</v>
      </c>
      <c r="U5554" s="15" t="n">
        <v>10</v>
      </c>
      <c r="V5554" s="15">
        <f>ROUNDUP((T5554+U5554+2*'Read Me'!$B$13)*(1+'Read Me'!$B$12),-1)</f>
        <v/>
      </c>
      <c r="W5554" s="15">
        <f>V5554*N5554*O5554</f>
        <v/>
      </c>
      <c r="X5554" s="12">
        <f>IF(LEFT(I5554,2)="MV",2*N5554*IF(L5554="1/C",O5554,1),0)</f>
        <v/>
      </c>
      <c r="Y5554" s="12">
        <f>IF(OR(LEFT(K5554,4)="LVAX",LEFT(K5554,6)="MV15AX",LEFT(K5554,4)="CTAX",LEFT(K5554,2)="W|"),2*N5554*O5554,0)</f>
        <v/>
      </c>
      <c r="Z5554" s="12" t="inlineStr">
        <is>
          <t>device-to-JB field wiring, one cable per device</t>
        </is>
      </c>
      <c r="AA5554" s="12">
        <f>N5554*O5554</f>
        <v/>
      </c>
    </row>
    <row r="5555">
      <c r="A5555" s="12" t="inlineStr">
        <is>
          <t>K-I-0117</t>
        </is>
      </c>
      <c r="B5555" s="12" t="inlineStr">
        <is>
          <t>K</t>
        </is>
      </c>
      <c r="C5555" s="12" t="inlineStr">
        <is>
          <t>Fuel supply (adjacent market)</t>
        </is>
      </c>
      <c r="D5555" s="12" t="inlineStr">
        <is>
          <t>Home run JB-LNG-T6-DI01 to the control / marshalling room</t>
        </is>
      </c>
      <c r="E5555" s="12" t="inlineStr"/>
      <c r="F5555" s="12" t="inlineStr">
        <is>
          <t>LNG 17: LNG e-house (13.8 kV / 480 V)</t>
        </is>
      </c>
      <c r="G5555" s="12" t="inlineStr">
        <is>
          <t>JB-LNG-T6-DI01</t>
        </is>
      </c>
      <c r="H5555" s="12" t="inlineStr">
        <is>
          <t>LNG 11: tank 6, Chart HS 50000 (51,780 gal)</t>
        </is>
      </c>
      <c r="I5555" s="12" t="inlineStr">
        <is>
          <t>Instrumentation</t>
        </is>
      </c>
      <c r="J5555" s="12" t="inlineStr">
        <is>
          <t>Instrumentation ITC / PLTC, IS, #18 shielded pairs, blue jacket</t>
        </is>
      </c>
      <c r="K5555" s="12" t="inlineStr">
        <is>
          <t>ITC|24 pr|18</t>
        </is>
      </c>
      <c r="L5555" s="12" t="inlineStr">
        <is>
          <t>24 pr</t>
        </is>
      </c>
      <c r="M5555" s="12" t="inlineStr">
        <is>
          <t>18</t>
        </is>
      </c>
      <c r="N5555" s="12" t="n">
        <v>1</v>
      </c>
      <c r="O5555" s="12" t="n">
        <v>1</v>
      </c>
      <c r="P5555" s="12" t="n"/>
      <c r="Q5555" s="12" t="n"/>
      <c r="R5555" s="12" t="n"/>
      <c r="S5555" s="12" t="inlineStr">
        <is>
          <t>Duct bank</t>
        </is>
      </c>
      <c r="T5555" s="15" t="n">
        <v>310</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c r="AA5555" s="12">
        <f>N5555*O5555</f>
        <v/>
      </c>
    </row>
    <row r="5556">
      <c r="A5556" s="12" t="inlineStr">
        <is>
          <t>K-I-0118</t>
        </is>
      </c>
      <c r="B5556" s="12" t="inlineStr">
        <is>
          <t>K</t>
        </is>
      </c>
      <c r="C5556" s="12" t="inlineStr">
        <is>
          <t>Fuel supply (adjacent market)</t>
        </is>
      </c>
      <c r="D5556" s="12" t="inlineStr">
        <is>
          <t>Analog instrument to JB JB-LNG-T7-AI01: 4 x 1 pr (field cables)</t>
        </is>
      </c>
      <c r="E5556" s="12" t="inlineStr">
        <is>
          <t>LNG-T7</t>
        </is>
      </c>
      <c r="F5556" s="12" t="inlineStr">
        <is>
          <t>LNG 11: tank 7, Chart HS 50000 (51,780 gal)</t>
        </is>
      </c>
      <c r="G5556" s="12" t="inlineStr">
        <is>
          <t>JB-LNG-T7-AI01</t>
        </is>
      </c>
      <c r="H5556" s="12" t="inlineStr">
        <is>
          <t>LNG 11: tank 7, Chart HS 50000 (51,780 gal)</t>
        </is>
      </c>
      <c r="I5556" s="12" t="inlineStr">
        <is>
          <t>Instrumentation</t>
        </is>
      </c>
      <c r="J5556" s="12" t="inlineStr">
        <is>
          <t>Instrumentation ITC / PLTC, IS, #18 shielded pairs, blue jacket</t>
        </is>
      </c>
      <c r="K5556" s="12" t="inlineStr">
        <is>
          <t>ITC|1 pr|16</t>
        </is>
      </c>
      <c r="L5556" s="12" t="inlineStr">
        <is>
          <t>1 pr</t>
        </is>
      </c>
      <c r="M5556" s="12" t="inlineStr">
        <is>
          <t>16</t>
        </is>
      </c>
      <c r="N5556" s="12" t="n">
        <v>4</v>
      </c>
      <c r="O5556" s="12" t="n">
        <v>1</v>
      </c>
      <c r="P5556" s="12" t="n"/>
      <c r="Q5556" s="12" t="n"/>
      <c r="R5556" s="12" t="n"/>
      <c r="S5556" s="12" t="inlineStr">
        <is>
          <t>Tray / conduit</t>
        </is>
      </c>
      <c r="T5556" s="15" t="n">
        <v>77</v>
      </c>
      <c r="U5556" s="15" t="n">
        <v>10</v>
      </c>
      <c r="V5556" s="15">
        <f>ROUNDUP((T5556+U5556+2*'Read Me'!$B$13)*(1+'Read Me'!$B$12),-1)</f>
        <v/>
      </c>
      <c r="W5556" s="15">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K-I-0119</t>
        </is>
      </c>
      <c r="B5557" s="12" t="inlineStr">
        <is>
          <t>K</t>
        </is>
      </c>
      <c r="C5557" s="12" t="inlineStr">
        <is>
          <t>Fuel supply (adjacent market)</t>
        </is>
      </c>
      <c r="D5557" s="12" t="inlineStr">
        <is>
          <t>Home run JB-LNG-T7-AI01 to the control / marshalling room</t>
        </is>
      </c>
      <c r="E5557" s="12" t="inlineStr"/>
      <c r="F5557" s="12" t="inlineStr">
        <is>
          <t>LNG 17: LNG e-house (13.8 kV / 480 V)</t>
        </is>
      </c>
      <c r="G5557" s="12" t="inlineStr">
        <is>
          <t>JB-LNG-T7-AI01</t>
        </is>
      </c>
      <c r="H5557" s="12" t="inlineStr">
        <is>
          <t>LNG 11: tank 7, Chart HS 50000 (51,780 gal)</t>
        </is>
      </c>
      <c r="I5557" s="12" t="inlineStr">
        <is>
          <t>Instrumentation</t>
        </is>
      </c>
      <c r="J5557" s="12" t="inlineStr">
        <is>
          <t>Instrumentation ITC / PLTC, IS, #18 shielded pairs, blue jacket</t>
        </is>
      </c>
      <c r="K5557" s="12" t="inlineStr">
        <is>
          <t>ITC|24 pr|18</t>
        </is>
      </c>
      <c r="L5557" s="12" t="inlineStr">
        <is>
          <t>24 pr</t>
        </is>
      </c>
      <c r="M5557" s="12" t="inlineStr">
        <is>
          <t>18</t>
        </is>
      </c>
      <c r="N5557" s="12" t="n">
        <v>1</v>
      </c>
      <c r="O5557" s="12" t="n">
        <v>1</v>
      </c>
      <c r="P5557" s="12" t="n"/>
      <c r="Q5557" s="12" t="n"/>
      <c r="R5557" s="12" t="n"/>
      <c r="S5557" s="12" t="inlineStr">
        <is>
          <t>Duct bank</t>
        </is>
      </c>
      <c r="T5557" s="15" t="n">
        <v>330</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c r="AA5557" s="12">
        <f>N5557*O5557</f>
        <v/>
      </c>
    </row>
    <row r="5558">
      <c r="A5558" s="12" t="inlineStr">
        <is>
          <t>K-I-0120</t>
        </is>
      </c>
      <c r="B5558" s="12" t="inlineStr">
        <is>
          <t>K</t>
        </is>
      </c>
      <c r="C5558" s="12" t="inlineStr">
        <is>
          <t>Fuel supply (adjacent market)</t>
        </is>
      </c>
      <c r="D5558" s="12" t="inlineStr">
        <is>
          <t>Discrete device to JB JB-LNG-T7-DI01: 4 x 1 pr (field cables)</t>
        </is>
      </c>
      <c r="E5558" s="12" t="inlineStr">
        <is>
          <t>LNG-T7</t>
        </is>
      </c>
      <c r="F5558" s="12" t="inlineStr">
        <is>
          <t>LNG 11: tank 7, Chart HS 50000 (51,780 gal)</t>
        </is>
      </c>
      <c r="G5558" s="12" t="inlineStr">
        <is>
          <t>JB-LNG-T7-DI01</t>
        </is>
      </c>
      <c r="H5558" s="12" t="inlineStr">
        <is>
          <t>LNG 11: tank 7, Chart HS 50000 (51,780 gal)</t>
        </is>
      </c>
      <c r="I5558" s="12" t="inlineStr">
        <is>
          <t>Instrumentation</t>
        </is>
      </c>
      <c r="J5558" s="12" t="inlineStr">
        <is>
          <t>Instrumentation ITC / PLTC, IS, #18 shielded pairs, blue jacket</t>
        </is>
      </c>
      <c r="K5558" s="12" t="inlineStr">
        <is>
          <t>ITC|1 pr|16</t>
        </is>
      </c>
      <c r="L5558" s="12" t="inlineStr">
        <is>
          <t>1 pr</t>
        </is>
      </c>
      <c r="M5558" s="12" t="inlineStr">
        <is>
          <t>16</t>
        </is>
      </c>
      <c r="N5558" s="12" t="n">
        <v>4</v>
      </c>
      <c r="O5558" s="12" t="n">
        <v>1</v>
      </c>
      <c r="P5558" s="12" t="n"/>
      <c r="Q5558" s="12" t="n"/>
      <c r="R5558" s="12" t="n"/>
      <c r="S5558" s="12" t="inlineStr">
        <is>
          <t>Tray / conduit</t>
        </is>
      </c>
      <c r="T5558" s="15" t="n">
        <v>77</v>
      </c>
      <c r="U5558" s="15" t="n">
        <v>10</v>
      </c>
      <c r="V5558" s="15">
        <f>ROUNDUP((T5558+U5558+2*'Read Me'!$B$13)*(1+'Read Me'!$B$12),-1)</f>
        <v/>
      </c>
      <c r="W5558" s="15">
        <f>V5558*N5558*O5558</f>
        <v/>
      </c>
      <c r="X5558" s="12">
        <f>IF(LEFT(I5558,2)="MV",2*N5558*IF(L5558="1/C",O5558,1),0)</f>
        <v/>
      </c>
      <c r="Y5558" s="12">
        <f>IF(OR(LEFT(K5558,4)="LVAX",LEFT(K5558,6)="MV15AX",LEFT(K5558,4)="CTAX",LEFT(K5558,2)="W|"),2*N5558*O5558,0)</f>
        <v/>
      </c>
      <c r="Z5558" s="12" t="inlineStr">
        <is>
          <t>device-to-JB field wiring, one cable per device</t>
        </is>
      </c>
      <c r="AA5558" s="12">
        <f>N5558*O5558</f>
        <v/>
      </c>
    </row>
    <row r="5559">
      <c r="A5559" s="12" t="inlineStr">
        <is>
          <t>K-I-0121</t>
        </is>
      </c>
      <c r="B5559" s="12" t="inlineStr">
        <is>
          <t>K</t>
        </is>
      </c>
      <c r="C5559" s="12" t="inlineStr">
        <is>
          <t>Fuel supply (adjacent market)</t>
        </is>
      </c>
      <c r="D5559" s="12" t="inlineStr">
        <is>
          <t>Home run JB-LNG-T7-DI01 to the control / marshalling room</t>
        </is>
      </c>
      <c r="E5559" s="12" t="inlineStr"/>
      <c r="F5559" s="12" t="inlineStr">
        <is>
          <t>LNG 17: LNG e-house (13.8 kV / 480 V)</t>
        </is>
      </c>
      <c r="G5559" s="12" t="inlineStr">
        <is>
          <t>JB-LNG-T7-DI01</t>
        </is>
      </c>
      <c r="H5559" s="12" t="inlineStr">
        <is>
          <t>LNG 11: tank 7, Chart HS 50000 (51,780 gal)</t>
        </is>
      </c>
      <c r="I5559" s="12" t="inlineStr">
        <is>
          <t>Instrumentation</t>
        </is>
      </c>
      <c r="J5559" s="12" t="inlineStr">
        <is>
          <t>Instrumentation ITC / PLTC, IS, #18 shielded pairs, blue jacket</t>
        </is>
      </c>
      <c r="K5559" s="12" t="inlineStr">
        <is>
          <t>ITC|24 pr|18</t>
        </is>
      </c>
      <c r="L5559" s="12" t="inlineStr">
        <is>
          <t>24 pr</t>
        </is>
      </c>
      <c r="M5559" s="12" t="inlineStr">
        <is>
          <t>18</t>
        </is>
      </c>
      <c r="N5559" s="12" t="n">
        <v>1</v>
      </c>
      <c r="O5559" s="12" t="n">
        <v>1</v>
      </c>
      <c r="P5559" s="12" t="n"/>
      <c r="Q5559" s="12" t="n"/>
      <c r="R5559" s="12" t="n"/>
      <c r="S5559" s="12" t="inlineStr">
        <is>
          <t>Duct bank</t>
        </is>
      </c>
      <c r="T5559" s="15" t="n">
        <v>330</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c r="AA5559" s="12">
        <f>N5559*O5559</f>
        <v/>
      </c>
    </row>
    <row r="5560">
      <c r="A5560" s="12" t="inlineStr">
        <is>
          <t>K-I-0122</t>
        </is>
      </c>
      <c r="B5560" s="12" t="inlineStr">
        <is>
          <t>K</t>
        </is>
      </c>
      <c r="C5560" s="12" t="inlineStr">
        <is>
          <t>Fuel supply (adjacent market)</t>
        </is>
      </c>
      <c r="D5560" s="12" t="inlineStr">
        <is>
          <t>Analog instrument to JB JB-LNG-T8-AI01: 4 x 1 pr (field cables)</t>
        </is>
      </c>
      <c r="E5560" s="12" t="inlineStr">
        <is>
          <t>LNG-T8</t>
        </is>
      </c>
      <c r="F5560" s="12" t="inlineStr">
        <is>
          <t>LNG 11: tank 8, Chart HS 50000 (51,780 gal)</t>
        </is>
      </c>
      <c r="G5560" s="12" t="inlineStr">
        <is>
          <t>JB-LNG-T8-AI01</t>
        </is>
      </c>
      <c r="H5560" s="12" t="inlineStr">
        <is>
          <t>LNG 11: tank 8, Chart HS 50000 (51,780 gal)</t>
        </is>
      </c>
      <c r="I5560" s="12" t="inlineStr">
        <is>
          <t>Instrumentation</t>
        </is>
      </c>
      <c r="J5560" s="12" t="inlineStr">
        <is>
          <t>Instrumentation ITC / PLTC, IS, #18 shielded pairs, blue jacket</t>
        </is>
      </c>
      <c r="K5560" s="12" t="inlineStr">
        <is>
          <t>ITC|1 pr|16</t>
        </is>
      </c>
      <c r="L5560" s="12" t="inlineStr">
        <is>
          <t>1 pr</t>
        </is>
      </c>
      <c r="M5560" s="12" t="inlineStr">
        <is>
          <t>16</t>
        </is>
      </c>
      <c r="N5560" s="12" t="n">
        <v>4</v>
      </c>
      <c r="O5560" s="12" t="n">
        <v>1</v>
      </c>
      <c r="P5560" s="12" t="n"/>
      <c r="Q5560" s="12" t="n"/>
      <c r="R5560" s="12" t="n"/>
      <c r="S5560" s="12" t="inlineStr">
        <is>
          <t>Tray / conduit</t>
        </is>
      </c>
      <c r="T5560" s="15" t="n">
        <v>77</v>
      </c>
      <c r="U5560" s="15" t="n">
        <v>10</v>
      </c>
      <c r="V5560" s="15">
        <f>ROUNDUP((T5560+U5560+2*'Read Me'!$B$13)*(1+'Read Me'!$B$12),-1)</f>
        <v/>
      </c>
      <c r="W5560" s="15">
        <f>V5560*N5560*O5560</f>
        <v/>
      </c>
      <c r="X5560" s="12">
        <f>IF(LEFT(I5560,2)="MV",2*N5560*IF(L5560="1/C",O5560,1),0)</f>
        <v/>
      </c>
      <c r="Y5560" s="12">
        <f>IF(OR(LEFT(K5560,4)="LVAX",LEFT(K5560,6)="MV15AX",LEFT(K5560,4)="CTAX",LEFT(K5560,2)="W|"),2*N5560*O5560,0)</f>
        <v/>
      </c>
      <c r="Z5560" s="12" t="inlineStr">
        <is>
          <t>device-to-JB field wiring, one cable per device</t>
        </is>
      </c>
      <c r="AA5560" s="12">
        <f>N5560*O5560</f>
        <v/>
      </c>
    </row>
    <row r="5561">
      <c r="A5561" s="12" t="inlineStr">
        <is>
          <t>K-I-0123</t>
        </is>
      </c>
      <c r="B5561" s="12" t="inlineStr">
        <is>
          <t>K</t>
        </is>
      </c>
      <c r="C5561" s="12" t="inlineStr">
        <is>
          <t>Fuel supply (adjacent market)</t>
        </is>
      </c>
      <c r="D5561" s="12" t="inlineStr">
        <is>
          <t>Home run JB-LNG-T8-AI01 to the control / marshalling room</t>
        </is>
      </c>
      <c r="E5561" s="12" t="inlineStr"/>
      <c r="F5561" s="12" t="inlineStr">
        <is>
          <t>LNG 17: LNG e-house (13.8 kV / 480 V)</t>
        </is>
      </c>
      <c r="G5561" s="12" t="inlineStr">
        <is>
          <t>JB-LNG-T8-AI01</t>
        </is>
      </c>
      <c r="H5561" s="12" t="inlineStr">
        <is>
          <t>LNG 11: tank 8, Chart HS 50000 (51,780 gal)</t>
        </is>
      </c>
      <c r="I5561" s="12" t="inlineStr">
        <is>
          <t>Instrumentation</t>
        </is>
      </c>
      <c r="J5561" s="12" t="inlineStr">
        <is>
          <t>Instrumentation ITC / PLTC, IS, #18 shielded pairs, blue jacket</t>
        </is>
      </c>
      <c r="K5561" s="12" t="inlineStr">
        <is>
          <t>ITC|24 pr|18</t>
        </is>
      </c>
      <c r="L5561" s="12" t="inlineStr">
        <is>
          <t>24 pr</t>
        </is>
      </c>
      <c r="M5561" s="12" t="inlineStr">
        <is>
          <t>18</t>
        </is>
      </c>
      <c r="N5561" s="12" t="n">
        <v>1</v>
      </c>
      <c r="O5561" s="12" t="n">
        <v>1</v>
      </c>
      <c r="P5561" s="12" t="n"/>
      <c r="Q5561" s="12" t="n"/>
      <c r="R5561" s="12" t="n"/>
      <c r="S5561" s="12" t="inlineStr">
        <is>
          <t>Duct bank</t>
        </is>
      </c>
      <c r="T5561" s="15" t="n">
        <v>350</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c r="AA5561" s="12">
        <f>N5561*O5561</f>
        <v/>
      </c>
    </row>
    <row r="5562">
      <c r="A5562" s="12" t="inlineStr">
        <is>
          <t>K-I-0124</t>
        </is>
      </c>
      <c r="B5562" s="12" t="inlineStr">
        <is>
          <t>K</t>
        </is>
      </c>
      <c r="C5562" s="12" t="inlineStr">
        <is>
          <t>Fuel supply (adjacent market)</t>
        </is>
      </c>
      <c r="D5562" s="12" t="inlineStr">
        <is>
          <t>Discrete device to JB JB-LNG-T8-DI01: 4 x 1 pr (field cables)</t>
        </is>
      </c>
      <c r="E5562" s="12" t="inlineStr">
        <is>
          <t>LNG-T8</t>
        </is>
      </c>
      <c r="F5562" s="12" t="inlineStr">
        <is>
          <t>LNG 11: tank 8, Chart HS 50000 (51,780 gal)</t>
        </is>
      </c>
      <c r="G5562" s="12" t="inlineStr">
        <is>
          <t>JB-LNG-T8-DI01</t>
        </is>
      </c>
      <c r="H5562" s="12" t="inlineStr">
        <is>
          <t>LNG 11: tank 8, Chart HS 50000 (51,780 gal)</t>
        </is>
      </c>
      <c r="I5562" s="12" t="inlineStr">
        <is>
          <t>Instrumentation</t>
        </is>
      </c>
      <c r="J5562" s="12" t="inlineStr">
        <is>
          <t>Instrumentation ITC / PLTC, IS, #18 shielded pairs, blue jacket</t>
        </is>
      </c>
      <c r="K5562" s="12" t="inlineStr">
        <is>
          <t>ITC|1 pr|16</t>
        </is>
      </c>
      <c r="L5562" s="12" t="inlineStr">
        <is>
          <t>1 pr</t>
        </is>
      </c>
      <c r="M5562" s="12" t="inlineStr">
        <is>
          <t>16</t>
        </is>
      </c>
      <c r="N5562" s="12" t="n">
        <v>4</v>
      </c>
      <c r="O5562" s="12" t="n">
        <v>1</v>
      </c>
      <c r="P5562" s="12" t="n"/>
      <c r="Q5562" s="12" t="n"/>
      <c r="R5562" s="12" t="n"/>
      <c r="S5562" s="12" t="inlineStr">
        <is>
          <t>Tray / conduit</t>
        </is>
      </c>
      <c r="T5562" s="15" t="n">
        <v>77</v>
      </c>
      <c r="U5562" s="15" t="n">
        <v>10</v>
      </c>
      <c r="V5562" s="15">
        <f>ROUNDUP((T5562+U5562+2*'Read Me'!$B$13)*(1+'Read Me'!$B$12),-1)</f>
        <v/>
      </c>
      <c r="W5562" s="15">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K-I-0125</t>
        </is>
      </c>
      <c r="B5563" s="12" t="inlineStr">
        <is>
          <t>K</t>
        </is>
      </c>
      <c r="C5563" s="12" t="inlineStr">
        <is>
          <t>Fuel supply (adjacent market)</t>
        </is>
      </c>
      <c r="D5563" s="12" t="inlineStr">
        <is>
          <t>Home run JB-LNG-T8-DI01 to the control / marshalling room</t>
        </is>
      </c>
      <c r="E5563" s="12" t="inlineStr"/>
      <c r="F5563" s="12" t="inlineStr">
        <is>
          <t>LNG 17: LNG e-house (13.8 kV / 480 V)</t>
        </is>
      </c>
      <c r="G5563" s="12" t="inlineStr">
        <is>
          <t>JB-LNG-T8-DI01</t>
        </is>
      </c>
      <c r="H5563" s="12" t="inlineStr">
        <is>
          <t>LNG 11: tank 8, Chart HS 50000 (51,780 gal)</t>
        </is>
      </c>
      <c r="I5563" s="12" t="inlineStr">
        <is>
          <t>Instrumentation</t>
        </is>
      </c>
      <c r="J5563" s="12" t="inlineStr">
        <is>
          <t>Instrumentation ITC / PLTC, IS, #18 shielded pairs, blue jacket</t>
        </is>
      </c>
      <c r="K5563" s="12" t="inlineStr">
        <is>
          <t>ITC|24 pr|18</t>
        </is>
      </c>
      <c r="L5563" s="12" t="inlineStr">
        <is>
          <t>24 pr</t>
        </is>
      </c>
      <c r="M5563" s="12" t="inlineStr">
        <is>
          <t>18</t>
        </is>
      </c>
      <c r="N5563" s="12" t="n">
        <v>1</v>
      </c>
      <c r="O5563" s="12" t="n">
        <v>1</v>
      </c>
      <c r="P5563" s="12" t="n"/>
      <c r="Q5563" s="12" t="n"/>
      <c r="R5563" s="12" t="n"/>
      <c r="S5563" s="12" t="inlineStr">
        <is>
          <t>Duct bank</t>
        </is>
      </c>
      <c r="T5563" s="15" t="n">
        <v>350</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c r="AA5563" s="12">
        <f>N5563*O5563</f>
        <v/>
      </c>
    </row>
    <row r="5564">
      <c r="A5564" s="12" t="inlineStr">
        <is>
          <t>K-I-0126</t>
        </is>
      </c>
      <c r="B5564" s="12" t="inlineStr">
        <is>
          <t>K</t>
        </is>
      </c>
      <c r="C5564" s="12" t="inlineStr">
        <is>
          <t>Fuel supply (adjacent market)</t>
        </is>
      </c>
      <c r="D5564" s="12" t="inlineStr">
        <is>
          <t>Analog instrument to JB JB-LNG 12: spill impo-AI01: 12 x 1 pr (field cables)</t>
        </is>
      </c>
      <c r="E5564" s="12" t="inlineStr"/>
      <c r="F5564" s="12" t="inlineStr">
        <is>
          <t>LNG 12: spill impoundment (NFPA 59A, to verify)</t>
        </is>
      </c>
      <c r="G5564" s="12" t="inlineStr">
        <is>
          <t>JB-LNG 12: spill impo-AI01</t>
        </is>
      </c>
      <c r="H5564" s="12" t="inlineStr">
        <is>
          <t>LNG 12: spill impoundment (NFPA 59A, to verify)</t>
        </is>
      </c>
      <c r="I5564" s="12" t="inlineStr">
        <is>
          <t>Instrumentation</t>
        </is>
      </c>
      <c r="J5564" s="12" t="inlineStr">
        <is>
          <t>Instrumentation ITC / PLTC, IS, #18 shielded pairs, blue jacket</t>
        </is>
      </c>
      <c r="K5564" s="12" t="inlineStr">
        <is>
          <t>ITC|1 pr|16</t>
        </is>
      </c>
      <c r="L5564" s="12" t="inlineStr">
        <is>
          <t>1 pr</t>
        </is>
      </c>
      <c r="M5564" s="12" t="inlineStr">
        <is>
          <t>16</t>
        </is>
      </c>
      <c r="N5564" s="12" t="n">
        <v>12</v>
      </c>
      <c r="O5564" s="12" t="n">
        <v>1</v>
      </c>
      <c r="P5564" s="12" t="n"/>
      <c r="Q5564" s="12" t="n"/>
      <c r="R5564" s="12" t="n"/>
      <c r="S5564" s="12" t="inlineStr">
        <is>
          <t>Tray / conduit</t>
        </is>
      </c>
      <c r="T5564" s="15" t="n">
        <v>170</v>
      </c>
      <c r="U5564" s="15" t="n">
        <v>10</v>
      </c>
      <c r="V5564" s="15">
        <f>ROUNDUP((T5564+U5564+2*'Read Me'!$B$13)*(1+'Read Me'!$B$12),-1)</f>
        <v/>
      </c>
      <c r="W5564" s="15">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K-I-0127</t>
        </is>
      </c>
      <c r="B5565" s="12" t="inlineStr">
        <is>
          <t>K</t>
        </is>
      </c>
      <c r="C5565" s="12" t="inlineStr">
        <is>
          <t>Fuel supply (adjacent market)</t>
        </is>
      </c>
      <c r="D5565" s="12" t="inlineStr">
        <is>
          <t>Home run JB-LNG 12: spill impo-AI01 to the control / marshalling room</t>
        </is>
      </c>
      <c r="E5565" s="12" t="inlineStr"/>
      <c r="F5565" s="12" t="inlineStr">
        <is>
          <t>LNG 17: LNG e-house (13.8 kV / 480 V)</t>
        </is>
      </c>
      <c r="G5565" s="12" t="inlineStr">
        <is>
          <t>JB-LNG 12: spill impo-AI01</t>
        </is>
      </c>
      <c r="H5565" s="12" t="inlineStr">
        <is>
          <t>LNG 12: spill impoundment (NFPA 59A, to verify)</t>
        </is>
      </c>
      <c r="I5565" s="12" t="inlineStr">
        <is>
          <t>Instrumentation</t>
        </is>
      </c>
      <c r="J5565" s="12" t="inlineStr">
        <is>
          <t>Instrumentation ITC / PLTC, IS, #18 shielded pairs, blue jacket</t>
        </is>
      </c>
      <c r="K5565" s="12" t="inlineStr">
        <is>
          <t>ITC|24 pr|18</t>
        </is>
      </c>
      <c r="L5565" s="12" t="inlineStr">
        <is>
          <t>24 pr</t>
        </is>
      </c>
      <c r="M5565" s="12" t="inlineStr">
        <is>
          <t>18</t>
        </is>
      </c>
      <c r="N5565" s="12" t="n">
        <v>1</v>
      </c>
      <c r="O5565" s="12" t="n">
        <v>1</v>
      </c>
      <c r="P5565" s="12" t="n"/>
      <c r="Q5565" s="12" t="n"/>
      <c r="R5565" s="12" t="n"/>
      <c r="S5565" s="12" t="inlineStr">
        <is>
          <t>Duct bank</t>
        </is>
      </c>
      <c r="T5565" s="15" t="n">
        <v>230</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c r="AA5565" s="12">
        <f>N5565*O5565</f>
        <v/>
      </c>
    </row>
    <row r="5566">
      <c r="A5566" s="12" t="inlineStr">
        <is>
          <t>K-I-0128</t>
        </is>
      </c>
      <c r="B5566" s="12" t="inlineStr">
        <is>
          <t>K</t>
        </is>
      </c>
      <c r="C5566" s="12" t="inlineStr">
        <is>
          <t>Fuel supply (adjacent market)</t>
        </is>
      </c>
      <c r="D5566" s="12" t="inlineStr">
        <is>
          <t>Discrete device to JB JB-LNG 12: spill impo-DI01: 12 x 1 pr (field cables)</t>
        </is>
      </c>
      <c r="E5566" s="12" t="inlineStr"/>
      <c r="F5566" s="12" t="inlineStr">
        <is>
          <t>LNG 12: spill impoundment (NFPA 59A, to verify)</t>
        </is>
      </c>
      <c r="G5566" s="12" t="inlineStr">
        <is>
          <t>JB-LNG 12: spill impo-DI01</t>
        </is>
      </c>
      <c r="H5566" s="12" t="inlineStr">
        <is>
          <t>LNG 12: spill impoundment (NFPA 59A, to verify)</t>
        </is>
      </c>
      <c r="I5566" s="12" t="inlineStr">
        <is>
          <t>Instrumentation</t>
        </is>
      </c>
      <c r="J5566" s="12" t="inlineStr">
        <is>
          <t>Instrumentation ITC / PLTC, IS, #18 shielded pairs, blue jacket</t>
        </is>
      </c>
      <c r="K5566" s="12" t="inlineStr">
        <is>
          <t>ITC|1 pr|16</t>
        </is>
      </c>
      <c r="L5566" s="12" t="inlineStr">
        <is>
          <t>1 pr</t>
        </is>
      </c>
      <c r="M5566" s="12" t="inlineStr">
        <is>
          <t>16</t>
        </is>
      </c>
      <c r="N5566" s="12" t="n">
        <v>12</v>
      </c>
      <c r="O5566" s="12" t="n">
        <v>1</v>
      </c>
      <c r="P5566" s="12" t="n"/>
      <c r="Q5566" s="12" t="n"/>
      <c r="R5566" s="12" t="n"/>
      <c r="S5566" s="12" t="inlineStr">
        <is>
          <t>Tray / conduit</t>
        </is>
      </c>
      <c r="T5566" s="15" t="n">
        <v>170</v>
      </c>
      <c r="U5566" s="15" t="n">
        <v>10</v>
      </c>
      <c r="V5566" s="15">
        <f>ROUNDUP((T5566+U5566+2*'Read Me'!$B$13)*(1+'Read Me'!$B$12),-1)</f>
        <v/>
      </c>
      <c r="W5566" s="15">
        <f>V5566*N5566*O5566</f>
        <v/>
      </c>
      <c r="X5566" s="12">
        <f>IF(LEFT(I5566,2)="MV",2*N5566*IF(L5566="1/C",O5566,1),0)</f>
        <v/>
      </c>
      <c r="Y5566" s="12">
        <f>IF(OR(LEFT(K5566,4)="LVAX",LEFT(K5566,6)="MV15AX",LEFT(K5566,4)="CTAX",LEFT(K5566,2)="W|"),2*N5566*O5566,0)</f>
        <v/>
      </c>
      <c r="Z5566" s="12" t="inlineStr">
        <is>
          <t>device-to-JB field wiring, one cable per device</t>
        </is>
      </c>
      <c r="AA5566" s="12">
        <f>N5566*O5566</f>
        <v/>
      </c>
    </row>
    <row r="5567">
      <c r="A5567" s="12" t="inlineStr">
        <is>
          <t>K-I-0129</t>
        </is>
      </c>
      <c r="B5567" s="12" t="inlineStr">
        <is>
          <t>K</t>
        </is>
      </c>
      <c r="C5567" s="12" t="inlineStr">
        <is>
          <t>Fuel supply (adjacent market)</t>
        </is>
      </c>
      <c r="D5567" s="12" t="inlineStr">
        <is>
          <t>Home run JB-LNG 12: spill impo-DI01 to the control / marshalling room</t>
        </is>
      </c>
      <c r="E5567" s="12" t="inlineStr"/>
      <c r="F5567" s="12" t="inlineStr">
        <is>
          <t>LNG 17: LNG e-house (13.8 kV / 480 V)</t>
        </is>
      </c>
      <c r="G5567" s="12" t="inlineStr">
        <is>
          <t>JB-LNG 12: spill impo-DI01</t>
        </is>
      </c>
      <c r="H5567" s="12" t="inlineStr">
        <is>
          <t>LNG 12: spill impoundment (NFPA 59A, to verify)</t>
        </is>
      </c>
      <c r="I5567" s="12" t="inlineStr">
        <is>
          <t>Instrumentation</t>
        </is>
      </c>
      <c r="J5567" s="12" t="inlineStr">
        <is>
          <t>Instrumentation ITC / PLTC, IS, #18 shielded pairs, blue jacket</t>
        </is>
      </c>
      <c r="K5567" s="12" t="inlineStr">
        <is>
          <t>ITC|24 pr|18</t>
        </is>
      </c>
      <c r="L5567" s="12" t="inlineStr">
        <is>
          <t>24 pr</t>
        </is>
      </c>
      <c r="M5567" s="12" t="inlineStr">
        <is>
          <t>18</t>
        </is>
      </c>
      <c r="N5567" s="12" t="n">
        <v>1</v>
      </c>
      <c r="O5567" s="12" t="n">
        <v>1</v>
      </c>
      <c r="P5567" s="12" t="n"/>
      <c r="Q5567" s="12" t="n"/>
      <c r="R5567" s="12" t="n"/>
      <c r="S5567" s="12" t="inlineStr">
        <is>
          <t>Duct bank</t>
        </is>
      </c>
      <c r="T5567" s="15" t="n">
        <v>230</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c r="AA5567" s="12">
        <f>N5567*O5567</f>
        <v/>
      </c>
    </row>
    <row r="5568">
      <c r="A5568" s="12" t="inlineStr">
        <is>
          <t>K-I-0130</t>
        </is>
      </c>
      <c r="B5568" s="12" t="inlineStr">
        <is>
          <t>K</t>
        </is>
      </c>
      <c r="C5568" s="12" t="inlineStr">
        <is>
          <t>Fuel supply (adjacent market)</t>
        </is>
      </c>
      <c r="D5568" s="12" t="inlineStr">
        <is>
          <t>Analog instrument to JB JB-LNG 13: send-out p-AI01: 12 x 1 pr (field cables)</t>
        </is>
      </c>
      <c r="E5568" s="12" t="inlineStr"/>
      <c r="F5568" s="12" t="inlineStr">
        <is>
          <t>LNG 13: send-out pumps 2 x 100%</t>
        </is>
      </c>
      <c r="G5568" s="12" t="inlineStr">
        <is>
          <t>JB-LNG 13: send-out p-AI01</t>
        </is>
      </c>
      <c r="H5568" s="12" t="inlineStr">
        <is>
          <t>LNG 13: send-out pumps 2 x 100%</t>
        </is>
      </c>
      <c r="I5568" s="12" t="inlineStr">
        <is>
          <t>Instrumentation</t>
        </is>
      </c>
      <c r="J5568" s="12" t="inlineStr">
        <is>
          <t>Instrumentation ITC / PLTC, IS, #18 shielded pairs, blue jacket</t>
        </is>
      </c>
      <c r="K5568" s="12" t="inlineStr">
        <is>
          <t>ITC|1 pr|16</t>
        </is>
      </c>
      <c r="L5568" s="12" t="inlineStr">
        <is>
          <t>1 pr</t>
        </is>
      </c>
      <c r="M5568" s="12" t="inlineStr">
        <is>
          <t>16</t>
        </is>
      </c>
      <c r="N5568" s="12" t="n">
        <v>12</v>
      </c>
      <c r="O5568" s="12" t="n">
        <v>1</v>
      </c>
      <c r="P5568" s="12" t="n"/>
      <c r="Q5568" s="12" t="n"/>
      <c r="R5568" s="12" t="n"/>
      <c r="S5568" s="12" t="inlineStr">
        <is>
          <t>Tray / conduit</t>
        </is>
      </c>
      <c r="T5568" s="15" t="n">
        <v>63</v>
      </c>
      <c r="U5568" s="15" t="n">
        <v>10</v>
      </c>
      <c r="V5568" s="15">
        <f>ROUNDUP((T5568+U5568+2*'Read Me'!$B$13)*(1+'Read Me'!$B$12),-1)</f>
        <v/>
      </c>
      <c r="W5568" s="15">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K-I-0131</t>
        </is>
      </c>
      <c r="B5569" s="12" t="inlineStr">
        <is>
          <t>K</t>
        </is>
      </c>
      <c r="C5569" s="12" t="inlineStr">
        <is>
          <t>Fuel supply (adjacent market)</t>
        </is>
      </c>
      <c r="D5569" s="12" t="inlineStr">
        <is>
          <t>Home run JB-LNG 13: send-out p-AI01 to the control / marshalling room</t>
        </is>
      </c>
      <c r="E5569" s="12" t="inlineStr"/>
      <c r="F5569" s="12" t="inlineStr">
        <is>
          <t>LNG 17: LNG e-house (13.8 kV / 480 V)</t>
        </is>
      </c>
      <c r="G5569" s="12" t="inlineStr">
        <is>
          <t>JB-LNG 13: send-out p-AI01</t>
        </is>
      </c>
      <c r="H5569" s="12" t="inlineStr">
        <is>
          <t>LNG 13: send-out pumps 2 x 100%</t>
        </is>
      </c>
      <c r="I5569" s="12" t="inlineStr">
        <is>
          <t>Instrumentation</t>
        </is>
      </c>
      <c r="J5569" s="12" t="inlineStr">
        <is>
          <t>Instrumentation ITC / PLTC, IS, #18 shielded pairs, blue jacket</t>
        </is>
      </c>
      <c r="K5569" s="12" t="inlineStr">
        <is>
          <t>ITC|24 pr|18</t>
        </is>
      </c>
      <c r="L5569" s="12" t="inlineStr">
        <is>
          <t>24 pr</t>
        </is>
      </c>
      <c r="M5569" s="12" t="inlineStr">
        <is>
          <t>18</t>
        </is>
      </c>
      <c r="N5569" s="12" t="n">
        <v>1</v>
      </c>
      <c r="O5569" s="12" t="n">
        <v>1</v>
      </c>
      <c r="P5569" s="12" t="n"/>
      <c r="Q5569" s="12" t="n"/>
      <c r="R5569" s="12" t="n"/>
      <c r="S5569" s="12" t="inlineStr">
        <is>
          <t>Duct bank</t>
        </is>
      </c>
      <c r="T5569" s="15" t="n">
        <v>110</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c r="AA5569" s="12">
        <f>N5569*O5569</f>
        <v/>
      </c>
    </row>
    <row r="5570">
      <c r="A5570" s="12" t="inlineStr">
        <is>
          <t>K-I-0132</t>
        </is>
      </c>
      <c r="B5570" s="12" t="inlineStr">
        <is>
          <t>K</t>
        </is>
      </c>
      <c r="C5570" s="12" t="inlineStr">
        <is>
          <t>Fuel supply (adjacent market)</t>
        </is>
      </c>
      <c r="D5570" s="12" t="inlineStr">
        <is>
          <t>Discrete device to JB JB-LNG 13: send-out p-DI01: 12 x 1 pr (field cables)</t>
        </is>
      </c>
      <c r="E5570" s="12" t="inlineStr"/>
      <c r="F5570" s="12" t="inlineStr">
        <is>
          <t>LNG 13: send-out pumps 2 x 100%</t>
        </is>
      </c>
      <c r="G5570" s="12" t="inlineStr">
        <is>
          <t>JB-LNG 13: send-out p-DI01</t>
        </is>
      </c>
      <c r="H5570" s="12" t="inlineStr">
        <is>
          <t>LNG 13: send-out pumps 2 x 100%</t>
        </is>
      </c>
      <c r="I5570" s="12" t="inlineStr">
        <is>
          <t>Instrumentation</t>
        </is>
      </c>
      <c r="J5570" s="12" t="inlineStr">
        <is>
          <t>Instrumentation ITC / PLTC, IS, #18 shielded pairs, blue jacket</t>
        </is>
      </c>
      <c r="K5570" s="12" t="inlineStr">
        <is>
          <t>ITC|1 pr|16</t>
        </is>
      </c>
      <c r="L5570" s="12" t="inlineStr">
        <is>
          <t>1 pr</t>
        </is>
      </c>
      <c r="M5570" s="12" t="inlineStr">
        <is>
          <t>16</t>
        </is>
      </c>
      <c r="N5570" s="12" t="n">
        <v>12</v>
      </c>
      <c r="O5570" s="12" t="n">
        <v>1</v>
      </c>
      <c r="P5570" s="12" t="n"/>
      <c r="Q5570" s="12" t="n"/>
      <c r="R5570" s="12" t="n"/>
      <c r="S5570" s="12" t="inlineStr">
        <is>
          <t>Tray / conduit</t>
        </is>
      </c>
      <c r="T5570" s="15" t="n">
        <v>63</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K-I-0133</t>
        </is>
      </c>
      <c r="B5571" s="12" t="inlineStr">
        <is>
          <t>K</t>
        </is>
      </c>
      <c r="C5571" s="12" t="inlineStr">
        <is>
          <t>Fuel supply (adjacent market)</t>
        </is>
      </c>
      <c r="D5571" s="12" t="inlineStr">
        <is>
          <t>Home run JB-LNG 13: send-out p-DI01 to the control / marshalling room</t>
        </is>
      </c>
      <c r="E5571" s="12" t="inlineStr"/>
      <c r="F5571" s="12" t="inlineStr">
        <is>
          <t>LNG 17: LNG e-house (13.8 kV / 480 V)</t>
        </is>
      </c>
      <c r="G5571" s="12" t="inlineStr">
        <is>
          <t>JB-LNG 13: send-out p-DI01</t>
        </is>
      </c>
      <c r="H5571" s="12" t="inlineStr">
        <is>
          <t>LNG 13: send-out pumps 2 x 100%</t>
        </is>
      </c>
      <c r="I5571" s="12" t="inlineStr">
        <is>
          <t>Instrumentation</t>
        </is>
      </c>
      <c r="J5571" s="12" t="inlineStr">
        <is>
          <t>Instrumentation ITC / PLTC, IS, #18 shielded pairs, blue jacket</t>
        </is>
      </c>
      <c r="K5571" s="12" t="inlineStr">
        <is>
          <t>ITC|24 pr|18</t>
        </is>
      </c>
      <c r="L5571" s="12" t="inlineStr">
        <is>
          <t>24 pr</t>
        </is>
      </c>
      <c r="M5571" s="12" t="inlineStr">
        <is>
          <t>18</t>
        </is>
      </c>
      <c r="N5571" s="12" t="n">
        <v>1</v>
      </c>
      <c r="O5571" s="12" t="n">
        <v>1</v>
      </c>
      <c r="P5571" s="12" t="n"/>
      <c r="Q5571" s="12" t="n"/>
      <c r="R5571" s="12" t="n"/>
      <c r="S5571" s="12" t="inlineStr">
        <is>
          <t>Duct bank</t>
        </is>
      </c>
      <c r="T5571" s="15" t="n">
        <v>110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c r="AA5571" s="12">
        <f>N5571*O5571</f>
        <v/>
      </c>
    </row>
    <row r="5572">
      <c r="A5572" s="12" t="inlineStr">
        <is>
          <t>K-I-0134</t>
        </is>
      </c>
      <c r="B5572" s="12" t="inlineStr">
        <is>
          <t>K</t>
        </is>
      </c>
      <c r="C5572" s="12" t="inlineStr">
        <is>
          <t>Fuel supply (adjacent market)</t>
        </is>
      </c>
      <c r="D5572" s="12" t="inlineStr">
        <is>
          <t>Analog instrument to JB JB-LNG 14: vaporizers-AI01: 12 x 1 pr (field cables)</t>
        </is>
      </c>
      <c r="E5572" s="12" t="inlineStr"/>
      <c r="F5572" s="12" t="inlineStr">
        <is>
          <t>LNG 14: vaporizers + glycol heater</t>
        </is>
      </c>
      <c r="G5572" s="12" t="inlineStr">
        <is>
          <t>JB-LNG 14: vaporizers-AI01</t>
        </is>
      </c>
      <c r="H5572" s="12" t="inlineStr">
        <is>
          <t>LNG 14: vaporizers + glycol heater</t>
        </is>
      </c>
      <c r="I5572" s="12" t="inlineStr">
        <is>
          <t>Instrumentation</t>
        </is>
      </c>
      <c r="J5572" s="12" t="inlineStr">
        <is>
          <t>Instrumentation ITC / PLTC, IS, #18 shielded pairs, blue jacket</t>
        </is>
      </c>
      <c r="K5572" s="12" t="inlineStr">
        <is>
          <t>ITC|1 pr|16</t>
        </is>
      </c>
      <c r="L5572" s="12" t="inlineStr">
        <is>
          <t>1 pr</t>
        </is>
      </c>
      <c r="M5572" s="12" t="inlineStr">
        <is>
          <t>16</t>
        </is>
      </c>
      <c r="N5572" s="12" t="n">
        <v>12</v>
      </c>
      <c r="O5572" s="12" t="n">
        <v>1</v>
      </c>
      <c r="P5572" s="12" t="n"/>
      <c r="Q5572" s="12" t="n"/>
      <c r="R5572" s="12" t="n"/>
      <c r="S5572" s="12" t="inlineStr">
        <is>
          <t>Tray / conduit</t>
        </is>
      </c>
      <c r="T5572" s="15" t="n">
        <v>122</v>
      </c>
      <c r="U5572" s="15" t="n">
        <v>10</v>
      </c>
      <c r="V5572" s="15">
        <f>ROUNDUP((T5572+U5572+2*'Read Me'!$B$13)*(1+'Read Me'!$B$12),-1)</f>
        <v/>
      </c>
      <c r="W5572" s="15">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K-I-0135</t>
        </is>
      </c>
      <c r="B5573" s="12" t="inlineStr">
        <is>
          <t>K</t>
        </is>
      </c>
      <c r="C5573" s="12" t="inlineStr">
        <is>
          <t>Fuel supply (adjacent market)</t>
        </is>
      </c>
      <c r="D5573" s="12" t="inlineStr">
        <is>
          <t>Home run JB-LNG 14: vaporizers-AI01 to the control / marshalling room</t>
        </is>
      </c>
      <c r="E5573" s="12" t="inlineStr"/>
      <c r="F5573" s="12" t="inlineStr">
        <is>
          <t>LNG 17: LNG e-house (13.8 kV / 480 V)</t>
        </is>
      </c>
      <c r="G5573" s="12" t="inlineStr">
        <is>
          <t>JB-LNG 14: vaporizers-AI01</t>
        </is>
      </c>
      <c r="H5573" s="12" t="inlineStr">
        <is>
          <t>LNG 14: vaporizers + glycol heater</t>
        </is>
      </c>
      <c r="I5573" s="12" t="inlineStr">
        <is>
          <t>Instrumentation</t>
        </is>
      </c>
      <c r="J5573" s="12" t="inlineStr">
        <is>
          <t>Instrumentation ITC / PLTC, IS, #18 shielded pairs, blue jacket</t>
        </is>
      </c>
      <c r="K5573" s="12" t="inlineStr">
        <is>
          <t>ITC|24 pr|18</t>
        </is>
      </c>
      <c r="L5573" s="12" t="inlineStr">
        <is>
          <t>24 pr</t>
        </is>
      </c>
      <c r="M5573" s="12" t="inlineStr">
        <is>
          <t>18</t>
        </is>
      </c>
      <c r="N5573" s="12" t="n">
        <v>1</v>
      </c>
      <c r="O5573" s="12" t="n">
        <v>1</v>
      </c>
      <c r="P5573" s="12" t="n"/>
      <c r="Q5573" s="12" t="n"/>
      <c r="R5573" s="12" t="n"/>
      <c r="S5573" s="12" t="inlineStr">
        <is>
          <t>Duct bank</t>
        </is>
      </c>
      <c r="T5573" s="15" t="n">
        <v>259</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c r="AA5573" s="12">
        <f>N5573*O5573</f>
        <v/>
      </c>
    </row>
    <row r="5574">
      <c r="A5574" s="12" t="inlineStr">
        <is>
          <t>K-I-0136</t>
        </is>
      </c>
      <c r="B5574" s="12" t="inlineStr">
        <is>
          <t>K</t>
        </is>
      </c>
      <c r="C5574" s="12" t="inlineStr">
        <is>
          <t>Fuel supply (adjacent market)</t>
        </is>
      </c>
      <c r="D5574" s="12" t="inlineStr">
        <is>
          <t>Discrete device to JB JB-LNG 14: vaporizers-DI01: 12 x 1 pr (field cables)</t>
        </is>
      </c>
      <c r="E5574" s="12" t="inlineStr"/>
      <c r="F5574" s="12" t="inlineStr">
        <is>
          <t>LNG 14: vaporizers + glycol heater</t>
        </is>
      </c>
      <c r="G5574" s="12" t="inlineStr">
        <is>
          <t>JB-LNG 14: vaporizers-DI01</t>
        </is>
      </c>
      <c r="H5574" s="12" t="inlineStr">
        <is>
          <t>LNG 14: vaporizers + glycol heater</t>
        </is>
      </c>
      <c r="I5574" s="12" t="inlineStr">
        <is>
          <t>Instrumentation</t>
        </is>
      </c>
      <c r="J5574" s="12" t="inlineStr">
        <is>
          <t>Instrumentation ITC / PLTC, IS, #18 shielded pairs, blue jacket</t>
        </is>
      </c>
      <c r="K5574" s="12" t="inlineStr">
        <is>
          <t>ITC|1 pr|16</t>
        </is>
      </c>
      <c r="L5574" s="12" t="inlineStr">
        <is>
          <t>1 pr</t>
        </is>
      </c>
      <c r="M5574" s="12" t="inlineStr">
        <is>
          <t>16</t>
        </is>
      </c>
      <c r="N5574" s="12" t="n">
        <v>12</v>
      </c>
      <c r="O5574" s="12" t="n">
        <v>1</v>
      </c>
      <c r="P5574" s="12" t="n"/>
      <c r="Q5574" s="12" t="n"/>
      <c r="R5574" s="12" t="n"/>
      <c r="S5574" s="12" t="inlineStr">
        <is>
          <t>Tray / conduit</t>
        </is>
      </c>
      <c r="T5574" s="15" t="n">
        <v>122</v>
      </c>
      <c r="U5574" s="15" t="n">
        <v>10</v>
      </c>
      <c r="V5574" s="15">
        <f>ROUNDUP((T5574+U5574+2*'Read Me'!$B$13)*(1+'Read Me'!$B$12),-1)</f>
        <v/>
      </c>
      <c r="W5574" s="15">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K-I-0137</t>
        </is>
      </c>
      <c r="B5575" s="12" t="inlineStr">
        <is>
          <t>K</t>
        </is>
      </c>
      <c r="C5575" s="12" t="inlineStr">
        <is>
          <t>Fuel supply (adjacent market)</t>
        </is>
      </c>
      <c r="D5575" s="12" t="inlineStr">
        <is>
          <t>Home run JB-LNG 14: vaporizers-DI01 to the control / marshalling room</t>
        </is>
      </c>
      <c r="E5575" s="12" t="inlineStr"/>
      <c r="F5575" s="12" t="inlineStr">
        <is>
          <t>LNG 17: LNG e-house (13.8 kV / 480 V)</t>
        </is>
      </c>
      <c r="G5575" s="12" t="inlineStr">
        <is>
          <t>JB-LNG 14: vaporizers-DI01</t>
        </is>
      </c>
      <c r="H5575" s="12" t="inlineStr">
        <is>
          <t>LNG 14: vaporizers + glycol heater</t>
        </is>
      </c>
      <c r="I5575" s="12" t="inlineStr">
        <is>
          <t>Instrumentation</t>
        </is>
      </c>
      <c r="J5575" s="12" t="inlineStr">
        <is>
          <t>Instrumentation ITC / PLTC, IS, #18 shielded pairs, blue jacket</t>
        </is>
      </c>
      <c r="K5575" s="12" t="inlineStr">
        <is>
          <t>ITC|24 pr|18</t>
        </is>
      </c>
      <c r="L5575" s="12" t="inlineStr">
        <is>
          <t>24 pr</t>
        </is>
      </c>
      <c r="M5575" s="12" t="inlineStr">
        <is>
          <t>18</t>
        </is>
      </c>
      <c r="N5575" s="12" t="n">
        <v>1</v>
      </c>
      <c r="O5575" s="12" t="n">
        <v>1</v>
      </c>
      <c r="P5575" s="12" t="n"/>
      <c r="Q5575" s="12" t="n"/>
      <c r="R5575" s="12" t="n"/>
      <c r="S5575" s="12" t="inlineStr">
        <is>
          <t>Duct bank</t>
        </is>
      </c>
      <c r="T5575" s="15" t="n">
        <v>259</v>
      </c>
      <c r="U5575" s="15" t="n">
        <v>32</v>
      </c>
      <c r="V5575" s="15">
        <f>ROUNDUP((T5575+U5575+2*'Read Me'!$B$13)*(1+'Read Me'!$B$12),-1)</f>
        <v/>
      </c>
      <c r="W5575" s="15">
        <f>V5575*N5575*O5575</f>
        <v/>
      </c>
      <c r="X5575" s="12">
        <f>IF(LEFT(I5575,2)="MV",2*N5575*IF(L5575="1/C",O5575,1),0)</f>
        <v/>
      </c>
      <c r="Y5575" s="12">
        <f>IF(OR(LEFT(K5575,4)="LVAX",LEFT(K5575,6)="MV15AX",LEFT(K5575,4)="CTAX",LEFT(K5575,2)="W|"),2*N5575*O5575,0)</f>
        <v/>
      </c>
      <c r="Z5575" s="12" t="inlineStr"/>
      <c r="AA5575" s="12">
        <f>N5575*O5575</f>
        <v/>
      </c>
    </row>
    <row r="5576">
      <c r="A5576" s="12" t="inlineStr">
        <is>
          <t>K-I-0138</t>
        </is>
      </c>
      <c r="B5576" s="12" t="inlineStr">
        <is>
          <t>K</t>
        </is>
      </c>
      <c r="C5576" s="12" t="inlineStr">
        <is>
          <t>Fuel supply (adjacent market)</t>
        </is>
      </c>
      <c r="D5576" s="12" t="inlineStr">
        <is>
          <t>Analog instrument to JB JB-LNG 15: boil-off g-AI01: 12 x 1 pr (field cables)</t>
        </is>
      </c>
      <c r="E5576" s="12" t="inlineStr"/>
      <c r="F5576" s="12" t="inlineStr">
        <is>
          <t>LNG 15: boil-off gas compressor</t>
        </is>
      </c>
      <c r="G5576" s="12" t="inlineStr">
        <is>
          <t>JB-LNG 15: boil-off g-AI01</t>
        </is>
      </c>
      <c r="H5576" s="12" t="inlineStr">
        <is>
          <t>LNG 15: boil-off gas compressor</t>
        </is>
      </c>
      <c r="I5576" s="12" t="inlineStr">
        <is>
          <t>Instrumentation</t>
        </is>
      </c>
      <c r="J5576" s="12" t="inlineStr">
        <is>
          <t>Instrumentation ITC / PLTC, IS, #18 shielded pairs, blue jacket</t>
        </is>
      </c>
      <c r="K5576" s="12" t="inlineStr">
        <is>
          <t>ITC|1 pr|16</t>
        </is>
      </c>
      <c r="L5576" s="12" t="inlineStr">
        <is>
          <t>1 pr</t>
        </is>
      </c>
      <c r="M5576" s="12" t="inlineStr">
        <is>
          <t>16</t>
        </is>
      </c>
      <c r="N5576" s="12" t="n">
        <v>12</v>
      </c>
      <c r="O5576" s="12" t="n">
        <v>1</v>
      </c>
      <c r="P5576" s="12" t="n"/>
      <c r="Q5576" s="12" t="n"/>
      <c r="R5576" s="12" t="n"/>
      <c r="S5576" s="12" t="inlineStr">
        <is>
          <t>Tray / conduit</t>
        </is>
      </c>
      <c r="T5576" s="15" t="n">
        <v>67</v>
      </c>
      <c r="U5576" s="15" t="n">
        <v>10</v>
      </c>
      <c r="V5576" s="15">
        <f>ROUNDUP((T5576+U5576+2*'Read Me'!$B$13)*(1+'Read Me'!$B$12),-1)</f>
        <v/>
      </c>
      <c r="W5576" s="15">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K-I-0139</t>
        </is>
      </c>
      <c r="B5577" s="12" t="inlineStr">
        <is>
          <t>K</t>
        </is>
      </c>
      <c r="C5577" s="12" t="inlineStr">
        <is>
          <t>Fuel supply (adjacent market)</t>
        </is>
      </c>
      <c r="D5577" s="12" t="inlineStr">
        <is>
          <t>Home run JB-LNG 15: boil-off g-AI01 to the control / marshalling room</t>
        </is>
      </c>
      <c r="E5577" s="12" t="inlineStr"/>
      <c r="F5577" s="12" t="inlineStr">
        <is>
          <t>LNG 17: LNG e-house (13.8 kV / 480 V)</t>
        </is>
      </c>
      <c r="G5577" s="12" t="inlineStr">
        <is>
          <t>JB-LNG 15: boil-off g-AI01</t>
        </is>
      </c>
      <c r="H5577" s="12" t="inlineStr">
        <is>
          <t>LNG 15: boil-off gas compressor</t>
        </is>
      </c>
      <c r="I5577" s="12" t="inlineStr">
        <is>
          <t>Instrumentation</t>
        </is>
      </c>
      <c r="J5577" s="12" t="inlineStr">
        <is>
          <t>Instrumentation ITC / PLTC, IS, #18 shielded pairs, blue jacket</t>
        </is>
      </c>
      <c r="K5577" s="12" t="inlineStr">
        <is>
          <t>ITC|24 pr|18</t>
        </is>
      </c>
      <c r="L5577" s="12" t="inlineStr">
        <is>
          <t>24 pr</t>
        </is>
      </c>
      <c r="M5577" s="12" t="inlineStr">
        <is>
          <t>18</t>
        </is>
      </c>
      <c r="N5577" s="12" t="n">
        <v>1</v>
      </c>
      <c r="O5577" s="12" t="n">
        <v>1</v>
      </c>
      <c r="P5577" s="12" t="n"/>
      <c r="Q5577" s="12" t="n"/>
      <c r="R5577" s="12" t="n"/>
      <c r="S5577" s="12" t="inlineStr">
        <is>
          <t>Duct bank</t>
        </is>
      </c>
      <c r="T5577" s="15" t="n">
        <v>25</v>
      </c>
      <c r="U5577" s="15" t="n">
        <v>54</v>
      </c>
      <c r="V5577" s="15">
        <f>ROUNDUP((T5577+U5577+2*'Read Me'!$B$13)*(1+'Read Me'!$B$12),-1)</f>
        <v/>
      </c>
      <c r="W5577" s="15">
        <f>V5577*N5577*O5577</f>
        <v/>
      </c>
      <c r="X5577" s="12">
        <f>IF(LEFT(I5577,2)="MV",2*N5577*IF(L5577="1/C",O5577,1),0)</f>
        <v/>
      </c>
      <c r="Y5577" s="12">
        <f>IF(OR(LEFT(K5577,4)="LVAX",LEFT(K5577,6)="MV15AX",LEFT(K5577,4)="CTAX",LEFT(K5577,2)="W|"),2*N5577*O5577,0)</f>
        <v/>
      </c>
      <c r="Z5577" s="12" t="inlineStr"/>
      <c r="AA5577" s="12">
        <f>N5577*O5577</f>
        <v/>
      </c>
    </row>
    <row r="5578">
      <c r="A5578" s="12" t="inlineStr">
        <is>
          <t>K-I-0140</t>
        </is>
      </c>
      <c r="B5578" s="12" t="inlineStr">
        <is>
          <t>K</t>
        </is>
      </c>
      <c r="C5578" s="12" t="inlineStr">
        <is>
          <t>Fuel supply (adjacent market)</t>
        </is>
      </c>
      <c r="D5578" s="12" t="inlineStr">
        <is>
          <t>Discrete device to JB JB-LNG 15: boil-off g-DI01: 12 x 1 pr (field cables)</t>
        </is>
      </c>
      <c r="E5578" s="12" t="inlineStr"/>
      <c r="F5578" s="12" t="inlineStr">
        <is>
          <t>LNG 15: boil-off gas compressor</t>
        </is>
      </c>
      <c r="G5578" s="12" t="inlineStr">
        <is>
          <t>JB-LNG 15: boil-off g-DI01</t>
        </is>
      </c>
      <c r="H5578" s="12" t="inlineStr">
        <is>
          <t>LNG 15: boil-off gas compressor</t>
        </is>
      </c>
      <c r="I5578" s="12" t="inlineStr">
        <is>
          <t>Instrumentation</t>
        </is>
      </c>
      <c r="J5578" s="12" t="inlineStr">
        <is>
          <t>Instrumentation ITC / PLTC, IS, #18 shielded pairs, blue jacket</t>
        </is>
      </c>
      <c r="K5578" s="12" t="inlineStr">
        <is>
          <t>ITC|1 pr|16</t>
        </is>
      </c>
      <c r="L5578" s="12" t="inlineStr">
        <is>
          <t>1 pr</t>
        </is>
      </c>
      <c r="M5578" s="12" t="inlineStr">
        <is>
          <t>16</t>
        </is>
      </c>
      <c r="N5578" s="12" t="n">
        <v>12</v>
      </c>
      <c r="O5578" s="12" t="n">
        <v>1</v>
      </c>
      <c r="P5578" s="12" t="n"/>
      <c r="Q5578" s="12" t="n"/>
      <c r="R5578" s="12" t="n"/>
      <c r="S5578" s="12" t="inlineStr">
        <is>
          <t>Tray / conduit</t>
        </is>
      </c>
      <c r="T5578" s="15" t="n">
        <v>67</v>
      </c>
      <c r="U5578" s="15" t="n">
        <v>10</v>
      </c>
      <c r="V5578" s="15">
        <f>ROUNDUP((T5578+U5578+2*'Read Me'!$B$13)*(1+'Read Me'!$B$12),-1)</f>
        <v/>
      </c>
      <c r="W5578" s="15">
        <f>V5578*N5578*O5578</f>
        <v/>
      </c>
      <c r="X5578" s="12">
        <f>IF(LEFT(I5578,2)="MV",2*N5578*IF(L5578="1/C",O5578,1),0)</f>
        <v/>
      </c>
      <c r="Y5578" s="12">
        <f>IF(OR(LEFT(K5578,4)="LVAX",LEFT(K5578,6)="MV15AX",LEFT(K5578,4)="CTAX",LEFT(K5578,2)="W|"),2*N5578*O5578,0)</f>
        <v/>
      </c>
      <c r="Z5578" s="12" t="inlineStr">
        <is>
          <t>device-to-JB field wiring, one cable per device</t>
        </is>
      </c>
      <c r="AA5578" s="12">
        <f>N5578*O5578</f>
        <v/>
      </c>
    </row>
    <row r="5579">
      <c r="A5579" s="12" t="inlineStr">
        <is>
          <t>K-I-0141</t>
        </is>
      </c>
      <c r="B5579" s="12" t="inlineStr">
        <is>
          <t>K</t>
        </is>
      </c>
      <c r="C5579" s="12" t="inlineStr">
        <is>
          <t>Fuel supply (adjacent market)</t>
        </is>
      </c>
      <c r="D5579" s="12" t="inlineStr">
        <is>
          <t>Home run JB-LNG 15: boil-off g-DI01 to the control / marshalling room</t>
        </is>
      </c>
      <c r="E5579" s="12" t="inlineStr"/>
      <c r="F5579" s="12" t="inlineStr">
        <is>
          <t>LNG 17: LNG e-house (13.8 kV / 480 V)</t>
        </is>
      </c>
      <c r="G5579" s="12" t="inlineStr">
        <is>
          <t>JB-LNG 15: boil-off g-DI01</t>
        </is>
      </c>
      <c r="H5579" s="12" t="inlineStr">
        <is>
          <t>LNG 15: boil-off gas compressor</t>
        </is>
      </c>
      <c r="I5579" s="12" t="inlineStr">
        <is>
          <t>Instrumentation</t>
        </is>
      </c>
      <c r="J5579" s="12" t="inlineStr">
        <is>
          <t>Instrumentation ITC / PLTC, IS, #18 shielded pairs, blue jacket</t>
        </is>
      </c>
      <c r="K5579" s="12" t="inlineStr">
        <is>
          <t>ITC|24 pr|18</t>
        </is>
      </c>
      <c r="L5579" s="12" t="inlineStr">
        <is>
          <t>24 pr</t>
        </is>
      </c>
      <c r="M5579" s="12" t="inlineStr">
        <is>
          <t>18</t>
        </is>
      </c>
      <c r="N5579" s="12" t="n">
        <v>1</v>
      </c>
      <c r="O5579" s="12" t="n">
        <v>1</v>
      </c>
      <c r="P5579" s="12" t="n"/>
      <c r="Q5579" s="12" t="n"/>
      <c r="R5579" s="12" t="n"/>
      <c r="S5579" s="12" t="inlineStr">
        <is>
          <t>Duct bank</t>
        </is>
      </c>
      <c r="T5579" s="15" t="n">
        <v>25</v>
      </c>
      <c r="U5579" s="15" t="n">
        <v>54</v>
      </c>
      <c r="V5579" s="15">
        <f>ROUNDUP((T5579+U5579+2*'Read Me'!$B$13)*(1+'Read Me'!$B$12),-1)</f>
        <v/>
      </c>
      <c r="W5579" s="15">
        <f>V5579*N5579*O5579</f>
        <v/>
      </c>
      <c r="X5579" s="12">
        <f>IF(LEFT(I5579,2)="MV",2*N5579*IF(L5579="1/C",O5579,1),0)</f>
        <v/>
      </c>
      <c r="Y5579" s="12">
        <f>IF(OR(LEFT(K5579,4)="LVAX",LEFT(K5579,6)="MV15AX",LEFT(K5579,4)="CTAX",LEFT(K5579,2)="W|"),2*N5579*O5579,0)</f>
        <v/>
      </c>
      <c r="Z5579" s="12" t="inlineStr"/>
      <c r="AA5579" s="12">
        <f>N5579*O5579</f>
        <v/>
      </c>
    </row>
    <row r="5580">
      <c r="A5580" s="12" t="inlineStr">
        <is>
          <t>K-I-0142</t>
        </is>
      </c>
      <c r="B5580" s="12" t="inlineStr">
        <is>
          <t>K</t>
        </is>
      </c>
      <c r="C5580" s="12" t="inlineStr">
        <is>
          <t>Fuel supply (adjacent market)</t>
        </is>
      </c>
      <c r="D5580" s="12" t="inlineStr">
        <is>
          <t>Analog instrument to JB JB-LNG 16: send-out m-AI01: 12 x 1 pr (field cables)</t>
        </is>
      </c>
      <c r="E5580" s="12" t="inlineStr"/>
      <c r="F5580" s="12" t="inlineStr">
        <is>
          <t>LNG 16: send-out metering + pressure control</t>
        </is>
      </c>
      <c r="G5580" s="12" t="inlineStr">
        <is>
          <t>JB-LNG 16: send-out m-AI01</t>
        </is>
      </c>
      <c r="H5580" s="12" t="inlineStr">
        <is>
          <t>LNG 16: send-out metering + pressure control</t>
        </is>
      </c>
      <c r="I5580" s="12" t="inlineStr">
        <is>
          <t>Instrumentation</t>
        </is>
      </c>
      <c r="J5580" s="12" t="inlineStr">
        <is>
          <t>Instrumentation ITC / PLTC, IS, #18 shielded pairs, blue jacket</t>
        </is>
      </c>
      <c r="K5580" s="12" t="inlineStr">
        <is>
          <t>ITC|1 pr|16</t>
        </is>
      </c>
      <c r="L5580" s="12" t="inlineStr">
        <is>
          <t>1 pr</t>
        </is>
      </c>
      <c r="M5580" s="12" t="inlineStr">
        <is>
          <t>16</t>
        </is>
      </c>
      <c r="N5580" s="12" t="n">
        <v>12</v>
      </c>
      <c r="O5580" s="12" t="n">
        <v>1</v>
      </c>
      <c r="P5580" s="12" t="n"/>
      <c r="Q5580" s="12" t="n"/>
      <c r="R5580" s="12" t="n"/>
      <c r="S5580" s="12" t="inlineStr">
        <is>
          <t>Tray / conduit</t>
        </is>
      </c>
      <c r="T5580" s="15" t="n">
        <v>74</v>
      </c>
      <c r="U5580" s="15" t="n">
        <v>10</v>
      </c>
      <c r="V5580" s="15">
        <f>ROUNDUP((T5580+U5580+2*'Read Me'!$B$13)*(1+'Read Me'!$B$12),-1)</f>
        <v/>
      </c>
      <c r="W5580" s="15">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K-I-0143</t>
        </is>
      </c>
      <c r="B5581" s="12" t="inlineStr">
        <is>
          <t>K</t>
        </is>
      </c>
      <c r="C5581" s="12" t="inlineStr">
        <is>
          <t>Fuel supply (adjacent market)</t>
        </is>
      </c>
      <c r="D5581" s="12" t="inlineStr">
        <is>
          <t>Home run JB-LNG 16: send-out m-AI01 to the control / marshalling room</t>
        </is>
      </c>
      <c r="E5581" s="12" t="inlineStr"/>
      <c r="F5581" s="12" t="inlineStr">
        <is>
          <t>LNG 17: LNG e-house (13.8 kV / 480 V)</t>
        </is>
      </c>
      <c r="G5581" s="12" t="inlineStr">
        <is>
          <t>JB-LNG 16: send-out m-AI01</t>
        </is>
      </c>
      <c r="H5581" s="12" t="inlineStr">
        <is>
          <t>LNG 16: send-out metering + pressure control</t>
        </is>
      </c>
      <c r="I5581" s="12" t="inlineStr">
        <is>
          <t>Instrumentation</t>
        </is>
      </c>
      <c r="J5581" s="12" t="inlineStr">
        <is>
          <t>Instrumentation ITC / PLTC, IS, #18 shielded pairs, blue jacket</t>
        </is>
      </c>
      <c r="K5581" s="12" t="inlineStr">
        <is>
          <t>ITC|24 pr|18</t>
        </is>
      </c>
      <c r="L5581" s="12" t="inlineStr">
        <is>
          <t>24 pr</t>
        </is>
      </c>
      <c r="M5581" s="12" t="inlineStr">
        <is>
          <t>18</t>
        </is>
      </c>
      <c r="N5581" s="12" t="n">
        <v>1</v>
      </c>
      <c r="O5581" s="12" t="n">
        <v>1</v>
      </c>
      <c r="P5581" s="12" t="n"/>
      <c r="Q5581" s="12" t="n"/>
      <c r="R5581" s="12" t="n"/>
      <c r="S5581" s="12" t="inlineStr">
        <is>
          <t>Duct bank</t>
        </is>
      </c>
      <c r="T5581" s="15" t="n">
        <v>20</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c r="AA5581" s="12">
        <f>N5581*O5581</f>
        <v/>
      </c>
    </row>
    <row r="5582">
      <c r="A5582" s="12" t="inlineStr">
        <is>
          <t>K-I-0144</t>
        </is>
      </c>
      <c r="B5582" s="12" t="inlineStr">
        <is>
          <t>K</t>
        </is>
      </c>
      <c r="C5582" s="12" t="inlineStr">
        <is>
          <t>Fuel supply (adjacent market)</t>
        </is>
      </c>
      <c r="D5582" s="12" t="inlineStr">
        <is>
          <t>Discrete device to JB JB-LNG 16: send-out m-DI01: 12 x 1 pr (field cables)</t>
        </is>
      </c>
      <c r="E5582" s="12" t="inlineStr"/>
      <c r="F5582" s="12" t="inlineStr">
        <is>
          <t>LNG 16: send-out metering + pressure control</t>
        </is>
      </c>
      <c r="G5582" s="12" t="inlineStr">
        <is>
          <t>JB-LNG 16: send-out m-DI01</t>
        </is>
      </c>
      <c r="H5582" s="12" t="inlineStr">
        <is>
          <t>LNG 16: send-out metering + pressure control</t>
        </is>
      </c>
      <c r="I5582" s="12" t="inlineStr">
        <is>
          <t>Instrumentation</t>
        </is>
      </c>
      <c r="J5582" s="12" t="inlineStr">
        <is>
          <t>Instrumentation ITC / PLTC, IS, #18 shielded pairs, blue jacket</t>
        </is>
      </c>
      <c r="K5582" s="12" t="inlineStr">
        <is>
          <t>ITC|1 pr|16</t>
        </is>
      </c>
      <c r="L5582" s="12" t="inlineStr">
        <is>
          <t>1 pr</t>
        </is>
      </c>
      <c r="M5582" s="12" t="inlineStr">
        <is>
          <t>16</t>
        </is>
      </c>
      <c r="N5582" s="12" t="n">
        <v>12</v>
      </c>
      <c r="O5582" s="12" t="n">
        <v>1</v>
      </c>
      <c r="P5582" s="12" t="n"/>
      <c r="Q5582" s="12" t="n"/>
      <c r="R5582" s="12" t="n"/>
      <c r="S5582" s="12" t="inlineStr">
        <is>
          <t>Tray / conduit</t>
        </is>
      </c>
      <c r="T5582" s="15" t="n">
        <v>74</v>
      </c>
      <c r="U5582" s="15" t="n">
        <v>10</v>
      </c>
      <c r="V5582" s="15">
        <f>ROUNDUP((T5582+U5582+2*'Read Me'!$B$13)*(1+'Read Me'!$B$12),-1)</f>
        <v/>
      </c>
      <c r="W5582" s="15">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K-I-0145</t>
        </is>
      </c>
      <c r="B5583" s="12" t="inlineStr">
        <is>
          <t>K</t>
        </is>
      </c>
      <c r="C5583" s="12" t="inlineStr">
        <is>
          <t>Fuel supply (adjacent market)</t>
        </is>
      </c>
      <c r="D5583" s="12" t="inlineStr">
        <is>
          <t>Home run JB-LNG 16: send-out m-DI01 to the control / marshalling room</t>
        </is>
      </c>
      <c r="E5583" s="12" t="inlineStr"/>
      <c r="F5583" s="12" t="inlineStr">
        <is>
          <t>LNG 17: LNG e-house (13.8 kV / 480 V)</t>
        </is>
      </c>
      <c r="G5583" s="12" t="inlineStr">
        <is>
          <t>JB-LNG 16: send-out m-DI01</t>
        </is>
      </c>
      <c r="H5583" s="12" t="inlineStr">
        <is>
          <t>LNG 16: send-out metering + pressure control</t>
        </is>
      </c>
      <c r="I5583" s="12" t="inlineStr">
        <is>
          <t>Instrumentation</t>
        </is>
      </c>
      <c r="J5583" s="12" t="inlineStr">
        <is>
          <t>Instrumentation ITC / PLTC, IS, #18 shielded pairs, blue jacket</t>
        </is>
      </c>
      <c r="K5583" s="12" t="inlineStr">
        <is>
          <t>ITC|24 pr|18</t>
        </is>
      </c>
      <c r="L5583" s="12" t="inlineStr">
        <is>
          <t>24 pr</t>
        </is>
      </c>
      <c r="M5583" s="12" t="inlineStr">
        <is>
          <t>18</t>
        </is>
      </c>
      <c r="N5583" s="12" t="n">
        <v>1</v>
      </c>
      <c r="O5583" s="12" t="n">
        <v>1</v>
      </c>
      <c r="P5583" s="12" t="n"/>
      <c r="Q5583" s="12" t="n"/>
      <c r="R5583" s="12" t="n"/>
      <c r="S5583" s="12" t="inlineStr">
        <is>
          <t>Duct bank</t>
        </is>
      </c>
      <c r="T5583" s="15" t="n">
        <v>20</v>
      </c>
      <c r="U5583" s="15" t="n">
        <v>32</v>
      </c>
      <c r="V5583" s="15">
        <f>ROUNDUP((T5583+U5583+2*'Read Me'!$B$13)*(1+'Read Me'!$B$12),-1)</f>
        <v/>
      </c>
      <c r="W5583" s="15">
        <f>V5583*N5583*O5583</f>
        <v/>
      </c>
      <c r="X5583" s="12">
        <f>IF(LEFT(I5583,2)="MV",2*N5583*IF(L5583="1/C",O5583,1),0)</f>
        <v/>
      </c>
      <c r="Y5583" s="12">
        <f>IF(OR(LEFT(K5583,4)="LVAX",LEFT(K5583,6)="MV15AX",LEFT(K5583,4)="CTAX",LEFT(K5583,2)="W|"),2*N5583*O5583,0)</f>
        <v/>
      </c>
      <c r="Z5583" s="12" t="inlineStr"/>
      <c r="AA5583" s="12">
        <f>N5583*O5583</f>
        <v/>
      </c>
    </row>
    <row r="5584">
      <c r="A5584" s="12" t="inlineStr">
        <is>
          <t>K-I-0146</t>
        </is>
      </c>
      <c r="B5584" s="12" t="inlineStr">
        <is>
          <t>K</t>
        </is>
      </c>
      <c r="C5584" s="12" t="inlineStr">
        <is>
          <t>Fuel supply (adjacent market)</t>
        </is>
      </c>
      <c r="D5584" s="12" t="inlineStr">
        <is>
          <t>Analog instrument to JB JB-LNG 17: LNG e-hous-AI01: 12 x 1 pr (field cables)</t>
        </is>
      </c>
      <c r="E5584" s="12" t="inlineStr"/>
      <c r="F5584" s="12" t="inlineStr">
        <is>
          <t>LNG 17: LNG e-house (13.8 kV / 480 V)</t>
        </is>
      </c>
      <c r="G5584" s="12" t="inlineStr">
        <is>
          <t>JB-LNG 17: LNG e-hous-AI01</t>
        </is>
      </c>
      <c r="H5584" s="12" t="inlineStr">
        <is>
          <t>LNG 17: LNG e-house (13.8 kV / 480 V)</t>
        </is>
      </c>
      <c r="I5584" s="12" t="inlineStr">
        <is>
          <t>Instrumentation</t>
        </is>
      </c>
      <c r="J5584" s="12" t="inlineStr">
        <is>
          <t>Instrumentation ITC / PLTC, IS, #18 shielded pairs, blue jacket</t>
        </is>
      </c>
      <c r="K5584" s="12" t="inlineStr">
        <is>
          <t>ITC|1 pr|16</t>
        </is>
      </c>
      <c r="L5584" s="12" t="inlineStr">
        <is>
          <t>1 pr</t>
        </is>
      </c>
      <c r="M5584" s="12" t="inlineStr">
        <is>
          <t>16</t>
        </is>
      </c>
      <c r="N5584" s="12" t="n">
        <v>12</v>
      </c>
      <c r="O5584" s="12" t="n">
        <v>1</v>
      </c>
      <c r="P5584" s="12" t="n"/>
      <c r="Q5584" s="12" t="n"/>
      <c r="R5584" s="12" t="n"/>
      <c r="S5584" s="12" t="inlineStr">
        <is>
          <t>Tray / conduit</t>
        </is>
      </c>
      <c r="T5584" s="15" t="n">
        <v>58</v>
      </c>
      <c r="U5584" s="15" t="n">
        <v>10</v>
      </c>
      <c r="V5584" s="15">
        <f>ROUNDUP((T5584+U5584+2*'Read Me'!$B$13)*(1+'Read Me'!$B$12),-1)</f>
        <v/>
      </c>
      <c r="W5584" s="15">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K-I-0147</t>
        </is>
      </c>
      <c r="B5585" s="12" t="inlineStr">
        <is>
          <t>K</t>
        </is>
      </c>
      <c r="C5585" s="12" t="inlineStr">
        <is>
          <t>Fuel supply (adjacent market)</t>
        </is>
      </c>
      <c r="D5585" s="12" t="inlineStr">
        <is>
          <t>Home run JB-LNG 17: LNG e-hous-AI01 to the control / marshalling room</t>
        </is>
      </c>
      <c r="E5585" s="12" t="inlineStr"/>
      <c r="F5585" s="12" t="inlineStr">
        <is>
          <t>LNG 17: LNG e-house (13.8 kV / 480 V)</t>
        </is>
      </c>
      <c r="G5585" s="12" t="inlineStr">
        <is>
          <t>JB-LNG 17: LNG e-hous-AI01</t>
        </is>
      </c>
      <c r="H5585" s="12" t="inlineStr">
        <is>
          <t>LNG 17: LNG e-house (13.8 kV / 480 V)</t>
        </is>
      </c>
      <c r="I5585" s="12" t="inlineStr">
        <is>
          <t>Instrumentation</t>
        </is>
      </c>
      <c r="J5585" s="12" t="inlineStr">
        <is>
          <t>Instrumentation ITC / PLTC, IS, #18 shielded pairs, blue jacket</t>
        </is>
      </c>
      <c r="K5585" s="12" t="inlineStr">
        <is>
          <t>ITC|24 pr|18</t>
        </is>
      </c>
      <c r="L5585" s="12" t="inlineStr">
        <is>
          <t>24 pr</t>
        </is>
      </c>
      <c r="M5585" s="12" t="inlineStr">
        <is>
          <t>18</t>
        </is>
      </c>
      <c r="N5585" s="12" t="n">
        <v>1</v>
      </c>
      <c r="O5585" s="12" t="n">
        <v>1</v>
      </c>
      <c r="P5585" s="12" t="n"/>
      <c r="Q5585" s="12" t="n"/>
      <c r="R5585" s="12" t="n"/>
      <c r="S5585" s="12" t="inlineStr">
        <is>
          <t>Tray</t>
        </is>
      </c>
      <c r="T5585" s="15" t="n">
        <v>0</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c r="AA5585" s="12">
        <f>N5585*O5585</f>
        <v/>
      </c>
    </row>
    <row r="5586">
      <c r="A5586" s="12" t="inlineStr">
        <is>
          <t>K-I-0148</t>
        </is>
      </c>
      <c r="B5586" s="12" t="inlineStr">
        <is>
          <t>K</t>
        </is>
      </c>
      <c r="C5586" s="12" t="inlineStr">
        <is>
          <t>Fuel supply (adjacent market)</t>
        </is>
      </c>
      <c r="D5586" s="12" t="inlineStr">
        <is>
          <t>Discrete device to JB JB-LNG 17: LNG e-hous-DI01: 12 x 1 pr (field cables)</t>
        </is>
      </c>
      <c r="E5586" s="12" t="inlineStr"/>
      <c r="F5586" s="12" t="inlineStr">
        <is>
          <t>LNG 17: LNG e-house (13.8 kV / 480 V)</t>
        </is>
      </c>
      <c r="G5586" s="12" t="inlineStr">
        <is>
          <t>JB-LNG 17: LNG e-hous-DI01</t>
        </is>
      </c>
      <c r="H5586" s="12" t="inlineStr">
        <is>
          <t>LNG 17: LNG e-house (13.8 kV / 480 V)</t>
        </is>
      </c>
      <c r="I5586" s="12" t="inlineStr">
        <is>
          <t>Instrumentation</t>
        </is>
      </c>
      <c r="J5586" s="12" t="inlineStr">
        <is>
          <t>Instrumentation ITC / PLTC, IS, #18 shielded pairs, blue jacket</t>
        </is>
      </c>
      <c r="K5586" s="12" t="inlineStr">
        <is>
          <t>ITC|1 pr|16</t>
        </is>
      </c>
      <c r="L5586" s="12" t="inlineStr">
        <is>
          <t>1 pr</t>
        </is>
      </c>
      <c r="M5586" s="12" t="inlineStr">
        <is>
          <t>16</t>
        </is>
      </c>
      <c r="N5586" s="12" t="n">
        <v>12</v>
      </c>
      <c r="O5586" s="12" t="n">
        <v>1</v>
      </c>
      <c r="P5586" s="12" t="n"/>
      <c r="Q5586" s="12" t="n"/>
      <c r="R5586" s="12" t="n"/>
      <c r="S5586" s="12" t="inlineStr">
        <is>
          <t>Tray / conduit</t>
        </is>
      </c>
      <c r="T5586" s="15" t="n">
        <v>58</v>
      </c>
      <c r="U5586" s="15" t="n">
        <v>10</v>
      </c>
      <c r="V5586" s="15">
        <f>ROUNDUP((T5586+U5586+2*'Read Me'!$B$13)*(1+'Read Me'!$B$12),-1)</f>
        <v/>
      </c>
      <c r="W5586" s="15">
        <f>V5586*N5586*O5586</f>
        <v/>
      </c>
      <c r="X5586" s="12">
        <f>IF(LEFT(I5586,2)="MV",2*N5586*IF(L5586="1/C",O5586,1),0)</f>
        <v/>
      </c>
      <c r="Y5586" s="12">
        <f>IF(OR(LEFT(K5586,4)="LVAX",LEFT(K5586,6)="MV15AX",LEFT(K5586,4)="CTAX",LEFT(K5586,2)="W|"),2*N5586*O5586,0)</f>
        <v/>
      </c>
      <c r="Z5586" s="12" t="inlineStr">
        <is>
          <t>device-to-JB field wiring, one cable per device</t>
        </is>
      </c>
      <c r="AA5586" s="12">
        <f>N5586*O5586</f>
        <v/>
      </c>
    </row>
    <row r="5587">
      <c r="A5587" s="12" t="inlineStr">
        <is>
          <t>K-I-0149</t>
        </is>
      </c>
      <c r="B5587" s="12" t="inlineStr">
        <is>
          <t>K</t>
        </is>
      </c>
      <c r="C5587" s="12" t="inlineStr">
        <is>
          <t>Fuel supply (adjacent market)</t>
        </is>
      </c>
      <c r="D5587" s="12" t="inlineStr">
        <is>
          <t>Home run JB-LNG 17: LNG e-hous-DI01 to the control / marshalling room</t>
        </is>
      </c>
      <c r="E5587" s="12" t="inlineStr"/>
      <c r="F5587" s="12" t="inlineStr">
        <is>
          <t>LNG 17: LNG e-house (13.8 kV / 480 V)</t>
        </is>
      </c>
      <c r="G5587" s="12" t="inlineStr">
        <is>
          <t>JB-LNG 17: LNG e-hous-DI01</t>
        </is>
      </c>
      <c r="H5587" s="12" t="inlineStr">
        <is>
          <t>LNG 17: LNG e-house (13.8 kV / 480 V)</t>
        </is>
      </c>
      <c r="I5587" s="12" t="inlineStr">
        <is>
          <t>Instrumentation</t>
        </is>
      </c>
      <c r="J5587" s="12" t="inlineStr">
        <is>
          <t>Instrumentation ITC / PLTC, IS, #18 shielded pairs, blue jacket</t>
        </is>
      </c>
      <c r="K5587" s="12" t="inlineStr">
        <is>
          <t>ITC|24 pr|18</t>
        </is>
      </c>
      <c r="L5587" s="12" t="inlineStr">
        <is>
          <t>24 pr</t>
        </is>
      </c>
      <c r="M5587" s="12" t="inlineStr">
        <is>
          <t>18</t>
        </is>
      </c>
      <c r="N5587" s="12" t="n">
        <v>1</v>
      </c>
      <c r="O5587" s="12" t="n">
        <v>1</v>
      </c>
      <c r="P5587" s="12" t="n"/>
      <c r="Q5587" s="12" t="n"/>
      <c r="R5587" s="12" t="n"/>
      <c r="S5587" s="12" t="inlineStr">
        <is>
          <t>Tray</t>
        </is>
      </c>
      <c r="T5587" s="15" t="n">
        <v>0</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c r="AA5587" s="12">
        <f>N5587*O5587</f>
        <v/>
      </c>
    </row>
    <row r="5588">
      <c r="A5588" s="12" t="inlineStr">
        <is>
          <t>K-I-0150</t>
        </is>
      </c>
      <c r="B5588" s="12" t="inlineStr">
        <is>
          <t>K</t>
        </is>
      </c>
      <c r="C5588" s="12" t="inlineStr">
        <is>
          <t>Fuel supply (adjacent market)</t>
        </is>
      </c>
      <c r="D5588" s="12" t="inlineStr">
        <is>
          <t>Analog instrument to JB JB-LNG 18: vent stack-AI01: 12 x 1 pr (field cables)</t>
        </is>
      </c>
      <c r="E5588" s="12" t="inlineStr"/>
      <c r="F5588" s="12" t="inlineStr">
        <is>
          <t>LNG 18: vent stack</t>
        </is>
      </c>
      <c r="G5588" s="12" t="inlineStr">
        <is>
          <t>JB-LNG 18: vent stack-AI01</t>
        </is>
      </c>
      <c r="H5588" s="12" t="inlineStr">
        <is>
          <t>LNG 18: vent stack</t>
        </is>
      </c>
      <c r="I5588" s="12" t="inlineStr">
        <is>
          <t>Instrumentation</t>
        </is>
      </c>
      <c r="J5588" s="12" t="inlineStr">
        <is>
          <t>Instrumentation ITC / PLTC, IS, #18 shielded pairs, blue jacket</t>
        </is>
      </c>
      <c r="K5588" s="12" t="inlineStr">
        <is>
          <t>ITC|1 pr|16</t>
        </is>
      </c>
      <c r="L5588" s="12" t="inlineStr">
        <is>
          <t>1 pr</t>
        </is>
      </c>
      <c r="M5588" s="12" t="inlineStr">
        <is>
          <t>16</t>
        </is>
      </c>
      <c r="N5588" s="12" t="n">
        <v>12</v>
      </c>
      <c r="O5588" s="12" t="n">
        <v>1</v>
      </c>
      <c r="P5588" s="12" t="n"/>
      <c r="Q5588" s="12" t="n"/>
      <c r="R5588" s="12" t="n"/>
      <c r="S5588" s="12" t="inlineStr">
        <is>
          <t>Tray / conduit</t>
        </is>
      </c>
      <c r="T5588" s="15" t="n">
        <v>55</v>
      </c>
      <c r="U5588" s="15" t="n">
        <v>10</v>
      </c>
      <c r="V5588" s="15">
        <f>ROUNDUP((T5588+U5588+2*'Read Me'!$B$13)*(1+'Read Me'!$B$12),-1)</f>
        <v/>
      </c>
      <c r="W5588" s="15">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K-I-0151</t>
        </is>
      </c>
      <c r="B5589" s="12" t="inlineStr">
        <is>
          <t>K</t>
        </is>
      </c>
      <c r="C5589" s="12" t="inlineStr">
        <is>
          <t>Fuel supply (adjacent market)</t>
        </is>
      </c>
      <c r="D5589" s="12" t="inlineStr">
        <is>
          <t>Home run JB-LNG 18: vent stack-AI01 to the control / marshalling room</t>
        </is>
      </c>
      <c r="E5589" s="12" t="inlineStr"/>
      <c r="F5589" s="12" t="inlineStr">
        <is>
          <t>LNG 17: LNG e-house (13.8 kV / 480 V)</t>
        </is>
      </c>
      <c r="G5589" s="12" t="inlineStr">
        <is>
          <t>JB-LNG 18: vent stack-AI01</t>
        </is>
      </c>
      <c r="H5589" s="12" t="inlineStr">
        <is>
          <t>LNG 18: vent stack</t>
        </is>
      </c>
      <c r="I5589" s="12" t="inlineStr">
        <is>
          <t>Instrumentation</t>
        </is>
      </c>
      <c r="J5589" s="12" t="inlineStr">
        <is>
          <t>Instrumentation ITC / PLTC, IS, #18 shielded pairs, blue jacket</t>
        </is>
      </c>
      <c r="K5589" s="12" t="inlineStr">
        <is>
          <t>ITC|24 pr|18</t>
        </is>
      </c>
      <c r="L5589" s="12" t="inlineStr">
        <is>
          <t>24 pr</t>
        </is>
      </c>
      <c r="M5589" s="12" t="inlineStr">
        <is>
          <t>18</t>
        </is>
      </c>
      <c r="N5589" s="12" t="n">
        <v>1</v>
      </c>
      <c r="O5589" s="12" t="n">
        <v>1</v>
      </c>
      <c r="P5589" s="12" t="n"/>
      <c r="Q5589" s="12" t="n"/>
      <c r="R5589" s="12" t="n"/>
      <c r="S5589" s="12" t="inlineStr">
        <is>
          <t>Duct bank</t>
        </is>
      </c>
      <c r="T5589" s="15" t="n">
        <v>25</v>
      </c>
      <c r="U5589" s="15" t="n">
        <v>117</v>
      </c>
      <c r="V5589" s="15">
        <f>ROUNDUP((T5589+U5589+2*'Read Me'!$B$13)*(1+'Read Me'!$B$12),-1)</f>
        <v/>
      </c>
      <c r="W5589" s="15">
        <f>V5589*N5589*O5589</f>
        <v/>
      </c>
      <c r="X5589" s="12">
        <f>IF(LEFT(I5589,2)="MV",2*N5589*IF(L5589="1/C",O5589,1),0)</f>
        <v/>
      </c>
      <c r="Y5589" s="12">
        <f>IF(OR(LEFT(K5589,4)="LVAX",LEFT(K5589,6)="MV15AX",LEFT(K5589,4)="CTAX",LEFT(K5589,2)="W|"),2*N5589*O5589,0)</f>
        <v/>
      </c>
      <c r="Z5589" s="12" t="inlineStr"/>
      <c r="AA5589" s="12">
        <f>N5589*O5589</f>
        <v/>
      </c>
    </row>
    <row r="5590">
      <c r="A5590" s="12" t="inlineStr">
        <is>
          <t>K-I-0152</t>
        </is>
      </c>
      <c r="B5590" s="12" t="inlineStr">
        <is>
          <t>K</t>
        </is>
      </c>
      <c r="C5590" s="12" t="inlineStr">
        <is>
          <t>Fuel supply (adjacent market)</t>
        </is>
      </c>
      <c r="D5590" s="12" t="inlineStr">
        <is>
          <t>Discrete device to JB JB-LNG 18: vent stack-DI01: 12 x 1 pr (field cables)</t>
        </is>
      </c>
      <c r="E5590" s="12" t="inlineStr"/>
      <c r="F5590" s="12" t="inlineStr">
        <is>
          <t>LNG 18: vent stack</t>
        </is>
      </c>
      <c r="G5590" s="12" t="inlineStr">
        <is>
          <t>JB-LNG 18: vent stack-DI01</t>
        </is>
      </c>
      <c r="H5590" s="12" t="inlineStr">
        <is>
          <t>LNG 18: vent stack</t>
        </is>
      </c>
      <c r="I5590" s="12" t="inlineStr">
        <is>
          <t>Instrumentation</t>
        </is>
      </c>
      <c r="J5590" s="12" t="inlineStr">
        <is>
          <t>Instrumentation ITC / PLTC, IS, #18 shielded pairs, blue jacket</t>
        </is>
      </c>
      <c r="K5590" s="12" t="inlineStr">
        <is>
          <t>ITC|1 pr|16</t>
        </is>
      </c>
      <c r="L5590" s="12" t="inlineStr">
        <is>
          <t>1 pr</t>
        </is>
      </c>
      <c r="M5590" s="12" t="inlineStr">
        <is>
          <t>16</t>
        </is>
      </c>
      <c r="N5590" s="12" t="n">
        <v>12</v>
      </c>
      <c r="O5590" s="12" t="n">
        <v>1</v>
      </c>
      <c r="P5590" s="12" t="n"/>
      <c r="Q5590" s="12" t="n"/>
      <c r="R5590" s="12" t="n"/>
      <c r="S5590" s="12" t="inlineStr">
        <is>
          <t>Tray / conduit</t>
        </is>
      </c>
      <c r="T5590" s="15" t="n">
        <v>55</v>
      </c>
      <c r="U5590" s="15" t="n">
        <v>10</v>
      </c>
      <c r="V5590" s="15">
        <f>ROUNDUP((T5590+U5590+2*'Read Me'!$B$13)*(1+'Read Me'!$B$12),-1)</f>
        <v/>
      </c>
      <c r="W5590" s="15">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K-I-0153</t>
        </is>
      </c>
      <c r="B5591" s="12" t="inlineStr">
        <is>
          <t>K</t>
        </is>
      </c>
      <c r="C5591" s="12" t="inlineStr">
        <is>
          <t>Fuel supply (adjacent market)</t>
        </is>
      </c>
      <c r="D5591" s="12" t="inlineStr">
        <is>
          <t>Home run JB-LNG 18: vent stack-DI01 to the control / marshalling room</t>
        </is>
      </c>
      <c r="E5591" s="12" t="inlineStr"/>
      <c r="F5591" s="12" t="inlineStr">
        <is>
          <t>LNG 17: LNG e-house (13.8 kV / 480 V)</t>
        </is>
      </c>
      <c r="G5591" s="12" t="inlineStr">
        <is>
          <t>JB-LNG 18: vent stack-DI01</t>
        </is>
      </c>
      <c r="H5591" s="12" t="inlineStr">
        <is>
          <t>LNG 18: vent stack</t>
        </is>
      </c>
      <c r="I5591" s="12" t="inlineStr">
        <is>
          <t>Instrumentation</t>
        </is>
      </c>
      <c r="J5591" s="12" t="inlineStr">
        <is>
          <t>Instrumentation ITC / PLTC, IS, #18 shielded pairs, blue jacket</t>
        </is>
      </c>
      <c r="K5591" s="12" t="inlineStr">
        <is>
          <t>ITC|24 pr|18</t>
        </is>
      </c>
      <c r="L5591" s="12" t="inlineStr">
        <is>
          <t>24 pr</t>
        </is>
      </c>
      <c r="M5591" s="12" t="inlineStr">
        <is>
          <t>18</t>
        </is>
      </c>
      <c r="N5591" s="12" t="n">
        <v>1</v>
      </c>
      <c r="O5591" s="12" t="n">
        <v>1</v>
      </c>
      <c r="P5591" s="12" t="n"/>
      <c r="Q5591" s="12" t="n"/>
      <c r="R5591" s="12" t="n"/>
      <c r="S5591" s="12" t="inlineStr">
        <is>
          <t>Duct bank</t>
        </is>
      </c>
      <c r="T5591" s="15" t="n">
        <v>25</v>
      </c>
      <c r="U5591" s="15" t="n">
        <v>117</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K-I-0154</t>
        </is>
      </c>
      <c r="B5592" s="12" t="inlineStr">
        <is>
          <t>K</t>
        </is>
      </c>
      <c r="C5592" s="12" t="inlineStr">
        <is>
          <t>Fuel supply (adjacent market)</t>
        </is>
      </c>
      <c r="D5592" s="12" t="inlineStr">
        <is>
          <t>Instrumentation</t>
        </is>
      </c>
      <c r="E5592" s="12" t="inlineStr"/>
      <c r="F5592" s="12" t="inlineStr">
        <is>
          <t>LNG 17: LNG e-house (13.8 kV / 480 V)</t>
        </is>
      </c>
      <c r="G5592" s="12" t="inlineStr"/>
      <c r="H5592" s="12" t="inlineStr">
        <is>
          <t>LNG impoundment sump pump</t>
        </is>
      </c>
      <c r="I5592" s="12" t="inlineStr">
        <is>
          <t>Instrumentation</t>
        </is>
      </c>
      <c r="J5592" s="12" t="inlineStr">
        <is>
          <t>Instrumentation ITC / PLTC, IS, #18 shielded pairs, blue jacket</t>
        </is>
      </c>
      <c r="K5592" s="12" t="inlineStr">
        <is>
          <t>ITC|4 pr|18</t>
        </is>
      </c>
      <c r="L5592" s="12" t="inlineStr">
        <is>
          <t>4 pr</t>
        </is>
      </c>
      <c r="M5592" s="12" t="inlineStr">
        <is>
          <t>18</t>
        </is>
      </c>
      <c r="N5592" s="12" t="n">
        <v>1</v>
      </c>
      <c r="O5592" s="12" t="n">
        <v>1</v>
      </c>
      <c r="P5592" s="12" t="n"/>
      <c r="Q5592" s="12" t="n"/>
      <c r="R5592" s="12" t="n"/>
      <c r="S5592" s="12" t="inlineStr">
        <is>
          <t>Duct bank</t>
        </is>
      </c>
      <c r="T5592" s="15" t="n">
        <v>334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Instrumentation</t>
        </is>
      </c>
      <c r="E5593" s="12" t="inlineStr"/>
      <c r="F5593" s="12" t="inlineStr">
        <is>
          <t>LNG 17: LNG e-house (13.8 kV / 480 V)</t>
        </is>
      </c>
      <c r="G5593" s="12" t="inlineStr"/>
      <c r="H5593" s="12" t="inlineStr">
        <is>
          <t>M&amp;R 1: pig receiver, lateral terminus</t>
        </is>
      </c>
      <c r="I5593" s="12" t="inlineStr">
        <is>
          <t>Instrumentation</t>
        </is>
      </c>
      <c r="J5593" s="12" t="inlineStr">
        <is>
          <t>Instrumentation ITC / PLTC, IS, #18 shielded pairs, blue jacket</t>
        </is>
      </c>
      <c r="K5593" s="12" t="inlineStr">
        <is>
          <t>ITC|4 pr|18</t>
        </is>
      </c>
      <c r="L5593" s="12" t="inlineStr">
        <is>
          <t>4 pr</t>
        </is>
      </c>
      <c r="M5593" s="12" t="inlineStr">
        <is>
          <t>18</t>
        </is>
      </c>
      <c r="N5593" s="12" t="n">
        <v>1</v>
      </c>
      <c r="O5593" s="12" t="n">
        <v>1</v>
      </c>
      <c r="P5593" s="12" t="n"/>
      <c r="Q5593" s="12" t="n"/>
      <c r="R5593" s="12" t="n"/>
      <c r="S5593" s="12" t="inlineStr">
        <is>
          <t>Duct bank</t>
        </is>
      </c>
      <c r="T5593" s="15" t="n">
        <v>790</v>
      </c>
      <c r="U5593" s="15" t="n">
        <v>37</v>
      </c>
      <c r="V5593" s="15">
        <f>ROUNDUP((T5593+U5593+2*'Read Me'!$B$13)*(1+'Read Me'!$B$12),-1)</f>
        <v/>
      </c>
      <c r="W5593" s="15">
        <f>V5593*N5593*O5593</f>
        <v/>
      </c>
      <c r="X5593" s="12">
        <f>IF(LEFT(I5593,2)="MV",2*N5593*IF(L5593="1/C",O5593,1),0)</f>
        <v/>
      </c>
      <c r="Y5593" s="12">
        <f>IF(OR(LEFT(K5593,4)="LVAX",LEFT(K5593,6)="MV15AX",LEFT(K5593,4)="CTAX",LEFT(K5593,2)="W|"),2*N5593*O5593,0)</f>
        <v/>
      </c>
      <c r="Z5593" s="12" t="inlineStr"/>
      <c r="AA5593" s="12">
        <f>N5593*O5593</f>
        <v/>
      </c>
    </row>
    <row r="5594">
      <c r="A5594" s="12" t="inlineStr">
        <is>
          <t>K-I-0156</t>
        </is>
      </c>
      <c r="B5594" s="12" t="inlineStr">
        <is>
          <t>K</t>
        </is>
      </c>
      <c r="C5594" s="12" t="inlineStr">
        <is>
          <t>Fuel supply (adjacent market)</t>
        </is>
      </c>
      <c r="D5594" s="12" t="inlineStr">
        <is>
          <t>Discrete device to JB JB-M&amp;R 2: insulating -DI01: 8 x 1 pr (field cables)</t>
        </is>
      </c>
      <c r="E5594" s="12" t="inlineStr"/>
      <c r="F5594" s="12" t="inlineStr">
        <is>
          <t>M&amp;R 2: insulating joint + ESD valve</t>
        </is>
      </c>
      <c r="G5594" s="12" t="inlineStr">
        <is>
          <t>JB-M&amp;R 2: insulating -DI01</t>
        </is>
      </c>
      <c r="H5594" s="12" t="inlineStr">
        <is>
          <t>M&amp;R 2: insulating joint + ESD valve</t>
        </is>
      </c>
      <c r="I5594" s="12" t="inlineStr">
        <is>
          <t>Instrumentation</t>
        </is>
      </c>
      <c r="J5594" s="12" t="inlineStr">
        <is>
          <t>Instrumentation ITC / PLTC, IS, #18 shielded pairs, blue jacket</t>
        </is>
      </c>
      <c r="K5594" s="12" t="inlineStr">
        <is>
          <t>ITC|1 pr|16</t>
        </is>
      </c>
      <c r="L5594" s="12" t="inlineStr">
        <is>
          <t>1 pr</t>
        </is>
      </c>
      <c r="M5594" s="12" t="inlineStr">
        <is>
          <t>16</t>
        </is>
      </c>
      <c r="N5594" s="12" t="n">
        <v>8</v>
      </c>
      <c r="O5594" s="12" t="n">
        <v>1</v>
      </c>
      <c r="P5594" s="12" t="n"/>
      <c r="Q5594" s="12" t="n"/>
      <c r="R5594" s="12" t="n"/>
      <c r="S5594" s="12" t="inlineStr">
        <is>
          <t>Tray / conduit</t>
        </is>
      </c>
      <c r="T5594" s="15" t="n">
        <v>40</v>
      </c>
      <c r="U5594" s="15" t="n">
        <v>10</v>
      </c>
      <c r="V5594" s="15">
        <f>ROUNDUP((T5594+U5594+2*'Read Me'!$B$13)*(1+'Read Me'!$B$12),-1)</f>
        <v/>
      </c>
      <c r="W5594" s="15">
        <f>V5594*N5594*O5594</f>
        <v/>
      </c>
      <c r="X5594" s="12">
        <f>IF(LEFT(I5594,2)="MV",2*N5594*IF(L5594="1/C",O5594,1),0)</f>
        <v/>
      </c>
      <c r="Y5594" s="12">
        <f>IF(OR(LEFT(K5594,4)="LVAX",LEFT(K5594,6)="MV15AX",LEFT(K5594,4)="CTAX",LEFT(K5594,2)="W|"),2*N5594*O5594,0)</f>
        <v/>
      </c>
      <c r="Z5594" s="12" t="inlineStr">
        <is>
          <t>device-to-JB field wiring, one cable per device</t>
        </is>
      </c>
      <c r="AA5594" s="12">
        <f>N5594*O5594</f>
        <v/>
      </c>
    </row>
    <row r="5595">
      <c r="A5595" s="12" t="inlineStr">
        <is>
          <t>K-I-0157</t>
        </is>
      </c>
      <c r="B5595" s="12" t="inlineStr">
        <is>
          <t>K</t>
        </is>
      </c>
      <c r="C5595" s="12" t="inlineStr">
        <is>
          <t>Fuel supply (adjacent market)</t>
        </is>
      </c>
      <c r="D5595" s="12" t="inlineStr">
        <is>
          <t>Home run JB-M&amp;R 2: insulating -DI01 to the control / marshalling room</t>
        </is>
      </c>
      <c r="E5595" s="12" t="inlineStr"/>
      <c r="F5595" s="12" t="inlineStr">
        <is>
          <t>LNG 17: LNG e-house (13.8 kV / 480 V)</t>
        </is>
      </c>
      <c r="G5595" s="12" t="inlineStr">
        <is>
          <t>JB-M&amp;R 2: insulating -DI01</t>
        </is>
      </c>
      <c r="H5595" s="12" t="inlineStr">
        <is>
          <t>M&amp;R 2: insulating joint + ESD valve</t>
        </is>
      </c>
      <c r="I5595" s="12" t="inlineStr">
        <is>
          <t>Instrumentation</t>
        </is>
      </c>
      <c r="J5595" s="12" t="inlineStr">
        <is>
          <t>Instrumentation ITC / PLTC, IS, #18 shielded pairs, blue jacket</t>
        </is>
      </c>
      <c r="K5595" s="12" t="inlineStr">
        <is>
          <t>ITC|24 pr|18</t>
        </is>
      </c>
      <c r="L5595" s="12" t="inlineStr">
        <is>
          <t>24 pr</t>
        </is>
      </c>
      <c r="M5595" s="12" t="inlineStr">
        <is>
          <t>18</t>
        </is>
      </c>
      <c r="N5595" s="12" t="n">
        <v>1</v>
      </c>
      <c r="O5595" s="12" t="n">
        <v>1</v>
      </c>
      <c r="P5595" s="12" t="n"/>
      <c r="Q5595" s="12" t="n"/>
      <c r="R5595" s="12" t="n"/>
      <c r="S5595" s="12" t="inlineStr">
        <is>
          <t>Duct bank</t>
        </is>
      </c>
      <c r="T5595" s="15" t="n">
        <v>775</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K-I-0158</t>
        </is>
      </c>
      <c r="B5596" s="12" t="inlineStr">
        <is>
          <t>K</t>
        </is>
      </c>
      <c r="C5596" s="12" t="inlineStr">
        <is>
          <t>Fuel supply (adjacent market)</t>
        </is>
      </c>
      <c r="D5596" s="12" t="inlineStr">
        <is>
          <t>Analog instrument to JB JB-M&amp;R 3: horizontal -AI01: 8 x 1 pr (field cables)</t>
        </is>
      </c>
      <c r="E5596" s="12" t="inlineStr"/>
      <c r="F5596" s="12" t="inlineStr">
        <is>
          <t>M&amp;R 3: horizontal filter-separator</t>
        </is>
      </c>
      <c r="G5596" s="12" t="inlineStr">
        <is>
          <t>JB-M&amp;R 3: horizontal -AI01</t>
        </is>
      </c>
      <c r="H5596" s="12" t="inlineStr">
        <is>
          <t>M&amp;R 3: horizontal filter-separator</t>
        </is>
      </c>
      <c r="I5596" s="12" t="inlineStr">
        <is>
          <t>Instrumentation</t>
        </is>
      </c>
      <c r="J5596" s="12" t="inlineStr">
        <is>
          <t>Instrumentation ITC / PLTC, IS, #18 shielded pairs, blue jacket</t>
        </is>
      </c>
      <c r="K5596" s="12" t="inlineStr">
        <is>
          <t>ITC|1 pr|16</t>
        </is>
      </c>
      <c r="L5596" s="12" t="inlineStr">
        <is>
          <t>1 pr</t>
        </is>
      </c>
      <c r="M5596" s="12" t="inlineStr">
        <is>
          <t>16</t>
        </is>
      </c>
      <c r="N5596" s="12" t="n">
        <v>8</v>
      </c>
      <c r="O5596" s="12" t="n">
        <v>1</v>
      </c>
      <c r="P5596" s="12" t="n"/>
      <c r="Q5596" s="12" t="n"/>
      <c r="R5596" s="12" t="n"/>
      <c r="S5596" s="12" t="inlineStr">
        <is>
          <t>Tray / conduit</t>
        </is>
      </c>
      <c r="T5596" s="15" t="n">
        <v>53</v>
      </c>
      <c r="U5596" s="15" t="n">
        <v>10</v>
      </c>
      <c r="V5596" s="15">
        <f>ROUNDUP((T5596+U5596+2*'Read Me'!$B$13)*(1+'Read Me'!$B$12),-1)</f>
        <v/>
      </c>
      <c r="W5596" s="15">
        <f>V5596*N5596*O5596</f>
        <v/>
      </c>
      <c r="X5596" s="12">
        <f>IF(LEFT(I5596,2)="MV",2*N5596*IF(L5596="1/C",O5596,1),0)</f>
        <v/>
      </c>
      <c r="Y5596" s="12">
        <f>IF(OR(LEFT(K5596,4)="LVAX",LEFT(K5596,6)="MV15AX",LEFT(K5596,4)="CTAX",LEFT(K5596,2)="W|"),2*N5596*O5596,0)</f>
        <v/>
      </c>
      <c r="Z5596" s="12" t="inlineStr">
        <is>
          <t>device-to-JB field wiring, one cable per device</t>
        </is>
      </c>
      <c r="AA5596" s="12">
        <f>N5596*O5596</f>
        <v/>
      </c>
    </row>
    <row r="5597">
      <c r="A5597" s="12" t="inlineStr">
        <is>
          <t>K-I-0159</t>
        </is>
      </c>
      <c r="B5597" s="12" t="inlineStr">
        <is>
          <t>K</t>
        </is>
      </c>
      <c r="C5597" s="12" t="inlineStr">
        <is>
          <t>Fuel supply (adjacent market)</t>
        </is>
      </c>
      <c r="D5597" s="12" t="inlineStr">
        <is>
          <t>Home run JB-M&amp;R 3: horizontal -AI01 to the control / marshalling room</t>
        </is>
      </c>
      <c r="E5597" s="12" t="inlineStr"/>
      <c r="F5597" s="12" t="inlineStr">
        <is>
          <t>LNG 17: LNG e-house (13.8 kV / 480 V)</t>
        </is>
      </c>
      <c r="G5597" s="12" t="inlineStr">
        <is>
          <t>JB-M&amp;R 3: horizontal -AI01</t>
        </is>
      </c>
      <c r="H5597" s="12" t="inlineStr">
        <is>
          <t>M&amp;R 3: horizontal filter-separator</t>
        </is>
      </c>
      <c r="I5597" s="12" t="inlineStr">
        <is>
          <t>Instrumentation</t>
        </is>
      </c>
      <c r="J5597" s="12" t="inlineStr">
        <is>
          <t>Instrumentation ITC / PLTC, IS, #18 shielded pairs, blue jacket</t>
        </is>
      </c>
      <c r="K5597" s="12" t="inlineStr">
        <is>
          <t>ITC|24 pr|18</t>
        </is>
      </c>
      <c r="L5597" s="12" t="inlineStr">
        <is>
          <t>24 pr</t>
        </is>
      </c>
      <c r="M5597" s="12" t="inlineStr">
        <is>
          <t>18</t>
        </is>
      </c>
      <c r="N5597" s="12" t="n">
        <v>1</v>
      </c>
      <c r="O5597" s="12" t="n">
        <v>1</v>
      </c>
      <c r="P5597" s="12" t="n"/>
      <c r="Q5597" s="12" t="n"/>
      <c r="R5597" s="12" t="n"/>
      <c r="S5597" s="12" t="inlineStr">
        <is>
          <t>Duct bank</t>
        </is>
      </c>
      <c r="T5597" s="15" t="n">
        <v>814</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Discrete device to JB JB-M&amp;R 3: horizontal -DI01: 12 x 1 pr (field cables)</t>
        </is>
      </c>
      <c r="E5598" s="12" t="inlineStr"/>
      <c r="F5598" s="12" t="inlineStr">
        <is>
          <t>M&amp;R 3: horizontal filter-separator</t>
        </is>
      </c>
      <c r="G5598" s="12" t="inlineStr">
        <is>
          <t>JB-M&amp;R 3: horizontal -DI01</t>
        </is>
      </c>
      <c r="H5598" s="12" t="inlineStr">
        <is>
          <t>M&amp;R 3: horizontal filter-separator</t>
        </is>
      </c>
      <c r="I5598" s="12" t="inlineStr">
        <is>
          <t>Instrumentation</t>
        </is>
      </c>
      <c r="J5598" s="12" t="inlineStr">
        <is>
          <t>Instrumentation ITC / PLTC, IS, #18 shielded pairs, blue jacket</t>
        </is>
      </c>
      <c r="K5598" s="12" t="inlineStr">
        <is>
          <t>ITC|1 pr|16</t>
        </is>
      </c>
      <c r="L5598" s="12" t="inlineStr">
        <is>
          <t>1 pr</t>
        </is>
      </c>
      <c r="M5598" s="12" t="inlineStr">
        <is>
          <t>16</t>
        </is>
      </c>
      <c r="N5598" s="12" t="n">
        <v>12</v>
      </c>
      <c r="O5598" s="12" t="n">
        <v>1</v>
      </c>
      <c r="P5598" s="12" t="n"/>
      <c r="Q5598" s="12" t="n"/>
      <c r="R5598" s="12" t="n"/>
      <c r="S5598" s="12" t="inlineStr">
        <is>
          <t>Tray / conduit</t>
        </is>
      </c>
      <c r="T5598" s="15" t="n">
        <v>53</v>
      </c>
      <c r="U5598" s="15" t="n">
        <v>10</v>
      </c>
      <c r="V5598" s="15">
        <f>ROUNDUP((T5598+U5598+2*'Read Me'!$B$13)*(1+'Read Me'!$B$12),-1)</f>
        <v/>
      </c>
      <c r="W5598" s="15">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K-I-0161</t>
        </is>
      </c>
      <c r="B5599" s="12" t="inlineStr">
        <is>
          <t>K</t>
        </is>
      </c>
      <c r="C5599" s="12" t="inlineStr">
        <is>
          <t>Fuel supply (adjacent market)</t>
        </is>
      </c>
      <c r="D5599" s="12" t="inlineStr">
        <is>
          <t>Home run JB-M&amp;R 3: horizontal -DI01 to the control / marshalling room</t>
        </is>
      </c>
      <c r="E5599" s="12" t="inlineStr"/>
      <c r="F5599" s="12" t="inlineStr">
        <is>
          <t>LNG 17: LNG e-house (13.8 kV / 480 V)</t>
        </is>
      </c>
      <c r="G5599" s="12" t="inlineStr">
        <is>
          <t>JB-M&amp;R 3: horizontal -DI01</t>
        </is>
      </c>
      <c r="H5599" s="12" t="inlineStr">
        <is>
          <t>M&amp;R 3: horizontal filter-separator</t>
        </is>
      </c>
      <c r="I5599" s="12" t="inlineStr">
        <is>
          <t>Instrumentation</t>
        </is>
      </c>
      <c r="J5599" s="12" t="inlineStr">
        <is>
          <t>Instrumentation ITC / PLTC, IS, #18 shielded pairs, blue jacket</t>
        </is>
      </c>
      <c r="K5599" s="12" t="inlineStr">
        <is>
          <t>ITC|24 pr|18</t>
        </is>
      </c>
      <c r="L5599" s="12" t="inlineStr">
        <is>
          <t>24 pr</t>
        </is>
      </c>
      <c r="M5599" s="12" t="inlineStr">
        <is>
          <t>18</t>
        </is>
      </c>
      <c r="N5599" s="12" t="n">
        <v>1</v>
      </c>
      <c r="O5599" s="12" t="n">
        <v>1</v>
      </c>
      <c r="P5599" s="12" t="n"/>
      <c r="Q5599" s="12" t="n"/>
      <c r="R5599" s="12" t="n"/>
      <c r="S5599" s="12" t="inlineStr">
        <is>
          <t>Duct bank</t>
        </is>
      </c>
      <c r="T5599" s="15" t="n">
        <v>814</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c r="AA5599" s="12">
        <f>N5599*O5599</f>
        <v/>
      </c>
    </row>
    <row r="5600">
      <c r="A5600" s="12" t="inlineStr">
        <is>
          <t>K-I-0162</t>
        </is>
      </c>
      <c r="B5600" s="12" t="inlineStr">
        <is>
          <t>K</t>
        </is>
      </c>
      <c r="C5600" s="12" t="inlineStr">
        <is>
          <t>Fuel supply (adjacent market)</t>
        </is>
      </c>
      <c r="D5600" s="12" t="inlineStr">
        <is>
          <t>Instrumentation</t>
        </is>
      </c>
      <c r="E5600" s="12" t="inlineStr"/>
      <c r="F5600" s="12" t="inlineStr">
        <is>
          <t>LNG 17: LNG e-house (13.8 kV / 480 V)</t>
        </is>
      </c>
      <c r="G5600" s="12" t="inlineStr"/>
      <c r="H5600" s="12" t="inlineStr">
        <is>
          <t>M&amp;R 4: line heater 1 (water bath)</t>
        </is>
      </c>
      <c r="I5600" s="12" t="inlineStr">
        <is>
          <t>Instrumentation</t>
        </is>
      </c>
      <c r="J5600" s="12" t="inlineStr">
        <is>
          <t>Instrumentation ITC / PLTC, IS, #18 shielded pairs, blue jacket</t>
        </is>
      </c>
      <c r="K5600" s="12" t="inlineStr">
        <is>
          <t>ITC|4 pr|18</t>
        </is>
      </c>
      <c r="L5600" s="12" t="inlineStr">
        <is>
          <t>4 pr</t>
        </is>
      </c>
      <c r="M5600" s="12" t="inlineStr">
        <is>
          <t>18</t>
        </is>
      </c>
      <c r="N5600" s="12" t="n">
        <v>1</v>
      </c>
      <c r="O5600" s="12" t="n">
        <v>1</v>
      </c>
      <c r="P5600" s="12" t="n"/>
      <c r="Q5600" s="12" t="n"/>
      <c r="R5600" s="12" t="n"/>
      <c r="S5600" s="12" t="inlineStr">
        <is>
          <t>Duct bank</t>
        </is>
      </c>
      <c r="T5600" s="15" t="n">
        <v>608</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Instrumentation</t>
        </is>
      </c>
      <c r="E5601" s="12" t="inlineStr"/>
      <c r="F5601" s="12" t="inlineStr">
        <is>
          <t>LNG 17: LNG e-house (13.8 kV / 480 V)</t>
        </is>
      </c>
      <c r="G5601" s="12" t="inlineStr"/>
      <c r="H5601" s="12" t="inlineStr">
        <is>
          <t>M&amp;R 4: line heater 1 (water bath)</t>
        </is>
      </c>
      <c r="I5601" s="12" t="inlineStr">
        <is>
          <t>Instrumentation</t>
        </is>
      </c>
      <c r="J5601" s="12" t="inlineStr">
        <is>
          <t>Instrumentation ITC / PLTC, IS, #18 shielded pairs, blue jacket</t>
        </is>
      </c>
      <c r="K5601" s="12" t="inlineStr">
        <is>
          <t>ITC|12 pr|18</t>
        </is>
      </c>
      <c r="L5601" s="12" t="inlineStr">
        <is>
          <t>12 pr</t>
        </is>
      </c>
      <c r="M5601" s="12" t="inlineStr">
        <is>
          <t>18</t>
        </is>
      </c>
      <c r="N5601" s="12" t="n">
        <v>1</v>
      </c>
      <c r="O5601" s="12" t="n">
        <v>1</v>
      </c>
      <c r="P5601" s="12" t="n"/>
      <c r="Q5601" s="12" t="n"/>
      <c r="R5601" s="12" t="n"/>
      <c r="S5601" s="12" t="inlineStr">
        <is>
          <t>Duct bank</t>
        </is>
      </c>
      <c r="T5601" s="15" t="n">
        <v>608</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K-I-0164</t>
        </is>
      </c>
      <c r="B5602" s="12" t="inlineStr">
        <is>
          <t>K</t>
        </is>
      </c>
      <c r="C5602" s="12" t="inlineStr">
        <is>
          <t>Fuel supply (adjacent market)</t>
        </is>
      </c>
      <c r="D5602" s="12" t="inlineStr">
        <is>
          <t>Instrumentation</t>
        </is>
      </c>
      <c r="E5602" s="12" t="inlineStr"/>
      <c r="F5602" s="12" t="inlineStr">
        <is>
          <t>LNG 17: LNG e-house (13.8 kV / 480 V)</t>
        </is>
      </c>
      <c r="G5602" s="12" t="inlineStr"/>
      <c r="H5602" s="12" t="inlineStr">
        <is>
          <t>M&amp;R 4: line heater 2 (water bath)</t>
        </is>
      </c>
      <c r="I5602" s="12" t="inlineStr">
        <is>
          <t>Instrumentation</t>
        </is>
      </c>
      <c r="J5602" s="12" t="inlineStr">
        <is>
          <t>Instrumentation ITC / PLTC, IS, #18 shielded pairs, blue jacket</t>
        </is>
      </c>
      <c r="K5602" s="12" t="inlineStr">
        <is>
          <t>ITC|4 pr|18</t>
        </is>
      </c>
      <c r="L5602" s="12" t="inlineStr">
        <is>
          <t>4 pr</t>
        </is>
      </c>
      <c r="M5602" s="12" t="inlineStr">
        <is>
          <t>18</t>
        </is>
      </c>
      <c r="N5602" s="12" t="n">
        <v>1</v>
      </c>
      <c r="O5602" s="12" t="n">
        <v>1</v>
      </c>
      <c r="P5602" s="12" t="n"/>
      <c r="Q5602" s="12" t="n"/>
      <c r="R5602" s="12" t="n"/>
      <c r="S5602" s="12" t="inlineStr">
        <is>
          <t>Duct bank</t>
        </is>
      </c>
      <c r="T5602" s="15" t="n">
        <v>608</v>
      </c>
      <c r="U5602" s="15" t="n">
        <v>50</v>
      </c>
      <c r="V5602" s="15">
        <f>ROUNDUP((T5602+U5602+2*'Read Me'!$B$13)*(1+'Read Me'!$B$12),-1)</f>
        <v/>
      </c>
      <c r="W5602" s="15">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Instrumentation</t>
        </is>
      </c>
      <c r="E5603" s="12" t="inlineStr"/>
      <c r="F5603" s="12" t="inlineStr">
        <is>
          <t>LNG 17: LNG e-house (13.8 kV / 480 V)</t>
        </is>
      </c>
      <c r="G5603" s="12" t="inlineStr"/>
      <c r="H5603" s="12" t="inlineStr">
        <is>
          <t>M&amp;R 4: line heater 2 (water bath)</t>
        </is>
      </c>
      <c r="I5603" s="12" t="inlineStr">
        <is>
          <t>Instrumentation</t>
        </is>
      </c>
      <c r="J5603" s="12" t="inlineStr">
        <is>
          <t>Instrumentation ITC / PLTC, IS, #18 shielded pairs, blue jacket</t>
        </is>
      </c>
      <c r="K5603" s="12" t="inlineStr">
        <is>
          <t>ITC|12 pr|18</t>
        </is>
      </c>
      <c r="L5603" s="12" t="inlineStr">
        <is>
          <t>12 pr</t>
        </is>
      </c>
      <c r="M5603" s="12" t="inlineStr">
        <is>
          <t>18</t>
        </is>
      </c>
      <c r="N5603" s="12" t="n">
        <v>1</v>
      </c>
      <c r="O5603" s="12" t="n">
        <v>1</v>
      </c>
      <c r="P5603" s="12" t="n"/>
      <c r="Q5603" s="12" t="n"/>
      <c r="R5603" s="12" t="n"/>
      <c r="S5603" s="12" t="inlineStr">
        <is>
          <t>Duct bank</t>
        </is>
      </c>
      <c r="T5603" s="15" t="n">
        <v>608</v>
      </c>
      <c r="U5603" s="15" t="n">
        <v>50</v>
      </c>
      <c r="V5603" s="15">
        <f>ROUNDUP((T5603+U5603+2*'Read Me'!$B$13)*(1+'Read Me'!$B$12),-1)</f>
        <v/>
      </c>
      <c r="W5603" s="15">
        <f>V5603*N5603*O5603</f>
        <v/>
      </c>
      <c r="X5603" s="12">
        <f>IF(LEFT(I5603,2)="MV",2*N5603*IF(L5603="1/C",O5603,1),0)</f>
        <v/>
      </c>
      <c r="Y5603" s="12">
        <f>IF(OR(LEFT(K5603,4)="LVAX",LEFT(K5603,6)="MV15AX",LEFT(K5603,4)="CTAX",LEFT(K5603,2)="W|"),2*N5603*O5603,0)</f>
        <v/>
      </c>
      <c r="Z5603" s="12" t="inlineStr"/>
      <c r="AA5603" s="12">
        <f>N5603*O5603</f>
        <v/>
      </c>
    </row>
    <row r="5604">
      <c r="A5604" s="12" t="inlineStr">
        <is>
          <t>K-I-0166</t>
        </is>
      </c>
      <c r="B5604" s="12" t="inlineStr">
        <is>
          <t>K</t>
        </is>
      </c>
      <c r="C5604" s="12" t="inlineStr">
        <is>
          <t>Fuel supply (adjacent market)</t>
        </is>
      </c>
      <c r="D5604" s="12" t="inlineStr">
        <is>
          <t>Instrumentation</t>
        </is>
      </c>
      <c r="E5604" s="12" t="inlineStr"/>
      <c r="F5604" s="12" t="inlineStr">
        <is>
          <t>LNG 17: LNG e-house (13.8 kV / 480 V)</t>
        </is>
      </c>
      <c r="G5604" s="12" t="inlineStr"/>
      <c r="H5604" s="12" t="inlineStr">
        <is>
          <t>M&amp;R 4: line heater 3 (water bath)</t>
        </is>
      </c>
      <c r="I5604" s="12" t="inlineStr">
        <is>
          <t>Instrumentation</t>
        </is>
      </c>
      <c r="J5604" s="12" t="inlineStr">
        <is>
          <t>Instrumentation ITC / PLTC, IS, #18 shielded pairs, blue jacket</t>
        </is>
      </c>
      <c r="K5604" s="12" t="inlineStr">
        <is>
          <t>ITC|4 pr|18</t>
        </is>
      </c>
      <c r="L5604" s="12" t="inlineStr">
        <is>
          <t>4 pr</t>
        </is>
      </c>
      <c r="M5604" s="12" t="inlineStr">
        <is>
          <t>18</t>
        </is>
      </c>
      <c r="N5604" s="12" t="n">
        <v>1</v>
      </c>
      <c r="O5604" s="12" t="n">
        <v>1</v>
      </c>
      <c r="P5604" s="12" t="n"/>
      <c r="Q5604" s="12" t="n"/>
      <c r="R5604" s="12" t="n"/>
      <c r="S5604" s="12" t="inlineStr">
        <is>
          <t>Duct bank</t>
        </is>
      </c>
      <c r="T5604" s="15" t="n">
        <v>608</v>
      </c>
      <c r="U5604" s="15" t="n">
        <v>68</v>
      </c>
      <c r="V5604" s="15">
        <f>ROUNDUP((T5604+U5604+2*'Read Me'!$B$13)*(1+'Read Me'!$B$12),-1)</f>
        <v/>
      </c>
      <c r="W5604" s="15">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3 (water bath)</t>
        </is>
      </c>
      <c r="I5605" s="12" t="inlineStr">
        <is>
          <t>Instrumentation</t>
        </is>
      </c>
      <c r="J5605" s="12" t="inlineStr">
        <is>
          <t>Instrumentation ITC / PLTC, IS, #18 shielded pairs, blue jacket</t>
        </is>
      </c>
      <c r="K5605" s="12" t="inlineStr">
        <is>
          <t>ITC|12 pr|18</t>
        </is>
      </c>
      <c r="L5605" s="12" t="inlineStr">
        <is>
          <t>12 pr</t>
        </is>
      </c>
      <c r="M5605" s="12" t="inlineStr">
        <is>
          <t>18</t>
        </is>
      </c>
      <c r="N5605" s="12" t="n">
        <v>1</v>
      </c>
      <c r="O5605" s="12" t="n">
        <v>1</v>
      </c>
      <c r="P5605" s="12" t="n"/>
      <c r="Q5605" s="12" t="n"/>
      <c r="R5605" s="12" t="n"/>
      <c r="S5605" s="12" t="inlineStr">
        <is>
          <t>Duct bank</t>
        </is>
      </c>
      <c r="T5605" s="15" t="n">
        <v>608</v>
      </c>
      <c r="U5605" s="15" t="n">
        <v>68</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Analog instrument to JB JB-M&amp;R 5: ultrasonic -AI01: 20 x 1 pr (field cables)</t>
        </is>
      </c>
      <c r="E5606" s="12" t="inlineStr"/>
      <c r="F5606" s="12" t="inlineStr">
        <is>
          <t>M&amp;R 5: ultrasonic meters, 2 runs (custody transfer)</t>
        </is>
      </c>
      <c r="G5606" s="12" t="inlineStr">
        <is>
          <t>JB-M&amp;R 5: ultrasonic -AI01</t>
        </is>
      </c>
      <c r="H5606" s="12" t="inlineStr">
        <is>
          <t>M&amp;R 5: ultrasonic meters, 2 runs (custody transfer)</t>
        </is>
      </c>
      <c r="I5606" s="12" t="inlineStr">
        <is>
          <t>Instrumentation</t>
        </is>
      </c>
      <c r="J5606" s="12" t="inlineStr">
        <is>
          <t>Instrumentation ITC / PLTC, IS, #18 shielded pairs, blue jacket</t>
        </is>
      </c>
      <c r="K5606" s="12" t="inlineStr">
        <is>
          <t>ITC|1 pr|16</t>
        </is>
      </c>
      <c r="L5606" s="12" t="inlineStr">
        <is>
          <t>1 pr</t>
        </is>
      </c>
      <c r="M5606" s="12" t="inlineStr">
        <is>
          <t>16</t>
        </is>
      </c>
      <c r="N5606" s="12" t="n">
        <v>20</v>
      </c>
      <c r="O5606" s="12" t="n">
        <v>1</v>
      </c>
      <c r="P5606" s="12" t="n"/>
      <c r="Q5606" s="12" t="n"/>
      <c r="R5606" s="12" t="n"/>
      <c r="S5606" s="12" t="inlineStr">
        <is>
          <t>Tray / conduit</t>
        </is>
      </c>
      <c r="T5606" s="15" t="n">
        <v>60</v>
      </c>
      <c r="U5606" s="15" t="n">
        <v>10</v>
      </c>
      <c r="V5606" s="15">
        <f>ROUNDUP((T5606+U5606+2*'Read Me'!$B$13)*(1+'Read Me'!$B$12),-1)</f>
        <v/>
      </c>
      <c r="W5606" s="15">
        <f>V5606*N5606*O5606</f>
        <v/>
      </c>
      <c r="X5606" s="12">
        <f>IF(LEFT(I5606,2)="MV",2*N5606*IF(L5606="1/C",O5606,1),0)</f>
        <v/>
      </c>
      <c r="Y5606" s="12">
        <f>IF(OR(LEFT(K5606,4)="LVAX",LEFT(K5606,6)="MV15AX",LEFT(K5606,4)="CTAX",LEFT(K5606,2)="W|"),2*N5606*O5606,0)</f>
        <v/>
      </c>
      <c r="Z5606" s="12" t="inlineStr">
        <is>
          <t>device-to-JB field wiring, one cable per device</t>
        </is>
      </c>
      <c r="AA5606" s="12">
        <f>N5606*O5606</f>
        <v/>
      </c>
    </row>
    <row r="5607">
      <c r="A5607" s="12" t="inlineStr">
        <is>
          <t>K-I-0169</t>
        </is>
      </c>
      <c r="B5607" s="12" t="inlineStr">
        <is>
          <t>K</t>
        </is>
      </c>
      <c r="C5607" s="12" t="inlineStr">
        <is>
          <t>Fuel supply (adjacent market)</t>
        </is>
      </c>
      <c r="D5607" s="12" t="inlineStr">
        <is>
          <t>Home run JB-M&amp;R 5: ultrasonic -AI01 to the control / marshalling room</t>
        </is>
      </c>
      <c r="E5607" s="12" t="inlineStr"/>
      <c r="F5607" s="12" t="inlineStr">
        <is>
          <t>LNG 17: LNG e-house (13.8 kV / 480 V)</t>
        </is>
      </c>
      <c r="G5607" s="12" t="inlineStr">
        <is>
          <t>JB-M&amp;R 5: ultrasonic -AI01</t>
        </is>
      </c>
      <c r="H5607" s="12" t="inlineStr">
        <is>
          <t>M&amp;R 5: ultrasonic meters, 2 runs (custody transfer)</t>
        </is>
      </c>
      <c r="I5607" s="12" t="inlineStr">
        <is>
          <t>Instrumentation</t>
        </is>
      </c>
      <c r="J5607" s="12" t="inlineStr">
        <is>
          <t>Instrumentation ITC / PLTC, IS, #18 shielded pairs, blue jacket</t>
        </is>
      </c>
      <c r="K5607" s="12" t="inlineStr">
        <is>
          <t>ITC|24 pr|18</t>
        </is>
      </c>
      <c r="L5607" s="12" t="inlineStr">
        <is>
          <t>24 pr</t>
        </is>
      </c>
      <c r="M5607" s="12" t="inlineStr">
        <is>
          <t>18</t>
        </is>
      </c>
      <c r="N5607" s="12" t="n">
        <v>1</v>
      </c>
      <c r="O5607" s="12" t="n">
        <v>1</v>
      </c>
      <c r="P5607" s="12" t="n"/>
      <c r="Q5607" s="12" t="n"/>
      <c r="R5607" s="12" t="n"/>
      <c r="S5607" s="12" t="inlineStr">
        <is>
          <t>Duct bank</t>
        </is>
      </c>
      <c r="T5607" s="15" t="n">
        <v>696</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Discrete device to JB JB-M&amp;R 5: ultrasonic -DI01: 8 x 1 pr (field cables)</t>
        </is>
      </c>
      <c r="E5608" s="12" t="inlineStr"/>
      <c r="F5608" s="12" t="inlineStr">
        <is>
          <t>M&amp;R 5: ultrasonic meters, 2 runs (custody transfer)</t>
        </is>
      </c>
      <c r="G5608" s="12" t="inlineStr">
        <is>
          <t>JB-M&amp;R 5: ultrasonic -DI01</t>
        </is>
      </c>
      <c r="H5608" s="12" t="inlineStr">
        <is>
          <t>M&amp;R 5: ultrasonic meters, 2 runs (custody transfer)</t>
        </is>
      </c>
      <c r="I5608" s="12" t="inlineStr">
        <is>
          <t>Instrumentation</t>
        </is>
      </c>
      <c r="J5608" s="12" t="inlineStr">
        <is>
          <t>Instrumentation ITC / PLTC, IS, #18 shielded pairs, blue jacket</t>
        </is>
      </c>
      <c r="K5608" s="12" t="inlineStr">
        <is>
          <t>ITC|1 pr|16</t>
        </is>
      </c>
      <c r="L5608" s="12" t="inlineStr">
        <is>
          <t>1 pr</t>
        </is>
      </c>
      <c r="M5608" s="12" t="inlineStr">
        <is>
          <t>16</t>
        </is>
      </c>
      <c r="N5608" s="12" t="n">
        <v>8</v>
      </c>
      <c r="O5608" s="12" t="n">
        <v>1</v>
      </c>
      <c r="P5608" s="12" t="n"/>
      <c r="Q5608" s="12" t="n"/>
      <c r="R5608" s="12" t="n"/>
      <c r="S5608" s="12" t="inlineStr">
        <is>
          <t>Tray / conduit</t>
        </is>
      </c>
      <c r="T5608" s="15" t="n">
        <v>60</v>
      </c>
      <c r="U5608" s="15" t="n">
        <v>10</v>
      </c>
      <c r="V5608" s="15">
        <f>ROUNDUP((T5608+U5608+2*'Read Me'!$B$13)*(1+'Read Me'!$B$12),-1)</f>
        <v/>
      </c>
      <c r="W5608" s="15">
        <f>V5608*N5608*O5608</f>
        <v/>
      </c>
      <c r="X5608" s="12">
        <f>IF(LEFT(I5608,2)="MV",2*N5608*IF(L5608="1/C",O5608,1),0)</f>
        <v/>
      </c>
      <c r="Y5608" s="12">
        <f>IF(OR(LEFT(K5608,4)="LVAX",LEFT(K5608,6)="MV15AX",LEFT(K5608,4)="CTAX",LEFT(K5608,2)="W|"),2*N5608*O5608,0)</f>
        <v/>
      </c>
      <c r="Z5608" s="12" t="inlineStr">
        <is>
          <t>device-to-JB field wiring, one cable per device</t>
        </is>
      </c>
      <c r="AA5608" s="12">
        <f>N5608*O5608</f>
        <v/>
      </c>
    </row>
    <row r="5609">
      <c r="A5609" s="12" t="inlineStr">
        <is>
          <t>K-I-0171</t>
        </is>
      </c>
      <c r="B5609" s="12" t="inlineStr">
        <is>
          <t>K</t>
        </is>
      </c>
      <c r="C5609" s="12" t="inlineStr">
        <is>
          <t>Fuel supply (adjacent market)</t>
        </is>
      </c>
      <c r="D5609" s="12" t="inlineStr">
        <is>
          <t>Home run JB-M&amp;R 5: ultrasonic -DI01 to the control / marshalling room</t>
        </is>
      </c>
      <c r="E5609" s="12" t="inlineStr"/>
      <c r="F5609" s="12" t="inlineStr">
        <is>
          <t>LNG 17: LNG e-house (13.8 kV / 480 V)</t>
        </is>
      </c>
      <c r="G5609" s="12" t="inlineStr">
        <is>
          <t>JB-M&amp;R 5: ultrasonic -DI01</t>
        </is>
      </c>
      <c r="H5609" s="12" t="inlineStr">
        <is>
          <t>M&amp;R 5: ultrasonic meters, 2 runs (custody transfer)</t>
        </is>
      </c>
      <c r="I5609" s="12" t="inlineStr">
        <is>
          <t>Instrumentation</t>
        </is>
      </c>
      <c r="J5609" s="12" t="inlineStr">
        <is>
          <t>Instrumentation ITC / PLTC, IS, #18 shielded pairs, blue jacket</t>
        </is>
      </c>
      <c r="K5609" s="12" t="inlineStr">
        <is>
          <t>ITC|24 pr|18</t>
        </is>
      </c>
      <c r="L5609" s="12" t="inlineStr">
        <is>
          <t>24 pr</t>
        </is>
      </c>
      <c r="M5609" s="12" t="inlineStr">
        <is>
          <t>18</t>
        </is>
      </c>
      <c r="N5609" s="12" t="n">
        <v>1</v>
      </c>
      <c r="O5609" s="12" t="n">
        <v>1</v>
      </c>
      <c r="P5609" s="12" t="n"/>
      <c r="Q5609" s="12" t="n"/>
      <c r="R5609" s="12" t="n"/>
      <c r="S5609" s="12" t="inlineStr">
        <is>
          <t>Duct bank</t>
        </is>
      </c>
      <c r="T5609" s="15" t="n">
        <v>696</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Analog instrument to JB JB-M&amp;R 6: regulation -AI01: 12 x 1 pr (field cables)</t>
        </is>
      </c>
      <c r="E5610" s="12" t="inlineStr"/>
      <c r="F5610" s="12" t="inlineStr">
        <is>
          <t>M&amp;R 6: regulation / flow control building</t>
        </is>
      </c>
      <c r="G5610" s="12" t="inlineStr">
        <is>
          <t>JB-M&amp;R 6: regulation -AI01</t>
        </is>
      </c>
      <c r="H5610" s="12" t="inlineStr">
        <is>
          <t>M&amp;R 6: regulation / flow control building</t>
        </is>
      </c>
      <c r="I5610" s="12" t="inlineStr">
        <is>
          <t>Instrumentation</t>
        </is>
      </c>
      <c r="J5610" s="12" t="inlineStr">
        <is>
          <t>Instrumentation ITC / PLTC, IS, #18 shielded pairs, blue jacket</t>
        </is>
      </c>
      <c r="K5610" s="12" t="inlineStr">
        <is>
          <t>ITC|1 pr|16</t>
        </is>
      </c>
      <c r="L5610" s="12" t="inlineStr">
        <is>
          <t>1 pr</t>
        </is>
      </c>
      <c r="M5610" s="12" t="inlineStr">
        <is>
          <t>16</t>
        </is>
      </c>
      <c r="N5610" s="12" t="n">
        <v>12</v>
      </c>
      <c r="O5610" s="12" t="n">
        <v>1</v>
      </c>
      <c r="P5610" s="12" t="n"/>
      <c r="Q5610" s="12" t="n"/>
      <c r="R5610" s="12" t="n"/>
      <c r="S5610" s="12" t="inlineStr">
        <is>
          <t>Tray / conduit</t>
        </is>
      </c>
      <c r="T5610" s="15" t="n">
        <v>61</v>
      </c>
      <c r="U5610" s="15" t="n">
        <v>10</v>
      </c>
      <c r="V5610" s="15">
        <f>ROUNDUP((T5610+U5610+2*'Read Me'!$B$13)*(1+'Read Me'!$B$12),-1)</f>
        <v/>
      </c>
      <c r="W5610" s="15">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K-I-0173</t>
        </is>
      </c>
      <c r="B5611" s="12" t="inlineStr">
        <is>
          <t>K</t>
        </is>
      </c>
      <c r="C5611" s="12" t="inlineStr">
        <is>
          <t>Fuel supply (adjacent market)</t>
        </is>
      </c>
      <c r="D5611" s="12" t="inlineStr">
        <is>
          <t>Home run JB-M&amp;R 6: regulation -AI01 to the control / marshalling room</t>
        </is>
      </c>
      <c r="E5611" s="12" t="inlineStr"/>
      <c r="F5611" s="12" t="inlineStr">
        <is>
          <t>LNG 17: LNG e-house (13.8 kV / 480 V)</t>
        </is>
      </c>
      <c r="G5611" s="12" t="inlineStr">
        <is>
          <t>JB-M&amp;R 6: regulation -AI01</t>
        </is>
      </c>
      <c r="H5611" s="12" t="inlineStr">
        <is>
          <t>M&amp;R 6: regulation / flow control building</t>
        </is>
      </c>
      <c r="I5611" s="12" t="inlineStr">
        <is>
          <t>Instrumentation</t>
        </is>
      </c>
      <c r="J5611" s="12" t="inlineStr">
        <is>
          <t>Instrumentation ITC / PLTC, IS, #18 shielded pairs, blue jacket</t>
        </is>
      </c>
      <c r="K5611" s="12" t="inlineStr">
        <is>
          <t>ITC|24 pr|18</t>
        </is>
      </c>
      <c r="L5611" s="12" t="inlineStr">
        <is>
          <t>24 pr</t>
        </is>
      </c>
      <c r="M5611" s="12" t="inlineStr">
        <is>
          <t>18</t>
        </is>
      </c>
      <c r="N5611" s="12" t="n">
        <v>1</v>
      </c>
      <c r="O5611" s="12" t="n">
        <v>1</v>
      </c>
      <c r="P5611" s="12" t="n"/>
      <c r="Q5611" s="12" t="n"/>
      <c r="R5611" s="12" t="n"/>
      <c r="S5611" s="12" t="inlineStr">
        <is>
          <t>Duct bank</t>
        </is>
      </c>
      <c r="T5611" s="15" t="n">
        <v>485</v>
      </c>
      <c r="U5611" s="15" t="n">
        <v>70</v>
      </c>
      <c r="V5611" s="15">
        <f>ROUNDUP((T5611+U5611+2*'Read Me'!$B$13)*(1+'Read Me'!$B$12),-1)</f>
        <v/>
      </c>
      <c r="W5611" s="15">
        <f>V5611*N5611*O5611</f>
        <v/>
      </c>
      <c r="X5611" s="12">
        <f>IF(LEFT(I5611,2)="MV",2*N5611*IF(L5611="1/C",O5611,1),0)</f>
        <v/>
      </c>
      <c r="Y5611" s="12">
        <f>IF(OR(LEFT(K5611,4)="LVAX",LEFT(K5611,6)="MV15AX",LEFT(K5611,4)="CTAX",LEFT(K5611,2)="W|"),2*N5611*O5611,0)</f>
        <v/>
      </c>
      <c r="Z5611" s="12" t="inlineStr"/>
      <c r="AA5611" s="12">
        <f>N5611*O5611</f>
        <v/>
      </c>
    </row>
    <row r="5612">
      <c r="A5612" s="12" t="inlineStr">
        <is>
          <t>K-I-0174</t>
        </is>
      </c>
      <c r="B5612" s="12" t="inlineStr">
        <is>
          <t>K</t>
        </is>
      </c>
      <c r="C5612" s="12" t="inlineStr">
        <is>
          <t>Fuel supply (adjacent market)</t>
        </is>
      </c>
      <c r="D5612" s="12" t="inlineStr">
        <is>
          <t>Discrete device to JB JB-M&amp;R 6: regulation -DI01: 12 x 1 pr (field cables)</t>
        </is>
      </c>
      <c r="E5612" s="12" t="inlineStr"/>
      <c r="F5612" s="12" t="inlineStr">
        <is>
          <t>M&amp;R 6: regulation / flow control building</t>
        </is>
      </c>
      <c r="G5612" s="12" t="inlineStr">
        <is>
          <t>JB-M&amp;R 6: regulation -DI01</t>
        </is>
      </c>
      <c r="H5612" s="12" t="inlineStr">
        <is>
          <t>M&amp;R 6: regulation / flow control building</t>
        </is>
      </c>
      <c r="I5612" s="12" t="inlineStr">
        <is>
          <t>Instrumentation</t>
        </is>
      </c>
      <c r="J5612" s="12" t="inlineStr">
        <is>
          <t>Instrumentation ITC / PLTC, IS, #18 shielded pairs, blue jacket</t>
        </is>
      </c>
      <c r="K5612" s="12" t="inlineStr">
        <is>
          <t>ITC|1 pr|16</t>
        </is>
      </c>
      <c r="L5612" s="12" t="inlineStr">
        <is>
          <t>1 pr</t>
        </is>
      </c>
      <c r="M5612" s="12" t="inlineStr">
        <is>
          <t>16</t>
        </is>
      </c>
      <c r="N5612" s="12" t="n">
        <v>12</v>
      </c>
      <c r="O5612" s="12" t="n">
        <v>1</v>
      </c>
      <c r="P5612" s="12" t="n"/>
      <c r="Q5612" s="12" t="n"/>
      <c r="R5612" s="12" t="n"/>
      <c r="S5612" s="12" t="inlineStr">
        <is>
          <t>Tray / conduit</t>
        </is>
      </c>
      <c r="T5612" s="15" t="n">
        <v>61</v>
      </c>
      <c r="U5612" s="15" t="n">
        <v>10</v>
      </c>
      <c r="V5612" s="15">
        <f>ROUNDUP((T5612+U5612+2*'Read Me'!$B$13)*(1+'Read Me'!$B$12),-1)</f>
        <v/>
      </c>
      <c r="W5612" s="15">
        <f>V5612*N5612*O5612</f>
        <v/>
      </c>
      <c r="X5612" s="12">
        <f>IF(LEFT(I5612,2)="MV",2*N5612*IF(L5612="1/C",O5612,1),0)</f>
        <v/>
      </c>
      <c r="Y5612" s="12">
        <f>IF(OR(LEFT(K5612,4)="LVAX",LEFT(K5612,6)="MV15AX",LEFT(K5612,4)="CTAX",LEFT(K5612,2)="W|"),2*N5612*O5612,0)</f>
        <v/>
      </c>
      <c r="Z5612" s="12" t="inlineStr">
        <is>
          <t>device-to-JB field wiring, one cable per device</t>
        </is>
      </c>
      <c r="AA5612" s="12">
        <f>N5612*O5612</f>
        <v/>
      </c>
    </row>
    <row r="5613">
      <c r="A5613" s="12" t="inlineStr">
        <is>
          <t>K-I-0175</t>
        </is>
      </c>
      <c r="B5613" s="12" t="inlineStr">
        <is>
          <t>K</t>
        </is>
      </c>
      <c r="C5613" s="12" t="inlineStr">
        <is>
          <t>Fuel supply (adjacent market)</t>
        </is>
      </c>
      <c r="D5613" s="12" t="inlineStr">
        <is>
          <t>Home run JB-M&amp;R 6: regulation -DI01 to the control / marshalling room</t>
        </is>
      </c>
      <c r="E5613" s="12" t="inlineStr"/>
      <c r="F5613" s="12" t="inlineStr">
        <is>
          <t>LNG 17: LNG e-house (13.8 kV / 480 V)</t>
        </is>
      </c>
      <c r="G5613" s="12" t="inlineStr">
        <is>
          <t>JB-M&amp;R 6: regulation -DI01</t>
        </is>
      </c>
      <c r="H5613" s="12" t="inlineStr">
        <is>
          <t>M&amp;R 6: regulation / flow control building</t>
        </is>
      </c>
      <c r="I5613" s="12" t="inlineStr">
        <is>
          <t>Instrumentation</t>
        </is>
      </c>
      <c r="J5613" s="12" t="inlineStr">
        <is>
          <t>Instrumentation ITC / PLTC, IS, #18 shielded pairs, blue jacket</t>
        </is>
      </c>
      <c r="K5613" s="12" t="inlineStr">
        <is>
          <t>ITC|24 pr|18</t>
        </is>
      </c>
      <c r="L5613" s="12" t="inlineStr">
        <is>
          <t>24 pr</t>
        </is>
      </c>
      <c r="M5613" s="12" t="inlineStr">
        <is>
          <t>18</t>
        </is>
      </c>
      <c r="N5613" s="12" t="n">
        <v>1</v>
      </c>
      <c r="O5613" s="12" t="n">
        <v>1</v>
      </c>
      <c r="P5613" s="12" t="n"/>
      <c r="Q5613" s="12" t="n"/>
      <c r="R5613" s="12" t="n"/>
      <c r="S5613" s="12" t="inlineStr">
        <is>
          <t>Duct bank</t>
        </is>
      </c>
      <c r="T5613" s="15" t="n">
        <v>485</v>
      </c>
      <c r="U5613" s="15" t="n">
        <v>70</v>
      </c>
      <c r="V5613" s="15">
        <f>ROUNDUP((T5613+U5613+2*'Read Me'!$B$13)*(1+'Read Me'!$B$12),-1)</f>
        <v/>
      </c>
      <c r="W5613" s="15">
        <f>V5613*N5613*O5613</f>
        <v/>
      </c>
      <c r="X5613" s="12">
        <f>IF(LEFT(I5613,2)="MV",2*N5613*IF(L5613="1/C",O5613,1),0)</f>
        <v/>
      </c>
      <c r="Y5613" s="12">
        <f>IF(OR(LEFT(K5613,4)="LVAX",LEFT(K5613,6)="MV15AX",LEFT(K5613,4)="CTAX",LEFT(K5613,2)="W|"),2*N5613*O5613,0)</f>
        <v/>
      </c>
      <c r="Z5613" s="12" t="inlineStr"/>
      <c r="AA5613" s="12">
        <f>N5613*O5613</f>
        <v/>
      </c>
    </row>
    <row r="5614">
      <c r="A5614" s="12" t="inlineStr">
        <is>
          <t>K-I-0176</t>
        </is>
      </c>
      <c r="B5614" s="12" t="inlineStr">
        <is>
          <t>K</t>
        </is>
      </c>
      <c r="C5614" s="12" t="inlineStr">
        <is>
          <t>Fuel supply (adjacent market)</t>
        </is>
      </c>
      <c r="D5614" s="12" t="inlineStr">
        <is>
          <t>Analog instrument to JB JB-M&amp;R 7: gas quality-AI01: 20 x 1 pr (field cables)</t>
        </is>
      </c>
      <c r="E5614" s="12" t="inlineStr"/>
      <c r="F5614" s="12" t="inlineStr">
        <is>
          <t>M&amp;R 7: gas quality + measurement building</t>
        </is>
      </c>
      <c r="G5614" s="12" t="inlineStr">
        <is>
          <t>JB-M&amp;R 7: gas quality-AI01</t>
        </is>
      </c>
      <c r="H5614" s="12" t="inlineStr">
        <is>
          <t>M&amp;R 7: gas quality + measurement building</t>
        </is>
      </c>
      <c r="I5614" s="12" t="inlineStr">
        <is>
          <t>Instrumentation</t>
        </is>
      </c>
      <c r="J5614" s="12" t="inlineStr">
        <is>
          <t>Instrumentation ITC / PLTC, IS, #18 shielded pairs, blue jacket</t>
        </is>
      </c>
      <c r="K5614" s="12" t="inlineStr">
        <is>
          <t>ITC|1 pr|16</t>
        </is>
      </c>
      <c r="L5614" s="12" t="inlineStr">
        <is>
          <t>1 pr</t>
        </is>
      </c>
      <c r="M5614" s="12" t="inlineStr">
        <is>
          <t>16</t>
        </is>
      </c>
      <c r="N5614" s="12" t="n">
        <v>20</v>
      </c>
      <c r="O5614" s="12" t="n">
        <v>1</v>
      </c>
      <c r="P5614" s="12" t="n"/>
      <c r="Q5614" s="12" t="n"/>
      <c r="R5614" s="12" t="n"/>
      <c r="S5614" s="12" t="inlineStr">
        <is>
          <t>Tray / conduit</t>
        </is>
      </c>
      <c r="T5614" s="15" t="n">
        <v>41</v>
      </c>
      <c r="U5614" s="15" t="n">
        <v>10</v>
      </c>
      <c r="V5614" s="15">
        <f>ROUNDUP((T5614+U5614+2*'Read Me'!$B$13)*(1+'Read Me'!$B$12),-1)</f>
        <v/>
      </c>
      <c r="W5614" s="15">
        <f>V5614*N5614*O5614</f>
        <v/>
      </c>
      <c r="X5614" s="12">
        <f>IF(LEFT(I5614,2)="MV",2*N5614*IF(L5614="1/C",O5614,1),0)</f>
        <v/>
      </c>
      <c r="Y5614" s="12">
        <f>IF(OR(LEFT(K5614,4)="LVAX",LEFT(K5614,6)="MV15AX",LEFT(K5614,4)="CTAX",LEFT(K5614,2)="W|"),2*N5614*O5614,0)</f>
        <v/>
      </c>
      <c r="Z5614" s="12" t="inlineStr">
        <is>
          <t>device-to-JB field wiring, one cable per device</t>
        </is>
      </c>
      <c r="AA5614" s="12">
        <f>N5614*O5614</f>
        <v/>
      </c>
    </row>
    <row r="5615">
      <c r="A5615" s="12" t="inlineStr">
        <is>
          <t>K-I-0177</t>
        </is>
      </c>
      <c r="B5615" s="12" t="inlineStr">
        <is>
          <t>K</t>
        </is>
      </c>
      <c r="C5615" s="12" t="inlineStr">
        <is>
          <t>Fuel supply (adjacent market)</t>
        </is>
      </c>
      <c r="D5615" s="12" t="inlineStr">
        <is>
          <t>Home run JB-M&amp;R 7: gas quality-AI01 to the control / marshalling room</t>
        </is>
      </c>
      <c r="E5615" s="12" t="inlineStr"/>
      <c r="F5615" s="12" t="inlineStr">
        <is>
          <t>LNG 17: LNG e-house (13.8 kV / 480 V)</t>
        </is>
      </c>
      <c r="G5615" s="12" t="inlineStr">
        <is>
          <t>JB-M&amp;R 7: gas quality-AI01</t>
        </is>
      </c>
      <c r="H5615" s="12" t="inlineStr">
        <is>
          <t>M&amp;R 7: gas quality + measurement building</t>
        </is>
      </c>
      <c r="I5615" s="12" t="inlineStr">
        <is>
          <t>Instrumentation</t>
        </is>
      </c>
      <c r="J5615" s="12" t="inlineStr">
        <is>
          <t>Instrumentation ITC / PLTC, IS, #18 shielded pairs, blue jacket</t>
        </is>
      </c>
      <c r="K5615" s="12" t="inlineStr">
        <is>
          <t>ITC|24 pr|18</t>
        </is>
      </c>
      <c r="L5615" s="12" t="inlineStr">
        <is>
          <t>24 pr</t>
        </is>
      </c>
      <c r="M5615" s="12" t="inlineStr">
        <is>
          <t>18</t>
        </is>
      </c>
      <c r="N5615" s="12" t="n">
        <v>1</v>
      </c>
      <c r="O5615" s="12" t="n">
        <v>1</v>
      </c>
      <c r="P5615" s="12" t="n"/>
      <c r="Q5615" s="12" t="n"/>
      <c r="R5615" s="12" t="n"/>
      <c r="S5615" s="12" t="inlineStr">
        <is>
          <t>Duct bank</t>
        </is>
      </c>
      <c r="T5615" s="15" t="n">
        <v>655</v>
      </c>
      <c r="U5615" s="15" t="n">
        <v>66</v>
      </c>
      <c r="V5615" s="15">
        <f>ROUNDUP((T5615+U5615+2*'Read Me'!$B$13)*(1+'Read Me'!$B$12),-1)</f>
        <v/>
      </c>
      <c r="W5615" s="15">
        <f>V5615*N5615*O5615</f>
        <v/>
      </c>
      <c r="X5615" s="12">
        <f>IF(LEFT(I5615,2)="MV",2*N5615*IF(L5615="1/C",O5615,1),0)</f>
        <v/>
      </c>
      <c r="Y5615" s="12">
        <f>IF(OR(LEFT(K5615,4)="LVAX",LEFT(K5615,6)="MV15AX",LEFT(K5615,4)="CTAX",LEFT(K5615,2)="W|"),2*N5615*O5615,0)</f>
        <v/>
      </c>
      <c r="Z5615" s="12" t="inlineStr"/>
      <c r="AA5615" s="12">
        <f>N5615*O5615</f>
        <v/>
      </c>
    </row>
    <row r="5616">
      <c r="A5616" s="12" t="inlineStr">
        <is>
          <t>K-I-0178</t>
        </is>
      </c>
      <c r="B5616" s="12" t="inlineStr">
        <is>
          <t>K</t>
        </is>
      </c>
      <c r="C5616" s="12" t="inlineStr">
        <is>
          <t>Fuel supply (adjacent market)</t>
        </is>
      </c>
      <c r="D5616" s="12" t="inlineStr">
        <is>
          <t>Discrete device to JB JB-M&amp;R 7: gas quality-DI01: 8 x 1 pr (field cables)</t>
        </is>
      </c>
      <c r="E5616" s="12" t="inlineStr"/>
      <c r="F5616" s="12" t="inlineStr">
        <is>
          <t>M&amp;R 7: gas quality + measurement building</t>
        </is>
      </c>
      <c r="G5616" s="12" t="inlineStr">
        <is>
          <t>JB-M&amp;R 7: gas quality-DI01</t>
        </is>
      </c>
      <c r="H5616" s="12" t="inlineStr">
        <is>
          <t>M&amp;R 7: gas quality + measurement building</t>
        </is>
      </c>
      <c r="I5616" s="12" t="inlineStr">
        <is>
          <t>Instrumentation</t>
        </is>
      </c>
      <c r="J5616" s="12" t="inlineStr">
        <is>
          <t>Instrumentation ITC / PLTC, IS, #18 shielded pairs, blue jacket</t>
        </is>
      </c>
      <c r="K5616" s="12" t="inlineStr">
        <is>
          <t>ITC|1 pr|16</t>
        </is>
      </c>
      <c r="L5616" s="12" t="inlineStr">
        <is>
          <t>1 pr</t>
        </is>
      </c>
      <c r="M5616" s="12" t="inlineStr">
        <is>
          <t>16</t>
        </is>
      </c>
      <c r="N5616" s="12" t="n">
        <v>8</v>
      </c>
      <c r="O5616" s="12" t="n">
        <v>1</v>
      </c>
      <c r="P5616" s="12" t="n"/>
      <c r="Q5616" s="12" t="n"/>
      <c r="R5616" s="12" t="n"/>
      <c r="S5616" s="12" t="inlineStr">
        <is>
          <t>Tray / conduit</t>
        </is>
      </c>
      <c r="T5616" s="15" t="n">
        <v>41</v>
      </c>
      <c r="U5616" s="15" t="n">
        <v>10</v>
      </c>
      <c r="V5616" s="15">
        <f>ROUNDUP((T5616+U5616+2*'Read Me'!$B$13)*(1+'Read Me'!$B$12),-1)</f>
        <v/>
      </c>
      <c r="W5616" s="15">
        <f>V5616*N5616*O5616</f>
        <v/>
      </c>
      <c r="X5616" s="12">
        <f>IF(LEFT(I5616,2)="MV",2*N5616*IF(L5616="1/C",O5616,1),0)</f>
        <v/>
      </c>
      <c r="Y5616" s="12">
        <f>IF(OR(LEFT(K5616,4)="LVAX",LEFT(K5616,6)="MV15AX",LEFT(K5616,4)="CTAX",LEFT(K5616,2)="W|"),2*N5616*O5616,0)</f>
        <v/>
      </c>
      <c r="Z5616" s="12" t="inlineStr">
        <is>
          <t>device-to-JB field wiring, one cable per device</t>
        </is>
      </c>
      <c r="AA5616" s="12">
        <f>N5616*O5616</f>
        <v/>
      </c>
    </row>
    <row r="5617">
      <c r="A5617" s="12" t="inlineStr">
        <is>
          <t>K-I-0179</t>
        </is>
      </c>
      <c r="B5617" s="12" t="inlineStr">
        <is>
          <t>K</t>
        </is>
      </c>
      <c r="C5617" s="12" t="inlineStr">
        <is>
          <t>Fuel supply (adjacent market)</t>
        </is>
      </c>
      <c r="D5617" s="12" t="inlineStr">
        <is>
          <t>Home run JB-M&amp;R 7: gas quality-DI01 to the control / marshalling room</t>
        </is>
      </c>
      <c r="E5617" s="12" t="inlineStr"/>
      <c r="F5617" s="12" t="inlineStr">
        <is>
          <t>LNG 17: LNG e-house (13.8 kV / 480 V)</t>
        </is>
      </c>
      <c r="G5617" s="12" t="inlineStr">
        <is>
          <t>JB-M&amp;R 7: gas quality-DI01</t>
        </is>
      </c>
      <c r="H5617" s="12" t="inlineStr">
        <is>
          <t>M&amp;R 7: gas quality + measurement building</t>
        </is>
      </c>
      <c r="I5617" s="12" t="inlineStr">
        <is>
          <t>Instrumentation</t>
        </is>
      </c>
      <c r="J5617" s="12" t="inlineStr">
        <is>
          <t>Instrumentation ITC / PLTC, IS, #18 shielded pairs, blue jacket</t>
        </is>
      </c>
      <c r="K5617" s="12" t="inlineStr">
        <is>
          <t>ITC|24 pr|18</t>
        </is>
      </c>
      <c r="L5617" s="12" t="inlineStr">
        <is>
          <t>24 pr</t>
        </is>
      </c>
      <c r="M5617" s="12" t="inlineStr">
        <is>
          <t>18</t>
        </is>
      </c>
      <c r="N5617" s="12" t="n">
        <v>1</v>
      </c>
      <c r="O5617" s="12" t="n">
        <v>1</v>
      </c>
      <c r="P5617" s="12" t="n"/>
      <c r="Q5617" s="12" t="n"/>
      <c r="R5617" s="12" t="n"/>
      <c r="S5617" s="12" t="inlineStr">
        <is>
          <t>Duct bank</t>
        </is>
      </c>
      <c r="T5617" s="15" t="n">
        <v>655</v>
      </c>
      <c r="U5617" s="15" t="n">
        <v>66</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K-I-0180</t>
        </is>
      </c>
      <c r="B5618" s="12" t="inlineStr">
        <is>
          <t>K</t>
        </is>
      </c>
      <c r="C5618" s="12" t="inlineStr">
        <is>
          <t>Fuel supply (adjacent market)</t>
        </is>
      </c>
      <c r="D5618" s="12" t="inlineStr">
        <is>
          <t>Analog instrument to JB JB-M&amp;R 8: condensate -AI01: 4 x 1 pr (field cables)</t>
        </is>
      </c>
      <c r="E5618" s="12" t="inlineStr"/>
      <c r="F5618" s="12" t="inlineStr">
        <is>
          <t>M&amp;R 8: condensate tank</t>
        </is>
      </c>
      <c r="G5618" s="12" t="inlineStr">
        <is>
          <t>JB-M&amp;R 8: condensate -AI01</t>
        </is>
      </c>
      <c r="H5618" s="12" t="inlineStr">
        <is>
          <t>M&amp;R 8: condensate tank</t>
        </is>
      </c>
      <c r="I5618" s="12" t="inlineStr">
        <is>
          <t>Instrumentation</t>
        </is>
      </c>
      <c r="J5618" s="12" t="inlineStr">
        <is>
          <t>Instrumentation ITC / PLTC, IS, #18 shielded pairs, blue jacket</t>
        </is>
      </c>
      <c r="K5618" s="12" t="inlineStr">
        <is>
          <t>ITC|1 pr|16</t>
        </is>
      </c>
      <c r="L5618" s="12" t="inlineStr">
        <is>
          <t>1 pr</t>
        </is>
      </c>
      <c r="M5618" s="12" t="inlineStr">
        <is>
          <t>16</t>
        </is>
      </c>
      <c r="N5618" s="12" t="n">
        <v>4</v>
      </c>
      <c r="O5618" s="12" t="n">
        <v>1</v>
      </c>
      <c r="P5618" s="12" t="n"/>
      <c r="Q5618" s="12" t="n"/>
      <c r="R5618" s="12" t="n"/>
      <c r="S5618" s="12" t="inlineStr">
        <is>
          <t>Tray / conduit</t>
        </is>
      </c>
      <c r="T5618" s="15" t="n">
        <v>41</v>
      </c>
      <c r="U5618" s="15" t="n">
        <v>10</v>
      </c>
      <c r="V5618" s="15">
        <f>ROUNDUP((T5618+U5618+2*'Read Me'!$B$13)*(1+'Read Me'!$B$12),-1)</f>
        <v/>
      </c>
      <c r="W5618" s="15">
        <f>V5618*N5618*O5618</f>
        <v/>
      </c>
      <c r="X5618" s="12">
        <f>IF(LEFT(I5618,2)="MV",2*N5618*IF(L5618="1/C",O5618,1),0)</f>
        <v/>
      </c>
      <c r="Y5618" s="12">
        <f>IF(OR(LEFT(K5618,4)="LVAX",LEFT(K5618,6)="MV15AX",LEFT(K5618,4)="CTAX",LEFT(K5618,2)="W|"),2*N5618*O5618,0)</f>
        <v/>
      </c>
      <c r="Z5618" s="12" t="inlineStr">
        <is>
          <t>device-to-JB field wiring, one cable per device</t>
        </is>
      </c>
      <c r="AA5618" s="12">
        <f>N5618*O5618</f>
        <v/>
      </c>
    </row>
    <row r="5619">
      <c r="A5619" s="12" t="inlineStr">
        <is>
          <t>K-I-0181</t>
        </is>
      </c>
      <c r="B5619" s="12" t="inlineStr">
        <is>
          <t>K</t>
        </is>
      </c>
      <c r="C5619" s="12" t="inlineStr">
        <is>
          <t>Fuel supply (adjacent market)</t>
        </is>
      </c>
      <c r="D5619" s="12" t="inlineStr">
        <is>
          <t>Home run JB-M&amp;R 8: condensate -AI01 to the control / marshalling room</t>
        </is>
      </c>
      <c r="E5619" s="12" t="inlineStr"/>
      <c r="F5619" s="12" t="inlineStr">
        <is>
          <t>LNG 17: LNG e-house (13.8 kV / 480 V)</t>
        </is>
      </c>
      <c r="G5619" s="12" t="inlineStr">
        <is>
          <t>JB-M&amp;R 8: condensate -AI01</t>
        </is>
      </c>
      <c r="H5619" s="12" t="inlineStr">
        <is>
          <t>M&amp;R 8: condensate tank</t>
        </is>
      </c>
      <c r="I5619" s="12" t="inlineStr">
        <is>
          <t>Instrumentation</t>
        </is>
      </c>
      <c r="J5619" s="12" t="inlineStr">
        <is>
          <t>Instrumentation ITC / PLTC, IS, #18 shielded pairs, blue jacket</t>
        </is>
      </c>
      <c r="K5619" s="12" t="inlineStr">
        <is>
          <t>ITC|24 pr|18</t>
        </is>
      </c>
      <c r="L5619" s="12" t="inlineStr">
        <is>
          <t>24 pr</t>
        </is>
      </c>
      <c r="M5619" s="12" t="inlineStr">
        <is>
          <t>18</t>
        </is>
      </c>
      <c r="N5619" s="12" t="n">
        <v>1</v>
      </c>
      <c r="O5619" s="12" t="n">
        <v>1</v>
      </c>
      <c r="P5619" s="12" t="n"/>
      <c r="Q5619" s="12" t="n"/>
      <c r="R5619" s="12" t="n"/>
      <c r="S5619" s="12" t="inlineStr">
        <is>
          <t>Duct bank</t>
        </is>
      </c>
      <c r="T5619" s="15" t="n">
        <v>545</v>
      </c>
      <c r="U5619" s="15" t="n">
        <v>87</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K-I-0182</t>
        </is>
      </c>
      <c r="B5620" s="12" t="inlineStr">
        <is>
          <t>K</t>
        </is>
      </c>
      <c r="C5620" s="12" t="inlineStr">
        <is>
          <t>Fuel supply (adjacent market)</t>
        </is>
      </c>
      <c r="D5620" s="12" t="inlineStr">
        <is>
          <t>Discrete device to JB JB-M&amp;R 8: condensate -DI01: 4 x 1 pr (field cables)</t>
        </is>
      </c>
      <c r="E5620" s="12" t="inlineStr"/>
      <c r="F5620" s="12" t="inlineStr">
        <is>
          <t>M&amp;R 8: condensate tank</t>
        </is>
      </c>
      <c r="G5620" s="12" t="inlineStr">
        <is>
          <t>JB-M&amp;R 8: condensate -DI01</t>
        </is>
      </c>
      <c r="H5620" s="12" t="inlineStr">
        <is>
          <t>M&amp;R 8: condensate tank</t>
        </is>
      </c>
      <c r="I5620" s="12" t="inlineStr">
        <is>
          <t>Instrumentation</t>
        </is>
      </c>
      <c r="J5620" s="12" t="inlineStr">
        <is>
          <t>Instrumentation ITC / PLTC, IS, #18 shielded pairs, blue jacket</t>
        </is>
      </c>
      <c r="K5620" s="12" t="inlineStr">
        <is>
          <t>ITC|1 pr|16</t>
        </is>
      </c>
      <c r="L5620" s="12" t="inlineStr">
        <is>
          <t>1 pr</t>
        </is>
      </c>
      <c r="M5620" s="12" t="inlineStr">
        <is>
          <t>16</t>
        </is>
      </c>
      <c r="N5620" s="12" t="n">
        <v>4</v>
      </c>
      <c r="O5620" s="12" t="n">
        <v>1</v>
      </c>
      <c r="P5620" s="12" t="n"/>
      <c r="Q5620" s="12" t="n"/>
      <c r="R5620" s="12" t="n"/>
      <c r="S5620" s="12" t="inlineStr">
        <is>
          <t>Tray / conduit</t>
        </is>
      </c>
      <c r="T5620" s="15" t="n">
        <v>41</v>
      </c>
      <c r="U5620" s="15" t="n">
        <v>10</v>
      </c>
      <c r="V5620" s="15">
        <f>ROUNDUP((T5620+U5620+2*'Read Me'!$B$13)*(1+'Read Me'!$B$12),-1)</f>
        <v/>
      </c>
      <c r="W5620" s="15">
        <f>V5620*N5620*O5620</f>
        <v/>
      </c>
      <c r="X5620" s="12">
        <f>IF(LEFT(I5620,2)="MV",2*N5620*IF(L5620="1/C",O5620,1),0)</f>
        <v/>
      </c>
      <c r="Y5620" s="12">
        <f>IF(OR(LEFT(K5620,4)="LVAX",LEFT(K5620,6)="MV15AX",LEFT(K5620,4)="CTAX",LEFT(K5620,2)="W|"),2*N5620*O5620,0)</f>
        <v/>
      </c>
      <c r="Z5620" s="12" t="inlineStr">
        <is>
          <t>device-to-JB field wiring, one cable per device</t>
        </is>
      </c>
      <c r="AA5620" s="12">
        <f>N5620*O5620</f>
        <v/>
      </c>
    </row>
    <row r="5621">
      <c r="A5621" s="12" t="inlineStr">
        <is>
          <t>K-I-0183</t>
        </is>
      </c>
      <c r="B5621" s="12" t="inlineStr">
        <is>
          <t>K</t>
        </is>
      </c>
      <c r="C5621" s="12" t="inlineStr">
        <is>
          <t>Fuel supply (adjacent market)</t>
        </is>
      </c>
      <c r="D5621" s="12" t="inlineStr">
        <is>
          <t>Home run JB-M&amp;R 8: condensate -DI01 to the control / marshalling room</t>
        </is>
      </c>
      <c r="E5621" s="12" t="inlineStr"/>
      <c r="F5621" s="12" t="inlineStr">
        <is>
          <t>LNG 17: LNG e-house (13.8 kV / 480 V)</t>
        </is>
      </c>
      <c r="G5621" s="12" t="inlineStr">
        <is>
          <t>JB-M&amp;R 8: condensate -DI01</t>
        </is>
      </c>
      <c r="H5621" s="12" t="inlineStr">
        <is>
          <t>M&amp;R 8: condensate tank</t>
        </is>
      </c>
      <c r="I5621" s="12" t="inlineStr">
        <is>
          <t>Instrumentation</t>
        </is>
      </c>
      <c r="J5621" s="12" t="inlineStr">
        <is>
          <t>Instrumentation ITC / PLTC, IS, #18 shielded pairs, blue jacket</t>
        </is>
      </c>
      <c r="K5621" s="12" t="inlineStr">
        <is>
          <t>ITC|24 pr|18</t>
        </is>
      </c>
      <c r="L5621" s="12" t="inlineStr">
        <is>
          <t>24 pr</t>
        </is>
      </c>
      <c r="M5621" s="12" t="inlineStr">
        <is>
          <t>18</t>
        </is>
      </c>
      <c r="N5621" s="12" t="n">
        <v>1</v>
      </c>
      <c r="O5621" s="12" t="n">
        <v>1</v>
      </c>
      <c r="P5621" s="12" t="n"/>
      <c r="Q5621" s="12" t="n"/>
      <c r="R5621" s="12" t="n"/>
      <c r="S5621" s="12" t="inlineStr">
        <is>
          <t>Duct bank</t>
        </is>
      </c>
      <c r="T5621" s="15" t="n">
        <v>545</v>
      </c>
      <c r="U5621" s="15" t="n">
        <v>87</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K-I-0184</t>
        </is>
      </c>
      <c r="B5622" s="12" t="inlineStr">
        <is>
          <t>K</t>
        </is>
      </c>
      <c r="C5622" s="12" t="inlineStr">
        <is>
          <t>Fuel supply (adjacent market)</t>
        </is>
      </c>
      <c r="D5622" s="12" t="inlineStr">
        <is>
          <t>Instrumentation</t>
        </is>
      </c>
      <c r="E5622" s="12" t="inlineStr"/>
      <c r="F5622" s="12" t="inlineStr">
        <is>
          <t>LNG 17: LNG e-house (13.8 kV / 480 V)</t>
        </is>
      </c>
      <c r="G5622" s="12" t="inlineStr"/>
      <c r="H5622" s="12" t="inlineStr">
        <is>
          <t>M&amp;R CP test station (as drawn)</t>
        </is>
      </c>
      <c r="I5622" s="12" t="inlineStr">
        <is>
          <t>Instrumentation</t>
        </is>
      </c>
      <c r="J5622" s="12" t="inlineStr">
        <is>
          <t>Instrumentation ITC / PLTC, IS, #18 shielded pairs, blue jacket</t>
        </is>
      </c>
      <c r="K5622" s="12" t="inlineStr">
        <is>
          <t>ITC|4 pr|18</t>
        </is>
      </c>
      <c r="L5622" s="12" t="inlineStr">
        <is>
          <t>4 pr</t>
        </is>
      </c>
      <c r="M5622" s="12" t="inlineStr">
        <is>
          <t>18</t>
        </is>
      </c>
      <c r="N5622" s="12" t="n">
        <v>1</v>
      </c>
      <c r="O5622" s="12" t="n">
        <v>1</v>
      </c>
      <c r="P5622" s="12" t="n"/>
      <c r="Q5622" s="12" t="n"/>
      <c r="R5622" s="12" t="n"/>
      <c r="S5622" s="12" t="inlineStr">
        <is>
          <t>Duct bank</t>
        </is>
      </c>
      <c r="T5622" s="15" t="n">
        <v>453</v>
      </c>
      <c r="U5622" s="15" t="n">
        <v>50</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Instrumentation</t>
        </is>
      </c>
      <c r="E5623" s="12" t="inlineStr"/>
      <c r="F5623" s="12" t="inlineStr">
        <is>
          <t>H2 20: 13.8 kV e-house</t>
        </is>
      </c>
      <c r="G5623" s="12" t="inlineStr"/>
      <c r="H5623" s="12" t="inlineStr">
        <is>
          <t>PEM electrolyzer 1 (HyLYZER-1000)</t>
        </is>
      </c>
      <c r="I5623" s="12" t="inlineStr">
        <is>
          <t>Instrumentation</t>
        </is>
      </c>
      <c r="J5623" s="12" t="inlineStr">
        <is>
          <t>Instrumentation ITC / PLTC, IS, #18 shielded pairs, blue jacket</t>
        </is>
      </c>
      <c r="K5623" s="12" t="inlineStr">
        <is>
          <t>ITC|4 pr|18</t>
        </is>
      </c>
      <c r="L5623" s="12" t="inlineStr">
        <is>
          <t>4 pr</t>
        </is>
      </c>
      <c r="M5623" s="12" t="inlineStr">
        <is>
          <t>18</t>
        </is>
      </c>
      <c r="N5623" s="12" t="n">
        <v>1</v>
      </c>
      <c r="O5623" s="12" t="n">
        <v>1</v>
      </c>
      <c r="P5623" s="12" t="n"/>
      <c r="Q5623" s="12" t="n"/>
      <c r="R5623" s="12" t="n"/>
      <c r="S5623" s="12" t="inlineStr">
        <is>
          <t>Duct bank</t>
        </is>
      </c>
      <c r="T5623" s="15" t="n">
        <v>426</v>
      </c>
      <c r="U5623" s="15" t="n">
        <v>33</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K-I-0186</t>
        </is>
      </c>
      <c r="B5624" s="12" t="inlineStr">
        <is>
          <t>K</t>
        </is>
      </c>
      <c r="C5624" s="12" t="inlineStr">
        <is>
          <t>Fuel supply (adjacent market)</t>
        </is>
      </c>
      <c r="D5624" s="12" t="inlineStr">
        <is>
          <t>Instrumentation</t>
        </is>
      </c>
      <c r="E5624" s="12" t="inlineStr"/>
      <c r="F5624" s="12" t="inlineStr">
        <is>
          <t>H2 20: 13.8 kV e-house</t>
        </is>
      </c>
      <c r="G5624" s="12" t="inlineStr"/>
      <c r="H5624" s="12" t="inlineStr">
        <is>
          <t>PEM electrolyzer 2 (HyLYZER-1000)</t>
        </is>
      </c>
      <c r="I5624" s="12" t="inlineStr">
        <is>
          <t>Instrumentation</t>
        </is>
      </c>
      <c r="J5624" s="12" t="inlineStr">
        <is>
          <t>Instrumentation ITC / PLTC, IS, #18 shielded pairs, blue jacket</t>
        </is>
      </c>
      <c r="K5624" s="12" t="inlineStr">
        <is>
          <t>ITC|4 pr|18</t>
        </is>
      </c>
      <c r="L5624" s="12" t="inlineStr">
        <is>
          <t>4 pr</t>
        </is>
      </c>
      <c r="M5624" s="12" t="inlineStr">
        <is>
          <t>18</t>
        </is>
      </c>
      <c r="N5624" s="12" t="n">
        <v>1</v>
      </c>
      <c r="O5624" s="12" t="n">
        <v>1</v>
      </c>
      <c r="P5624" s="12" t="n"/>
      <c r="Q5624" s="12" t="n"/>
      <c r="R5624" s="12" t="n"/>
      <c r="S5624" s="12" t="inlineStr">
        <is>
          <t>Duct bank</t>
        </is>
      </c>
      <c r="T5624" s="15" t="n">
        <v>379</v>
      </c>
      <c r="U5624" s="15" t="n">
        <v>49</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Instrumentation</t>
        </is>
      </c>
      <c r="E5625" s="12" t="inlineStr"/>
      <c r="F5625" s="12" t="inlineStr">
        <is>
          <t>H2 20: 13.8 kV e-house</t>
        </is>
      </c>
      <c r="G5625" s="12" t="inlineStr"/>
      <c r="H5625" s="12" t="inlineStr">
        <is>
          <t>PEM electrolyzer 3 (HyLYZER-1000)</t>
        </is>
      </c>
      <c r="I5625" s="12" t="inlineStr">
        <is>
          <t>Instrumentation</t>
        </is>
      </c>
      <c r="J5625" s="12" t="inlineStr">
        <is>
          <t>Instrumentation ITC / PLTC, IS, #18 shielded pairs, blue jacket</t>
        </is>
      </c>
      <c r="K5625" s="12" t="inlineStr">
        <is>
          <t>ITC|4 pr|18</t>
        </is>
      </c>
      <c r="L5625" s="12" t="inlineStr">
        <is>
          <t>4 pr</t>
        </is>
      </c>
      <c r="M5625" s="12" t="inlineStr">
        <is>
          <t>18</t>
        </is>
      </c>
      <c r="N5625" s="12" t="n">
        <v>1</v>
      </c>
      <c r="O5625" s="12" t="n">
        <v>1</v>
      </c>
      <c r="P5625" s="12" t="n"/>
      <c r="Q5625" s="12" t="n"/>
      <c r="R5625" s="12" t="n"/>
      <c r="S5625" s="12" t="inlineStr">
        <is>
          <t>Duct bank</t>
        </is>
      </c>
      <c r="T5625" s="15" t="n">
        <v>356</v>
      </c>
      <c r="U5625" s="15" t="n">
        <v>49</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K-I-0188</t>
        </is>
      </c>
      <c r="B5626" s="12" t="inlineStr">
        <is>
          <t>K</t>
        </is>
      </c>
      <c r="C5626" s="12" t="inlineStr">
        <is>
          <t>Fuel supply (adjacent market)</t>
        </is>
      </c>
      <c r="D5626" s="12" t="inlineStr">
        <is>
          <t>Instrumentation</t>
        </is>
      </c>
      <c r="E5626" s="12" t="inlineStr"/>
      <c r="F5626" s="12" t="inlineStr">
        <is>
          <t>H2 20: 13.8 kV e-house</t>
        </is>
      </c>
      <c r="G5626" s="12" t="inlineStr"/>
      <c r="H5626" s="12" t="inlineStr">
        <is>
          <t>PEM electrolyzer 4 (HyLYZER-1000)</t>
        </is>
      </c>
      <c r="I5626" s="12" t="inlineStr">
        <is>
          <t>Instrumentation</t>
        </is>
      </c>
      <c r="J5626" s="12" t="inlineStr">
        <is>
          <t>Instrumentation ITC / PLTC, IS, #18 shielded pairs, blue jacket</t>
        </is>
      </c>
      <c r="K5626" s="12" t="inlineStr">
        <is>
          <t>ITC|4 pr|18</t>
        </is>
      </c>
      <c r="L5626" s="12" t="inlineStr">
        <is>
          <t>4 pr</t>
        </is>
      </c>
      <c r="M5626" s="12" t="inlineStr">
        <is>
          <t>18</t>
        </is>
      </c>
      <c r="N5626" s="12" t="n">
        <v>1</v>
      </c>
      <c r="O5626" s="12" t="n">
        <v>1</v>
      </c>
      <c r="P5626" s="12" t="n"/>
      <c r="Q5626" s="12" t="n"/>
      <c r="R5626" s="12" t="n"/>
      <c r="S5626" s="12" t="inlineStr">
        <is>
          <t>Duct bank</t>
        </is>
      </c>
      <c r="T5626" s="15" t="n">
        <v>333</v>
      </c>
      <c r="U5626" s="15" t="n">
        <v>49</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H2 20: 13.8 kV e-house</t>
        </is>
      </c>
      <c r="G5627" s="12" t="inlineStr"/>
      <c r="H5627" s="12" t="inlineStr">
        <is>
          <t>PEM electrolyzer 5 (HyLYZER-1000)</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5" t="n">
        <v>303</v>
      </c>
      <c r="U5627" s="15" t="n">
        <v>59</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K-P-0001</t>
        </is>
      </c>
      <c r="B5628" s="12" t="inlineStr">
        <is>
          <t>K</t>
        </is>
      </c>
      <c r="C5628" s="12" t="inlineStr">
        <is>
          <t>Fuel supply (adjacent market)</t>
        </is>
      </c>
      <c r="D5628" s="12" t="inlineStr">
        <is>
          <t>Motor 1 of 1, 15 kW</t>
        </is>
      </c>
      <c r="E5628" s="12" t="inlineStr"/>
      <c r="F5628" s="12" t="inlineStr">
        <is>
          <t>H2 20: 13.8 kV e-house</t>
        </is>
      </c>
      <c r="G5628" s="12" t="inlineStr">
        <is>
          <t>T-H2</t>
        </is>
      </c>
      <c r="H5628" s="12" t="inlineStr">
        <is>
          <t>H2 19: T-H2 230/13.8 kV (about 40 MVA)</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Conduit link</t>
        </is>
      </c>
      <c r="T5628" s="15" t="n">
        <v>30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is>
          <t>VD 0.6 %</t>
        </is>
      </c>
      <c r="AA5628" s="12">
        <f>N5628*O5628</f>
        <v/>
      </c>
    </row>
    <row r="5629">
      <c r="A5629" s="12" t="inlineStr">
        <is>
          <t>K-P-0002</t>
        </is>
      </c>
      <c r="B5629" s="12" t="inlineStr">
        <is>
          <t>K</t>
        </is>
      </c>
      <c r="C5629" s="12" t="inlineStr">
        <is>
          <t>Fuel supply (adjacent market)</t>
        </is>
      </c>
      <c r="D5629" s="12" t="inlineStr">
        <is>
          <t>Motor 1 of 1, 15 kW</t>
        </is>
      </c>
      <c r="E5629" s="12" t="inlineStr"/>
      <c r="F5629" s="12" t="inlineStr">
        <is>
          <t>H2 20: 13.8 kV e-house</t>
        </is>
      </c>
      <c r="G5629" s="12" t="inlineStr"/>
      <c r="H5629" s="12" t="inlineStr">
        <is>
          <t>H2 20: 13.8 kV e-house</t>
        </is>
      </c>
      <c r="I5629" s="12" t="inlineStr">
        <is>
          <t>LV 600 V</t>
        </is>
      </c>
      <c r="J5629" s="12" t="inlineStr">
        <is>
          <t>ARMOR-X MC-HL 600 V 3/C Cu XHHW-2 + ground, CWA, black PVC (Class I Div 2)</t>
        </is>
      </c>
      <c r="K5629" s="12" t="inlineStr">
        <is>
          <t>LVAX|3/C+G|10</t>
        </is>
      </c>
      <c r="L5629" s="12" t="inlineStr">
        <is>
          <t>3/C+G</t>
        </is>
      </c>
      <c r="M5629" s="12" t="inlineStr">
        <is>
          <t>10</t>
        </is>
      </c>
      <c r="N5629" s="12" t="n">
        <v>1</v>
      </c>
      <c r="O5629" s="12" t="n">
        <v>1</v>
      </c>
      <c r="P5629" s="12" t="n">
        <v>480</v>
      </c>
      <c r="Q5629" s="12" t="n">
        <v>15</v>
      </c>
      <c r="R5629" s="12" t="n">
        <v>21.2</v>
      </c>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is>
          <t>VD 0.3 %</t>
        </is>
      </c>
      <c r="AA5629" s="12">
        <f>N5629*O5629</f>
        <v/>
      </c>
    </row>
    <row r="5630">
      <c r="A5630" s="12" t="inlineStr">
        <is>
          <t>K-P-0003</t>
        </is>
      </c>
      <c r="B5630" s="12" t="inlineStr">
        <is>
          <t>K</t>
        </is>
      </c>
      <c r="C5630" s="12" t="inlineStr">
        <is>
          <t>Fuel supply (adjacent market)</t>
        </is>
      </c>
      <c r="D5630" s="12" t="inlineStr">
        <is>
          <t>Motor 1 of 1, 15 kW</t>
        </is>
      </c>
      <c r="E5630" s="12" t="inlineStr"/>
      <c r="F5630" s="12" t="inlineStr">
        <is>
          <t>H2 20: 13.8 kV e-house</t>
        </is>
      </c>
      <c r="G5630" s="12" t="inlineStr"/>
      <c r="H5630" s="12" t="inlineStr">
        <is>
          <t>H2 21: rectifier transformer 1 (7 MVA)</t>
        </is>
      </c>
      <c r="I5630" s="12" t="inlineStr">
        <is>
          <t>LV 600 V</t>
        </is>
      </c>
      <c r="J5630" s="12" t="inlineStr">
        <is>
          <t>ARMOR-X MC-HL 600 V 3/C Cu XHHW-2 + ground, CWA, black PVC (Class I Div 2)</t>
        </is>
      </c>
      <c r="K5630" s="12" t="inlineStr">
        <is>
          <t>LVAX|3/C+G|8</t>
        </is>
      </c>
      <c r="L5630" s="12" t="inlineStr">
        <is>
          <t>3/C+G</t>
        </is>
      </c>
      <c r="M5630" s="12" t="inlineStr">
        <is>
          <t>8</t>
        </is>
      </c>
      <c r="N5630" s="12" t="n">
        <v>1</v>
      </c>
      <c r="O5630" s="12" t="n">
        <v>1</v>
      </c>
      <c r="P5630" s="12" t="n">
        <v>480</v>
      </c>
      <c r="Q5630" s="12" t="n">
        <v>15</v>
      </c>
      <c r="R5630" s="12" t="n">
        <v>21.2</v>
      </c>
      <c r="S5630" s="12" t="inlineStr">
        <is>
          <t>Duct bank</t>
        </is>
      </c>
      <c r="T5630" s="15" t="n">
        <v>348</v>
      </c>
      <c r="U5630" s="15" t="n">
        <v>48</v>
      </c>
      <c r="V5630" s="15">
        <f>ROUNDUP((T5630+U5630+2*'Read Me'!$B$13)*(1+'Read Me'!$B$12),-1)</f>
        <v/>
      </c>
      <c r="W5630" s="15">
        <f>V5630*N5630*O5630</f>
        <v/>
      </c>
      <c r="X5630" s="12">
        <f>IF(LEFT(I5630,2)="MV",2*N5630*IF(L5630="1/C",O5630,1),0)</f>
        <v/>
      </c>
      <c r="Y5630" s="12">
        <f>IF(OR(LEFT(K5630,4)="LVAX",LEFT(K5630,6)="MV15AX",LEFT(K5630,4)="CTAX",LEFT(K5630,2)="W|"),2*N5630*O5630,0)</f>
        <v/>
      </c>
      <c r="Z5630" s="12" t="inlineStr">
        <is>
          <t>VD 2.5 %</t>
        </is>
      </c>
      <c r="AA5630" s="12">
        <f>N5630*O5630</f>
        <v/>
      </c>
    </row>
    <row r="5631">
      <c r="A5631" s="12" t="inlineStr">
        <is>
          <t>K-P-0004</t>
        </is>
      </c>
      <c r="B5631" s="12" t="inlineStr">
        <is>
          <t>K</t>
        </is>
      </c>
      <c r="C5631" s="12" t="inlineStr">
        <is>
          <t>Fuel supply (adjacent market)</t>
        </is>
      </c>
      <c r="D5631" s="12" t="inlineStr">
        <is>
          <t>Motor 1 of 1, 15 kW</t>
        </is>
      </c>
      <c r="E5631" s="12" t="inlineStr"/>
      <c r="F5631" s="12" t="inlineStr">
        <is>
          <t>H2 20: 13.8 kV e-house</t>
        </is>
      </c>
      <c r="G5631" s="12" t="inlineStr"/>
      <c r="H5631" s="12" t="inlineStr">
        <is>
          <t>H2 21: rectifier transformer 2 (7 MVA)</t>
        </is>
      </c>
      <c r="I5631" s="12" t="inlineStr">
        <is>
          <t>LV 600 V</t>
        </is>
      </c>
      <c r="J5631" s="12" t="inlineStr">
        <is>
          <t>ARMOR-X MC-HL 600 V 3/C Cu XHHW-2 + ground, CWA, black PVC (Class I Div 2)</t>
        </is>
      </c>
      <c r="K5631" s="12" t="inlineStr">
        <is>
          <t>LVAX|3/C+G|8</t>
        </is>
      </c>
      <c r="L5631" s="12" t="inlineStr">
        <is>
          <t>3/C+G</t>
        </is>
      </c>
      <c r="M5631" s="12" t="inlineStr">
        <is>
          <t>8</t>
        </is>
      </c>
      <c r="N5631" s="12" t="n">
        <v>1</v>
      </c>
      <c r="O5631" s="12" t="n">
        <v>1</v>
      </c>
      <c r="P5631" s="12" t="n">
        <v>480</v>
      </c>
      <c r="Q5631" s="12" t="n">
        <v>15</v>
      </c>
      <c r="R5631" s="12" t="n">
        <v>21.2</v>
      </c>
      <c r="S5631" s="12" t="inlineStr">
        <is>
          <t>Duct bank</t>
        </is>
      </c>
      <c r="T5631" s="15" t="n">
        <v>348</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is>
          <t>VD 2.4 %</t>
        </is>
      </c>
      <c r="AA5631" s="12">
        <f>N5631*O5631</f>
        <v/>
      </c>
    </row>
    <row r="5632">
      <c r="A5632" s="12" t="inlineStr">
        <is>
          <t>K-P-0005</t>
        </is>
      </c>
      <c r="B5632" s="12" t="inlineStr">
        <is>
          <t>K</t>
        </is>
      </c>
      <c r="C5632" s="12" t="inlineStr">
        <is>
          <t>Fuel supply (adjacent market)</t>
        </is>
      </c>
      <c r="D5632" s="12" t="inlineStr">
        <is>
          <t>Motor 1 of 1, 15 kW</t>
        </is>
      </c>
      <c r="E5632" s="12" t="inlineStr"/>
      <c r="F5632" s="12" t="inlineStr">
        <is>
          <t>H2 20: 13.8 kV e-house</t>
        </is>
      </c>
      <c r="G5632" s="12" t="inlineStr"/>
      <c r="H5632" s="12" t="inlineStr">
        <is>
          <t>H2 21: rectifier transformer 3 (7 MVA)</t>
        </is>
      </c>
      <c r="I5632" s="12" t="inlineStr">
        <is>
          <t>LV 600 V</t>
        </is>
      </c>
      <c r="J5632" s="12" t="inlineStr">
        <is>
          <t>ARMOR-X MC-HL 600 V 3/C Cu XHHW-2 + ground, CWA, black PVC (Class I Div 2)</t>
        </is>
      </c>
      <c r="K5632" s="12" t="inlineStr">
        <is>
          <t>LVAX|3/C+G|8</t>
        </is>
      </c>
      <c r="L5632" s="12" t="inlineStr">
        <is>
          <t>3/C+G</t>
        </is>
      </c>
      <c r="M5632" s="12" t="inlineStr">
        <is>
          <t>8</t>
        </is>
      </c>
      <c r="N5632" s="12" t="n">
        <v>1</v>
      </c>
      <c r="O5632" s="12" t="n">
        <v>1</v>
      </c>
      <c r="P5632" s="12" t="n">
        <v>480</v>
      </c>
      <c r="Q5632" s="12" t="n">
        <v>15</v>
      </c>
      <c r="R5632" s="12" t="n">
        <v>21.2</v>
      </c>
      <c r="S5632" s="12" t="inlineStr">
        <is>
          <t>Duct bank</t>
        </is>
      </c>
      <c r="T5632" s="15" t="n">
        <v>321</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is>
          <t>VD 2.3 %</t>
        </is>
      </c>
      <c r="AA5632" s="12">
        <f>N5632*O5632</f>
        <v/>
      </c>
    </row>
    <row r="5633">
      <c r="A5633" s="12" t="inlineStr">
        <is>
          <t>K-P-0006</t>
        </is>
      </c>
      <c r="B5633" s="12" t="inlineStr">
        <is>
          <t>K</t>
        </is>
      </c>
      <c r="C5633" s="12" t="inlineStr">
        <is>
          <t>Fuel supply (adjacent market)</t>
        </is>
      </c>
      <c r="D5633" s="12" t="inlineStr">
        <is>
          <t>Motor 1 of 1, 15 kW</t>
        </is>
      </c>
      <c r="E5633" s="12" t="inlineStr"/>
      <c r="F5633" s="12" t="inlineStr">
        <is>
          <t>H2 20: 13.8 kV e-house</t>
        </is>
      </c>
      <c r="G5633" s="12" t="inlineStr"/>
      <c r="H5633" s="12" t="inlineStr">
        <is>
          <t>H2 21: rectifier transformer 4 (7 MVA)</t>
        </is>
      </c>
      <c r="I5633" s="12" t="inlineStr">
        <is>
          <t>LV 600 V</t>
        </is>
      </c>
      <c r="J5633" s="12" t="inlineStr">
        <is>
          <t>ARMOR-X MC-HL 600 V 3/C Cu XHHW-2 + ground, CWA, black PVC (Class I Div 2)</t>
        </is>
      </c>
      <c r="K5633" s="12" t="inlineStr">
        <is>
          <t>LVAX|3/C+G|8</t>
        </is>
      </c>
      <c r="L5633" s="12" t="inlineStr">
        <is>
          <t>3/C+G</t>
        </is>
      </c>
      <c r="M5633" s="12" t="inlineStr">
        <is>
          <t>8</t>
        </is>
      </c>
      <c r="N5633" s="12" t="n">
        <v>1</v>
      </c>
      <c r="O5633" s="12" t="n">
        <v>1</v>
      </c>
      <c r="P5633" s="12" t="n">
        <v>480</v>
      </c>
      <c r="Q5633" s="12" t="n">
        <v>15</v>
      </c>
      <c r="R5633" s="12" t="n">
        <v>21.2</v>
      </c>
      <c r="S5633" s="12" t="inlineStr">
        <is>
          <t>Duct bank</t>
        </is>
      </c>
      <c r="T5633" s="15" t="n">
        <v>295</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is>
          <t>VD 2.1 %</t>
        </is>
      </c>
      <c r="AA5633" s="12">
        <f>N5633*O5633</f>
        <v/>
      </c>
    </row>
    <row r="5634">
      <c r="A5634" s="12" t="inlineStr">
        <is>
          <t>K-P-0007</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21: rectifier transformer 5 (7 MVA)</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Duct bank</t>
        </is>
      </c>
      <c r="T5634" s="15" t="n">
        <v>254</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is>
          <t>VD 2.9 %</t>
        </is>
      </c>
      <c r="AA5634" s="12">
        <f>N5634*O5634</f>
        <v/>
      </c>
    </row>
    <row r="5635">
      <c r="A5635" s="12" t="inlineStr">
        <is>
          <t>K-P-0008</t>
        </is>
      </c>
      <c r="B5635" s="12" t="inlineStr">
        <is>
          <t>K</t>
        </is>
      </c>
      <c r="C5635" s="12" t="inlineStr">
        <is>
          <t>Fuel supply (adjacent market)</t>
        </is>
      </c>
      <c r="D5635" s="12" t="inlineStr">
        <is>
          <t>Motor 1 of 1, 15 kW</t>
        </is>
      </c>
      <c r="E5635" s="12" t="inlineStr"/>
      <c r="F5635" s="12" t="inlineStr">
        <is>
          <t>H2 20: 13.8 kV e-house</t>
        </is>
      </c>
      <c r="G5635" s="12" t="inlineStr">
        <is>
          <t>H2-EL</t>
        </is>
      </c>
      <c r="H5635" s="12" t="inlineStr">
        <is>
          <t>H2 22: electrolyzer building (5 x HyLYZER-1000 + 5 rectifiers)</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5" t="n">
        <v>395</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is>
          <t>VD 2.8 %</t>
        </is>
      </c>
      <c r="AA5635" s="12">
        <f>N5635*O5635</f>
        <v/>
      </c>
    </row>
    <row r="5636">
      <c r="A5636" s="12" t="inlineStr">
        <is>
          <t>K-P-0009</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23: dry coolers</t>
        </is>
      </c>
      <c r="I5636" s="12" t="inlineStr">
        <is>
          <t>LV 600 V</t>
        </is>
      </c>
      <c r="J5636" s="12" t="inlineStr">
        <is>
          <t>ARMOR-X MC-HL 600 V 3/C Cu XHHW-2 + ground, CWA, black PVC (Class I Div 2)</t>
        </is>
      </c>
      <c r="K5636" s="12" t="inlineStr">
        <is>
          <t>LVAX|3/C+G|10</t>
        </is>
      </c>
      <c r="L5636" s="12" t="inlineStr">
        <is>
          <t>3/C+G</t>
        </is>
      </c>
      <c r="M5636" s="12" t="inlineStr">
        <is>
          <t>10</t>
        </is>
      </c>
      <c r="N5636" s="12" t="n">
        <v>1</v>
      </c>
      <c r="O5636" s="12" t="n">
        <v>1</v>
      </c>
      <c r="P5636" s="12" t="n">
        <v>480</v>
      </c>
      <c r="Q5636" s="12" t="n">
        <v>15</v>
      </c>
      <c r="R5636" s="12" t="n">
        <v>21.2</v>
      </c>
      <c r="S5636" s="12" t="inlineStr">
        <is>
          <t>Duct bank</t>
        </is>
      </c>
      <c r="T5636" s="15" t="n">
        <v>53</v>
      </c>
      <c r="U5636" s="15" t="n">
        <v>77</v>
      </c>
      <c r="V5636" s="15">
        <f>ROUNDUP((T5636+U5636+2*'Read Me'!$B$13)*(1+'Read Me'!$B$12),-1)</f>
        <v/>
      </c>
      <c r="W5636" s="15">
        <f>V5636*N5636*O5636</f>
        <v/>
      </c>
      <c r="X5636" s="12">
        <f>IF(LEFT(I5636,2)="MV",2*N5636*IF(L5636="1/C",O5636,1),0)</f>
        <v/>
      </c>
      <c r="Y5636" s="12">
        <f>IF(OR(LEFT(K5636,4)="LVAX",LEFT(K5636,6)="MV15AX",LEFT(K5636,4)="CTAX",LEFT(K5636,2)="W|"),2*N5636*O5636,0)</f>
        <v/>
      </c>
      <c r="Z5636" s="12" t="inlineStr">
        <is>
          <t>VD 1.3 %</t>
        </is>
      </c>
      <c r="AA5636" s="12">
        <f>N5636*O5636</f>
        <v/>
      </c>
    </row>
    <row r="5637">
      <c r="A5637" s="12" t="inlineStr">
        <is>
          <t>K-P-0010</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24: water purification (RO / EDI)</t>
        </is>
      </c>
      <c r="I5637" s="12" t="inlineStr">
        <is>
          <t>LV 600 V</t>
        </is>
      </c>
      <c r="J5637" s="12" t="inlineStr">
        <is>
          <t>ARMOR-X MC-HL 600 V 3/C Cu XHHW-2 + ground, CWA, black PVC (Class I Div 2)</t>
        </is>
      </c>
      <c r="K5637" s="12" t="inlineStr">
        <is>
          <t>LVAX|3/C+G|10</t>
        </is>
      </c>
      <c r="L5637" s="12" t="inlineStr">
        <is>
          <t>3/C+G</t>
        </is>
      </c>
      <c r="M5637" s="12" t="inlineStr">
        <is>
          <t>10</t>
        </is>
      </c>
      <c r="N5637" s="12" t="n">
        <v>1</v>
      </c>
      <c r="O5637" s="12" t="n">
        <v>1</v>
      </c>
      <c r="P5637" s="12" t="n">
        <v>480</v>
      </c>
      <c r="Q5637" s="12" t="n">
        <v>15</v>
      </c>
      <c r="R5637" s="12" t="n">
        <v>21.2</v>
      </c>
      <c r="S5637" s="12" t="inlineStr">
        <is>
          <t>Duct bank</t>
        </is>
      </c>
      <c r="T5637" s="15" t="n">
        <v>146</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is>
          <t>VD 1.8 %</t>
        </is>
      </c>
      <c r="AA5637" s="12">
        <f>N5637*O5637</f>
        <v/>
      </c>
    </row>
    <row r="5638">
      <c r="A5638" s="12" t="inlineStr">
        <is>
          <t>K-P-0011</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25: H2 dryer / purification</t>
        </is>
      </c>
      <c r="I5638" s="12" t="inlineStr">
        <is>
          <t>LV 600 V</t>
        </is>
      </c>
      <c r="J5638" s="12" t="inlineStr">
        <is>
          <t>ARMOR-X MC-HL 600 V 3/C Cu XHHW-2 + ground, CWA, black PVC (Class I Div 2)</t>
        </is>
      </c>
      <c r="K5638" s="12" t="inlineStr">
        <is>
          <t>LVAX|3/C+G|10</t>
        </is>
      </c>
      <c r="L5638" s="12" t="inlineStr">
        <is>
          <t>3/C+G</t>
        </is>
      </c>
      <c r="M5638" s="12" t="inlineStr">
        <is>
          <t>10</t>
        </is>
      </c>
      <c r="N5638" s="12" t="n">
        <v>1</v>
      </c>
      <c r="O5638" s="12" t="n">
        <v>1</v>
      </c>
      <c r="P5638" s="12" t="n">
        <v>480</v>
      </c>
      <c r="Q5638" s="12" t="n">
        <v>15</v>
      </c>
      <c r="R5638" s="12" t="n">
        <v>21.2</v>
      </c>
      <c r="S5638" s="12" t="inlineStr">
        <is>
          <t>Conduit link</t>
        </is>
      </c>
      <c r="T5638" s="15" t="n">
        <v>0</v>
      </c>
      <c r="U5638" s="15" t="n">
        <v>49</v>
      </c>
      <c r="V5638" s="15">
        <f>ROUNDUP((T5638+U5638+2*'Read Me'!$B$13)*(1+'Read Me'!$B$12),-1)</f>
        <v/>
      </c>
      <c r="W5638" s="15">
        <f>V5638*N5638*O5638</f>
        <v/>
      </c>
      <c r="X5638" s="12">
        <f>IF(LEFT(I5638,2)="MV",2*N5638*IF(L5638="1/C",O5638,1),0)</f>
        <v/>
      </c>
      <c r="Y5638" s="12">
        <f>IF(OR(LEFT(K5638,4)="LVAX",LEFT(K5638,6)="MV15AX",LEFT(K5638,4)="CTAX",LEFT(K5638,2)="W|"),2*N5638*O5638,0)</f>
        <v/>
      </c>
      <c r="Z5638" s="12" t="inlineStr">
        <is>
          <t>VD 0.5 %</t>
        </is>
      </c>
      <c r="AA5638" s="12">
        <f>N5638*O5638</f>
        <v/>
      </c>
    </row>
    <row r="5639">
      <c r="A5639" s="12" t="inlineStr">
        <is>
          <t>K-P-0012</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26: H2 compressor 1 (40 ft ISO)</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Conduit link</t>
        </is>
      </c>
      <c r="T5639" s="15" t="n">
        <v>44</v>
      </c>
      <c r="U5639" s="15" t="n">
        <v>32</v>
      </c>
      <c r="V5639" s="15">
        <f>ROUNDUP((T5639+U5639+2*'Read Me'!$B$13)*(1+'Read Me'!$B$12),-1)</f>
        <v/>
      </c>
      <c r="W5639" s="15">
        <f>V5639*N5639*O5639</f>
        <v/>
      </c>
      <c r="X5639" s="12">
        <f>IF(LEFT(I5639,2)="MV",2*N5639*IF(L5639="1/C",O5639,1),0)</f>
        <v/>
      </c>
      <c r="Y5639" s="12">
        <f>IF(OR(LEFT(K5639,4)="LVAX",LEFT(K5639,6)="MV15AX",LEFT(K5639,4)="CTAX",LEFT(K5639,2)="W|"),2*N5639*O5639,0)</f>
        <v/>
      </c>
      <c r="Z5639" s="12" t="inlineStr">
        <is>
          <t>VD 0.8 %</t>
        </is>
      </c>
      <c r="AA5639" s="12">
        <f>N5639*O5639</f>
        <v/>
      </c>
    </row>
    <row r="5640">
      <c r="A5640" s="12" t="inlineStr">
        <is>
          <t>K-P-0013</t>
        </is>
      </c>
      <c r="B5640" s="12" t="inlineStr">
        <is>
          <t>K</t>
        </is>
      </c>
      <c r="C5640" s="12" t="inlineStr">
        <is>
          <t>Fuel supply (adjacent market)</t>
        </is>
      </c>
      <c r="D5640" s="12" t="inlineStr">
        <is>
          <t>Motor 1 of 1, 15 kW</t>
        </is>
      </c>
      <c r="E5640" s="12" t="inlineStr"/>
      <c r="F5640" s="12" t="inlineStr">
        <is>
          <t>H2 20: 13.8 kV e-house</t>
        </is>
      </c>
      <c r="G5640" s="12" t="inlineStr"/>
      <c r="H5640" s="12" t="inlineStr">
        <is>
          <t>H2 26: H2 compressor 2 (40 ft ISO)</t>
        </is>
      </c>
      <c r="I5640" s="12" t="inlineStr">
        <is>
          <t>LV 600 V</t>
        </is>
      </c>
      <c r="J5640" s="12" t="inlineStr">
        <is>
          <t>ARMOR-X MC-HL 600 V 3/C Cu XHHW-2 + ground, CWA, black PVC (Class I Div 2)</t>
        </is>
      </c>
      <c r="K5640" s="12" t="inlineStr">
        <is>
          <t>LVAX|3/C+G|10</t>
        </is>
      </c>
      <c r="L5640" s="12" t="inlineStr">
        <is>
          <t>3/C+G</t>
        </is>
      </c>
      <c r="M5640" s="12" t="inlineStr">
        <is>
          <t>10</t>
        </is>
      </c>
      <c r="N5640" s="12" t="n">
        <v>1</v>
      </c>
      <c r="O5640" s="12" t="n">
        <v>1</v>
      </c>
      <c r="P5640" s="12" t="n">
        <v>480</v>
      </c>
      <c r="Q5640" s="12" t="n">
        <v>15</v>
      </c>
      <c r="R5640" s="12" t="n">
        <v>21.2</v>
      </c>
      <c r="S5640" s="12" t="inlineStr">
        <is>
          <t>Conduit link</t>
        </is>
      </c>
      <c r="T5640" s="15" t="n">
        <v>44</v>
      </c>
      <c r="U5640" s="15" t="n">
        <v>47</v>
      </c>
      <c r="V5640" s="15">
        <f>ROUNDUP((T5640+U5640+2*'Read Me'!$B$13)*(1+'Read Me'!$B$12),-1)</f>
        <v/>
      </c>
      <c r="W5640" s="15">
        <f>V5640*N5640*O5640</f>
        <v/>
      </c>
      <c r="X5640" s="12">
        <f>IF(LEFT(I5640,2)="MV",2*N5640*IF(L5640="1/C",O5640,1),0)</f>
        <v/>
      </c>
      <c r="Y5640" s="12">
        <f>IF(OR(LEFT(K5640,4)="LVAX",LEFT(K5640,6)="MV15AX",LEFT(K5640,4)="CTAX",LEFT(K5640,2)="W|"),2*N5640*O5640,0)</f>
        <v/>
      </c>
      <c r="Z5640" s="12" t="inlineStr">
        <is>
          <t>VD 0.9 %</t>
        </is>
      </c>
      <c r="AA5640" s="12">
        <f>N5640*O5640</f>
        <v/>
      </c>
    </row>
    <row r="5641">
      <c r="A5641" s="12" t="inlineStr">
        <is>
          <t>K-P-0014</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27: storage tube bank (~40 ft tubes)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Conduit link</t>
        </is>
      </c>
      <c r="T5641" s="15" t="n">
        <v>40</v>
      </c>
      <c r="U5641" s="15" t="n">
        <v>96</v>
      </c>
      <c r="V5641" s="15">
        <f>ROUNDUP((T5641+U5641+2*'Read Me'!$B$13)*(1+'Read Me'!$B$12),-1)</f>
        <v/>
      </c>
      <c r="W5641" s="15">
        <f>V5641*N5641*O5641</f>
        <v/>
      </c>
      <c r="X5641" s="12">
        <f>IF(LEFT(I5641,2)="MV",2*N5641*IF(L5641="1/C",O5641,1),0)</f>
        <v/>
      </c>
      <c r="Y5641" s="12">
        <f>IF(OR(LEFT(K5641,4)="LVAX",LEFT(K5641,6)="MV15AX",LEFT(K5641,4)="CTAX",LEFT(K5641,2)="W|"),2*N5641*O5641,0)</f>
        <v/>
      </c>
      <c r="Z5641" s="12" t="inlineStr">
        <is>
          <t>VD 1.4 %</t>
        </is>
      </c>
      <c r="AA5641" s="12">
        <f>N5641*O5641</f>
        <v/>
      </c>
    </row>
    <row r="5642">
      <c r="A5642" s="12" t="inlineStr">
        <is>
          <t>K-P-0015</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27: storage tube bank (~40 ft tubes)</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Conduit link</t>
        </is>
      </c>
      <c r="T5642" s="15" t="n">
        <v>40</v>
      </c>
      <c r="U5642" s="15" t="n">
        <v>116</v>
      </c>
      <c r="V5642" s="15">
        <f>ROUNDUP((T5642+U5642+2*'Read Me'!$B$13)*(1+'Read Me'!$B$12),-1)</f>
        <v/>
      </c>
      <c r="W5642" s="15">
        <f>V5642*N5642*O5642</f>
        <v/>
      </c>
      <c r="X5642" s="12">
        <f>IF(LEFT(I5642,2)="MV",2*N5642*IF(L5642="1/C",O5642,1),0)</f>
        <v/>
      </c>
      <c r="Y5642" s="12">
        <f>IF(OR(LEFT(K5642,4)="LVAX",LEFT(K5642,6)="MV15AX",LEFT(K5642,4)="CTAX",LEFT(K5642,2)="W|"),2*N5642*O5642,0)</f>
        <v/>
      </c>
      <c r="Z5642" s="12" t="inlineStr">
        <is>
          <t>VD 1.6 %</t>
        </is>
      </c>
      <c r="AA5642" s="12">
        <f>N5642*O5642</f>
        <v/>
      </c>
    </row>
    <row r="5643">
      <c r="A5643" s="12" t="inlineStr">
        <is>
          <t>K-P-0016</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27: storage tube bank (~40 ft tubes)</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Conduit link</t>
        </is>
      </c>
      <c r="T5643" s="15" t="n">
        <v>44</v>
      </c>
      <c r="U5643" s="15" t="n">
        <v>97</v>
      </c>
      <c r="V5643" s="15">
        <f>ROUNDUP((T5643+U5643+2*'Read Me'!$B$13)*(1+'Read Me'!$B$12),-1)</f>
        <v/>
      </c>
      <c r="W5643" s="15">
        <f>V5643*N5643*O5643</f>
        <v/>
      </c>
      <c r="X5643" s="12">
        <f>IF(LEFT(I5643,2)="MV",2*N5643*IF(L5643="1/C",O5643,1),0)</f>
        <v/>
      </c>
      <c r="Y5643" s="12">
        <f>IF(OR(LEFT(K5643,4)="LVAX",LEFT(K5643,6)="MV15AX",LEFT(K5643,4)="CTAX",LEFT(K5643,2)="W|"),2*N5643*O5643,0)</f>
        <v/>
      </c>
      <c r="Z5643" s="12" t="inlineStr">
        <is>
          <t>VD 1.4 %</t>
        </is>
      </c>
      <c r="AA5643" s="12">
        <f>N5643*O5643</f>
        <v/>
      </c>
    </row>
    <row r="5644">
      <c r="A5644" s="12" t="inlineStr">
        <is>
          <t>K-P-0017</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27: storage tube bank (~40 ft tubes)</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Conduit link</t>
        </is>
      </c>
      <c r="T5644" s="15" t="n">
        <v>44</v>
      </c>
      <c r="U5644" s="15" t="n">
        <v>117</v>
      </c>
      <c r="V5644" s="15">
        <f>ROUNDUP((T5644+U5644+2*'Read Me'!$B$13)*(1+'Read Me'!$B$12),-1)</f>
        <v/>
      </c>
      <c r="W5644" s="15">
        <f>V5644*N5644*O5644</f>
        <v/>
      </c>
      <c r="X5644" s="12">
        <f>IF(LEFT(I5644,2)="MV",2*N5644*IF(L5644="1/C",O5644,1),0)</f>
        <v/>
      </c>
      <c r="Y5644" s="12">
        <f>IF(OR(LEFT(K5644,4)="LVAX",LEFT(K5644,6)="MV15AX",LEFT(K5644,4)="CTAX",LEFT(K5644,2)="W|"),2*N5644*O5644,0)</f>
        <v/>
      </c>
      <c r="Z5644" s="12" t="inlineStr">
        <is>
          <t>VD 1.6 %</t>
        </is>
      </c>
      <c r="AA5644" s="12">
        <f>N5644*O5644</f>
        <v/>
      </c>
    </row>
    <row r="5645">
      <c r="A5645" s="12" t="inlineStr">
        <is>
          <t>K-P-0018</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28: N2 purge supply</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5" t="n">
        <v>53</v>
      </c>
      <c r="U5645" s="15" t="n">
        <v>36</v>
      </c>
      <c r="V5645" s="15">
        <f>ROUNDUP((T5645+U5645+2*'Read Me'!$B$13)*(1+'Read Me'!$B$12),-1)</f>
        <v/>
      </c>
      <c r="W5645" s="15">
        <f>V5645*N5645*O5645</f>
        <v/>
      </c>
      <c r="X5645" s="12">
        <f>IF(LEFT(I5645,2)="MV",2*N5645*IF(L5645="1/C",O5645,1),0)</f>
        <v/>
      </c>
      <c r="Y5645" s="12">
        <f>IF(OR(LEFT(K5645,4)="LVAX",LEFT(K5645,6)="MV15AX",LEFT(K5645,4)="CTAX",LEFT(K5645,2)="W|"),2*N5645*O5645,0)</f>
        <v/>
      </c>
      <c r="Z5645" s="12" t="inlineStr">
        <is>
          <t>VD 0.9 %</t>
        </is>
      </c>
      <c r="AA5645" s="12">
        <f>N5645*O5645</f>
        <v/>
      </c>
    </row>
    <row r="5646">
      <c r="A5646" s="12" t="inlineStr">
        <is>
          <t>K-P-0019</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29: vent stack</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Conduit link</t>
        </is>
      </c>
      <c r="T5646" s="15" t="n">
        <v>44</v>
      </c>
      <c r="U5646" s="15" t="n">
        <v>210</v>
      </c>
      <c r="V5646" s="15">
        <f>ROUNDUP((T5646+U5646+2*'Read Me'!$B$13)*(1+'Read Me'!$B$12),-1)</f>
        <v/>
      </c>
      <c r="W5646" s="15">
        <f>V5646*N5646*O5646</f>
        <v/>
      </c>
      <c r="X5646" s="12">
        <f>IF(LEFT(I5646,2)="MV",2*N5646*IF(L5646="1/C",O5646,1),0)</f>
        <v/>
      </c>
      <c r="Y5646" s="12">
        <f>IF(OR(LEFT(K5646,4)="LVAX",LEFT(K5646,6)="MV15AX",LEFT(K5646,4)="CTAX",LEFT(K5646,2)="W|"),2*N5646*O5646,0)</f>
        <v/>
      </c>
      <c r="Z5646" s="12" t="inlineStr">
        <is>
          <t>VD 2.6 %</t>
        </is>
      </c>
      <c r="AA5646" s="12">
        <f>N5646*O5646</f>
        <v/>
      </c>
    </row>
    <row r="5647">
      <c r="A5647" s="12" t="inlineStr">
        <is>
          <t>K-P-0020</t>
        </is>
      </c>
      <c r="B5647" s="12" t="inlineStr">
        <is>
          <t>K</t>
        </is>
      </c>
      <c r="C5647" s="12" t="inlineStr">
        <is>
          <t>Fuel supply (adjacent market)</t>
        </is>
      </c>
      <c r="D5647" s="12" t="inlineStr">
        <is>
          <t>Motor 1 of 1, 15 kW</t>
        </is>
      </c>
      <c r="E5647" s="12" t="inlineStr"/>
      <c r="F5647" s="12" t="inlineStr">
        <is>
          <t>LNG 17: LNG e-house (13.8 kV / 480 V)</t>
        </is>
      </c>
      <c r="G5647" s="12" t="inlineStr"/>
      <c r="H5647" s="12" t="inlineStr">
        <is>
          <t>H2 30: H2 / gas blending skid (plant gas yard)</t>
        </is>
      </c>
      <c r="I5647" s="12" t="inlineStr">
        <is>
          <t>LV 600 V</t>
        </is>
      </c>
      <c r="J5647" s="12" t="inlineStr">
        <is>
          <t>ARMOR-X MC-HL 600 V 3/C Cu XHHW-2 + ground, CWA, black PVC (Class I Div 2)</t>
        </is>
      </c>
      <c r="K5647" s="12" t="inlineStr">
        <is>
          <t>LVAX|3/C+G|4</t>
        </is>
      </c>
      <c r="L5647" s="12" t="inlineStr">
        <is>
          <t>3/C+G</t>
        </is>
      </c>
      <c r="M5647" s="12" t="inlineStr">
        <is>
          <t>4</t>
        </is>
      </c>
      <c r="N5647" s="12" t="n">
        <v>1</v>
      </c>
      <c r="O5647" s="12" t="n">
        <v>1</v>
      </c>
      <c r="P5647" s="12" t="n">
        <v>480</v>
      </c>
      <c r="Q5647" s="12" t="n">
        <v>15</v>
      </c>
      <c r="R5647" s="12" t="n">
        <v>21.2</v>
      </c>
      <c r="S5647" s="12" t="inlineStr">
        <is>
          <t>Duct bank</t>
        </is>
      </c>
      <c r="T5647" s="15" t="n">
        <v>1011</v>
      </c>
      <c r="U5647" s="15" t="n">
        <v>132</v>
      </c>
      <c r="V5647" s="15">
        <f>ROUNDUP((T5647+U5647+2*'Read Me'!$B$13)*(1+'Read Me'!$B$12),-1)</f>
        <v/>
      </c>
      <c r="W5647" s="15">
        <f>V5647*N5647*O5647</f>
        <v/>
      </c>
      <c r="X5647" s="12">
        <f>IF(LEFT(I5647,2)="MV",2*N5647*IF(L5647="1/C",O5647,1),0)</f>
        <v/>
      </c>
      <c r="Y5647" s="12">
        <f>IF(OR(LEFT(K5647,4)="LVAX",LEFT(K5647,6)="MV15AX",LEFT(K5647,4)="CTAX",LEFT(K5647,2)="W|"),2*N5647*O5647,0)</f>
        <v/>
      </c>
      <c r="Z5647" s="12" t="inlineStr">
        <is>
          <t>VD 3.0 %</t>
        </is>
      </c>
      <c r="AA5647" s="12">
        <f>N5647*O5647</f>
        <v/>
      </c>
    </row>
    <row r="5648">
      <c r="A5648" s="12" t="inlineStr">
        <is>
          <t>K-P-0021</t>
        </is>
      </c>
      <c r="B5648" s="12" t="inlineStr">
        <is>
          <t>K</t>
        </is>
      </c>
      <c r="C5648" s="12" t="inlineStr">
        <is>
          <t>Fuel supply (adjacent market)</t>
        </is>
      </c>
      <c r="D5648" s="12" t="inlineStr">
        <is>
          <t>LV power feeder</t>
        </is>
      </c>
      <c r="E5648" s="12" t="inlineStr"/>
      <c r="F5648" s="12" t="inlineStr">
        <is>
          <t>H2 20: 13.8 kV e-house</t>
        </is>
      </c>
      <c r="G5648" s="12" t="inlineStr">
        <is>
          <t>H2-ST</t>
        </is>
      </c>
      <c r="H5648" s="12" t="inlineStr">
        <is>
          <t>H2 storage tube banks x4</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Conduit link</t>
        </is>
      </c>
      <c r="T5648" s="15" t="n">
        <v>44</v>
      </c>
      <c r="U5648" s="15" t="n">
        <v>92</v>
      </c>
      <c r="V5648" s="15">
        <f>ROUNDUP((T5648+U5648+2*'Read Me'!$B$13)*(1+'Read Me'!$B$12),-1)</f>
        <v/>
      </c>
      <c r="W5648" s="15">
        <f>V5648*N5648*O5648</f>
        <v/>
      </c>
      <c r="X5648" s="12">
        <f>IF(LEFT(I5648,2)="MV",2*N5648*IF(L5648="1/C",O5648,1),0)</f>
        <v/>
      </c>
      <c r="Y5648" s="12">
        <f>IF(OR(LEFT(K5648,4)="LVAX",LEFT(K5648,6)="MV15AX",LEFT(K5648,4)="CTAX",LEFT(K5648,2)="W|"),2*N5648*O5648,0)</f>
        <v/>
      </c>
      <c r="Z5648" s="12" t="inlineStr">
        <is>
          <t>VD 1.4 %</t>
        </is>
      </c>
      <c r="AA5648" s="12">
        <f>N5648*O5648</f>
        <v/>
      </c>
    </row>
    <row r="5649">
      <c r="A5649" s="12" t="inlineStr">
        <is>
          <t>K-P-0022</t>
        </is>
      </c>
      <c r="B5649" s="12" t="inlineStr">
        <is>
          <t>K</t>
        </is>
      </c>
      <c r="C5649" s="12" t="inlineStr">
        <is>
          <t>Fuel supply (adjacent market)</t>
        </is>
      </c>
      <c r="D5649" s="12" t="inlineStr">
        <is>
          <t>Motor 1 of 1, 15 kW</t>
        </is>
      </c>
      <c r="E5649" s="12" t="inlineStr"/>
      <c r="F5649" s="12" t="inlineStr">
        <is>
          <t>LNG 17: LNG e-house (13.8 kV / 480 V)</t>
        </is>
      </c>
      <c r="G5649" s="12" t="inlineStr"/>
      <c r="H5649" s="12" t="inlineStr">
        <is>
          <t>LNG 10: truck unloading bay 1</t>
        </is>
      </c>
      <c r="I5649" s="12" t="inlineStr">
        <is>
          <t>LV 600 V</t>
        </is>
      </c>
      <c r="J5649" s="12" t="inlineStr">
        <is>
          <t>ARMOR-X MC-HL 600 V 3/C Cu XHHW-2 + ground, CWA, black PVC (Class I Div 2)</t>
        </is>
      </c>
      <c r="K5649" s="12" t="inlineStr">
        <is>
          <t>LVAX|3/C+G|8</t>
        </is>
      </c>
      <c r="L5649" s="12" t="inlineStr">
        <is>
          <t>3/C+G</t>
        </is>
      </c>
      <c r="M5649" s="12" t="inlineStr">
        <is>
          <t>8</t>
        </is>
      </c>
      <c r="N5649" s="12" t="n">
        <v>1</v>
      </c>
      <c r="O5649" s="12" t="n">
        <v>1</v>
      </c>
      <c r="P5649" s="12" t="n">
        <v>480</v>
      </c>
      <c r="Q5649" s="12" t="n">
        <v>15</v>
      </c>
      <c r="R5649" s="12" t="n">
        <v>21.2</v>
      </c>
      <c r="S5649" s="12" t="inlineStr">
        <is>
          <t>Duct bank</t>
        </is>
      </c>
      <c r="T5649" s="15" t="n">
        <v>237</v>
      </c>
      <c r="U5649" s="15" t="n">
        <v>61</v>
      </c>
      <c r="V5649" s="15">
        <f>ROUNDUP((T5649+U5649+2*'Read Me'!$B$13)*(1+'Read Me'!$B$12),-1)</f>
        <v/>
      </c>
      <c r="W5649" s="15">
        <f>V5649*N5649*O5649</f>
        <v/>
      </c>
      <c r="X5649" s="12">
        <f>IF(LEFT(I5649,2)="MV",2*N5649*IF(L5649="1/C",O5649,1),0)</f>
        <v/>
      </c>
      <c r="Y5649" s="12">
        <f>IF(OR(LEFT(K5649,4)="LVAX",LEFT(K5649,6)="MV15AX",LEFT(K5649,4)="CTAX",LEFT(K5649,2)="W|"),2*N5649*O5649,0)</f>
        <v/>
      </c>
      <c r="Z5649" s="12" t="inlineStr">
        <is>
          <t>VD 1.9 %</t>
        </is>
      </c>
      <c r="AA5649" s="12">
        <f>N5649*O5649</f>
        <v/>
      </c>
    </row>
    <row r="5650">
      <c r="A5650" s="12" t="inlineStr">
        <is>
          <t>K-P-0023</t>
        </is>
      </c>
      <c r="B5650" s="12" t="inlineStr">
        <is>
          <t>K</t>
        </is>
      </c>
      <c r="C5650" s="12" t="inlineStr">
        <is>
          <t>Fuel supply (adjacent market)</t>
        </is>
      </c>
      <c r="D5650" s="12" t="inlineStr">
        <is>
          <t>Motor 1 of 1, 15 kW</t>
        </is>
      </c>
      <c r="E5650" s="12" t="inlineStr"/>
      <c r="F5650" s="12" t="inlineStr">
        <is>
          <t>LNG 17: LNG e-house (13.8 kV / 480 V)</t>
        </is>
      </c>
      <c r="G5650" s="12" t="inlineStr"/>
      <c r="H5650" s="12" t="inlineStr">
        <is>
          <t>LNG 10: truck unloading bay 2</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5" t="n">
        <v>147</v>
      </c>
      <c r="U5650" s="15" t="n">
        <v>66</v>
      </c>
      <c r="V5650" s="15">
        <f>ROUNDUP((T5650+U5650+2*'Read Me'!$B$13)*(1+'Read Me'!$B$12),-1)</f>
        <v/>
      </c>
      <c r="W5650" s="15">
        <f>V5650*N5650*O5650</f>
        <v/>
      </c>
      <c r="X5650" s="12">
        <f>IF(LEFT(I5650,2)="MV",2*N5650*IF(L5650="1/C",O5650,1),0)</f>
        <v/>
      </c>
      <c r="Y5650" s="12">
        <f>IF(OR(LEFT(K5650,4)="LVAX",LEFT(K5650,6)="MV15AX",LEFT(K5650,4)="CTAX",LEFT(K5650,2)="W|"),2*N5650*O5650,0)</f>
        <v/>
      </c>
      <c r="Z5650" s="12" t="inlineStr">
        <is>
          <t>VD 2.2 %</t>
        </is>
      </c>
      <c r="AA5650" s="12">
        <f>N5650*O5650</f>
        <v/>
      </c>
    </row>
    <row r="5651">
      <c r="A5651" s="12" t="inlineStr">
        <is>
          <t>K-P-0024</t>
        </is>
      </c>
      <c r="B5651" s="12" t="inlineStr">
        <is>
          <t>K</t>
        </is>
      </c>
      <c r="C5651" s="12" t="inlineStr">
        <is>
          <t>Fuel supply (adjacent market)</t>
        </is>
      </c>
      <c r="D5651" s="12" t="inlineStr">
        <is>
          <t>Motor 1 of 1, 15 kW</t>
        </is>
      </c>
      <c r="E5651" s="12" t="inlineStr"/>
      <c r="F5651" s="12" t="inlineStr">
        <is>
          <t>LNG 17: LNG e-house (13.8 kV / 480 V)</t>
        </is>
      </c>
      <c r="G5651" s="12" t="inlineStr"/>
      <c r="H5651" s="12" t="inlineStr">
        <is>
          <t>LNG 10: unloading skid</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5" t="n">
        <v>237</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K-P-0025</t>
        </is>
      </c>
      <c r="B5652" s="12" t="inlineStr">
        <is>
          <t>K</t>
        </is>
      </c>
      <c r="C5652" s="12" t="inlineStr">
        <is>
          <t>Fuel supply (adjacent market)</t>
        </is>
      </c>
      <c r="D5652" s="12" t="inlineStr">
        <is>
          <t>LV power feeder</t>
        </is>
      </c>
      <c r="E5652" s="12" t="inlineStr"/>
      <c r="F5652" s="12" t="inlineStr">
        <is>
          <t>LNG 17: LNG e-house (13.8 kV / 480 V)</t>
        </is>
      </c>
      <c r="G5652" s="12" t="inlineStr">
        <is>
          <t>LNG-T1</t>
        </is>
      </c>
      <c r="H5652" s="12" t="inlineStr">
        <is>
          <t>LNG 11: tank 1, Chart HS 50000 (51,780 gal)</t>
        </is>
      </c>
      <c r="I5652" s="12" t="inlineStr">
        <is>
          <t>LV 600 V</t>
        </is>
      </c>
      <c r="J5652" s="12" t="inlineStr">
        <is>
          <t>ARMOR-X MC-HL 600 V 3/C Cu XHHW-2 + ground, CWA, black PVC (Class I Div 2)</t>
        </is>
      </c>
      <c r="K5652" s="12" t="inlineStr">
        <is>
          <t>LVAX|3/C+G|10</t>
        </is>
      </c>
      <c r="L5652" s="12" t="inlineStr">
        <is>
          <t>3/C+G</t>
        </is>
      </c>
      <c r="M5652" s="12" t="inlineStr">
        <is>
          <t>10</t>
        </is>
      </c>
      <c r="N5652" s="12" t="n">
        <v>1</v>
      </c>
      <c r="O5652" s="12" t="n">
        <v>1</v>
      </c>
      <c r="P5652" s="12" t="n">
        <v>480</v>
      </c>
      <c r="Q5652" s="12" t="n">
        <v>10</v>
      </c>
      <c r="R5652" s="12" t="n">
        <v>14.2</v>
      </c>
      <c r="S5652" s="12" t="inlineStr">
        <is>
          <t>Duct bank</t>
        </is>
      </c>
      <c r="T5652" s="15" t="n">
        <v>210</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is>
          <t>VD 1.6 %</t>
        </is>
      </c>
      <c r="AA5652" s="12">
        <f>N5652*O5652</f>
        <v/>
      </c>
    </row>
    <row r="5653">
      <c r="A5653" s="12" t="inlineStr">
        <is>
          <t>K-P-0026</t>
        </is>
      </c>
      <c r="B5653" s="12" t="inlineStr">
        <is>
          <t>K</t>
        </is>
      </c>
      <c r="C5653" s="12" t="inlineStr">
        <is>
          <t>Fuel supply (adjacent market)</t>
        </is>
      </c>
      <c r="D5653" s="12" t="inlineStr">
        <is>
          <t>LV power feeder</t>
        </is>
      </c>
      <c r="E5653" s="12" t="inlineStr"/>
      <c r="F5653" s="12" t="inlineStr">
        <is>
          <t>LNG 17: LNG e-house (13.8 kV / 480 V)</t>
        </is>
      </c>
      <c r="G5653" s="12" t="inlineStr">
        <is>
          <t>LNG-T2</t>
        </is>
      </c>
      <c r="H5653" s="12" t="inlineStr">
        <is>
          <t>LNG 11: tank 2, Chart HS 50000 (51,780 gal)</t>
        </is>
      </c>
      <c r="I5653" s="12" t="inlineStr">
        <is>
          <t>LV 600 V</t>
        </is>
      </c>
      <c r="J5653" s="12" t="inlineStr">
        <is>
          <t>ARMOR-X MC-HL 600 V 3/C Cu XHHW-2 + ground, CWA, black PVC (Class I Div 2)</t>
        </is>
      </c>
      <c r="K5653" s="12" t="inlineStr">
        <is>
          <t>LVAX|3/C+G|10</t>
        </is>
      </c>
      <c r="L5653" s="12" t="inlineStr">
        <is>
          <t>3/C+G</t>
        </is>
      </c>
      <c r="M5653" s="12" t="inlineStr">
        <is>
          <t>10</t>
        </is>
      </c>
      <c r="N5653" s="12" t="n">
        <v>1</v>
      </c>
      <c r="O5653" s="12" t="n">
        <v>1</v>
      </c>
      <c r="P5653" s="12" t="n">
        <v>480</v>
      </c>
      <c r="Q5653" s="12" t="n">
        <v>10</v>
      </c>
      <c r="R5653" s="12" t="n">
        <v>14.2</v>
      </c>
      <c r="S5653" s="12" t="inlineStr">
        <is>
          <t>Duct bank</t>
        </is>
      </c>
      <c r="T5653" s="15" t="n">
        <v>230</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is>
          <t>VD 1.8 %</t>
        </is>
      </c>
      <c r="AA5653" s="12">
        <f>N5653*O5653</f>
        <v/>
      </c>
    </row>
    <row r="5654">
      <c r="A5654" s="12" t="inlineStr">
        <is>
          <t>K-P-0027</t>
        </is>
      </c>
      <c r="B5654" s="12" t="inlineStr">
        <is>
          <t>K</t>
        </is>
      </c>
      <c r="C5654" s="12" t="inlineStr">
        <is>
          <t>Fuel supply (adjacent market)</t>
        </is>
      </c>
      <c r="D5654" s="12" t="inlineStr">
        <is>
          <t>LV power feeder</t>
        </is>
      </c>
      <c r="E5654" s="12" t="inlineStr"/>
      <c r="F5654" s="12" t="inlineStr">
        <is>
          <t>LNG 17: LNG e-house (13.8 kV / 480 V)</t>
        </is>
      </c>
      <c r="G5654" s="12" t="inlineStr">
        <is>
          <t>LNG-T3</t>
        </is>
      </c>
      <c r="H5654" s="12" t="inlineStr">
        <is>
          <t>LNG 11: tank 3, Chart HS 50000 (51,780 gal)</t>
        </is>
      </c>
      <c r="I5654" s="12" t="inlineStr">
        <is>
          <t>LV 600 V</t>
        </is>
      </c>
      <c r="J5654" s="12" t="inlineStr">
        <is>
          <t>ARMOR-X MC-HL 600 V 3/C Cu XHHW-2 + ground, CWA, black PVC (Class I Div 2)</t>
        </is>
      </c>
      <c r="K5654" s="12" t="inlineStr">
        <is>
          <t>LVAX|3/C+G|10</t>
        </is>
      </c>
      <c r="L5654" s="12" t="inlineStr">
        <is>
          <t>3/C+G</t>
        </is>
      </c>
      <c r="M5654" s="12" t="inlineStr">
        <is>
          <t>10</t>
        </is>
      </c>
      <c r="N5654" s="12" t="n">
        <v>1</v>
      </c>
      <c r="O5654" s="12" t="n">
        <v>1</v>
      </c>
      <c r="P5654" s="12" t="n">
        <v>480</v>
      </c>
      <c r="Q5654" s="12" t="n">
        <v>10</v>
      </c>
      <c r="R5654" s="12" t="n">
        <v>14.2</v>
      </c>
      <c r="S5654" s="12" t="inlineStr">
        <is>
          <t>Duct bank</t>
        </is>
      </c>
      <c r="T5654" s="15" t="n">
        <v>250</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is>
          <t>VD 1.9 %</t>
        </is>
      </c>
      <c r="AA5654" s="12">
        <f>N5654*O5654</f>
        <v/>
      </c>
    </row>
    <row r="5655">
      <c r="A5655" s="12" t="inlineStr">
        <is>
          <t>K-P-0028</t>
        </is>
      </c>
      <c r="B5655" s="12" t="inlineStr">
        <is>
          <t>K</t>
        </is>
      </c>
      <c r="C5655" s="12" t="inlineStr">
        <is>
          <t>Fuel supply (adjacent market)</t>
        </is>
      </c>
      <c r="D5655" s="12" t="inlineStr">
        <is>
          <t>LV power feeder</t>
        </is>
      </c>
      <c r="E5655" s="12" t="inlineStr"/>
      <c r="F5655" s="12" t="inlineStr">
        <is>
          <t>LNG 17: LNG e-house (13.8 kV / 480 V)</t>
        </is>
      </c>
      <c r="G5655" s="12" t="inlineStr">
        <is>
          <t>LNG-T4</t>
        </is>
      </c>
      <c r="H5655" s="12" t="inlineStr">
        <is>
          <t>LNG 11: tank 4, Chart HS 50000 (51,780 gal)</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10</v>
      </c>
      <c r="R5655" s="12" t="n">
        <v>14.2</v>
      </c>
      <c r="S5655" s="12" t="inlineStr">
        <is>
          <t>Duct bank</t>
        </is>
      </c>
      <c r="T5655" s="15" t="n">
        <v>270</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is>
          <t>VD 2.1 %</t>
        </is>
      </c>
      <c r="AA5655" s="12">
        <f>N5655*O5655</f>
        <v/>
      </c>
    </row>
    <row r="5656">
      <c r="A5656" s="12" t="inlineStr">
        <is>
          <t>K-P-0029</t>
        </is>
      </c>
      <c r="B5656" s="12" t="inlineStr">
        <is>
          <t>K</t>
        </is>
      </c>
      <c r="C5656" s="12" t="inlineStr">
        <is>
          <t>Fuel supply (adjacent market)</t>
        </is>
      </c>
      <c r="D5656" s="12" t="inlineStr">
        <is>
          <t>LV power feeder</t>
        </is>
      </c>
      <c r="E5656" s="12" t="inlineStr"/>
      <c r="F5656" s="12" t="inlineStr">
        <is>
          <t>LNG 17: LNG e-house (13.8 kV / 480 V)</t>
        </is>
      </c>
      <c r="G5656" s="12" t="inlineStr">
        <is>
          <t>LNG-T5</t>
        </is>
      </c>
      <c r="H5656" s="12" t="inlineStr">
        <is>
          <t>LNG 11: tank 5, Chart HS 50000 (51,780 gal)</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10</v>
      </c>
      <c r="R5656" s="12" t="n">
        <v>14.2</v>
      </c>
      <c r="S5656" s="12" t="inlineStr">
        <is>
          <t>Duct bank</t>
        </is>
      </c>
      <c r="T5656" s="15" t="n">
        <v>290</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is>
          <t>VD 2.2 %</t>
        </is>
      </c>
      <c r="AA5656" s="12">
        <f>N5656*O5656</f>
        <v/>
      </c>
    </row>
    <row r="5657">
      <c r="A5657" s="12" t="inlineStr">
        <is>
          <t>K-P-0030</t>
        </is>
      </c>
      <c r="B5657" s="12" t="inlineStr">
        <is>
          <t>K</t>
        </is>
      </c>
      <c r="C5657" s="12" t="inlineStr">
        <is>
          <t>Fuel supply (adjacent market)</t>
        </is>
      </c>
      <c r="D5657" s="12" t="inlineStr">
        <is>
          <t>LV power feeder</t>
        </is>
      </c>
      <c r="E5657" s="12" t="inlineStr"/>
      <c r="F5657" s="12" t="inlineStr">
        <is>
          <t>LNG 17: LNG e-house (13.8 kV / 480 V)</t>
        </is>
      </c>
      <c r="G5657" s="12" t="inlineStr">
        <is>
          <t>LNG-T6</t>
        </is>
      </c>
      <c r="H5657" s="12" t="inlineStr">
        <is>
          <t>LNG 11: tank 6, Chart HS 50000 (51,780 gal)</t>
        </is>
      </c>
      <c r="I5657" s="12" t="inlineStr">
        <is>
          <t>LV 600 V</t>
        </is>
      </c>
      <c r="J5657" s="12" t="inlineStr">
        <is>
          <t>ARMOR-X MC-HL 600 V 3/C Cu XHHW-2 + ground, CWA, black PVC (Class I Div 2)</t>
        </is>
      </c>
      <c r="K5657" s="12" t="inlineStr">
        <is>
          <t>LVAX|3/C+G|10</t>
        </is>
      </c>
      <c r="L5657" s="12" t="inlineStr">
        <is>
          <t>3/C+G</t>
        </is>
      </c>
      <c r="M5657" s="12" t="inlineStr">
        <is>
          <t>10</t>
        </is>
      </c>
      <c r="N5657" s="12" t="n">
        <v>1</v>
      </c>
      <c r="O5657" s="12" t="n">
        <v>1</v>
      </c>
      <c r="P5657" s="12" t="n">
        <v>480</v>
      </c>
      <c r="Q5657" s="12" t="n">
        <v>10</v>
      </c>
      <c r="R5657" s="12" t="n">
        <v>14.2</v>
      </c>
      <c r="S5657" s="12" t="inlineStr">
        <is>
          <t>Duct bank</t>
        </is>
      </c>
      <c r="T5657" s="15" t="n">
        <v>310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is>
          <t>VD 2.3 %</t>
        </is>
      </c>
      <c r="AA5657" s="12">
        <f>N5657*O5657</f>
        <v/>
      </c>
    </row>
    <row r="5658">
      <c r="A5658" s="12" t="inlineStr">
        <is>
          <t>K-P-0031</t>
        </is>
      </c>
      <c r="B5658" s="12" t="inlineStr">
        <is>
          <t>K</t>
        </is>
      </c>
      <c r="C5658" s="12" t="inlineStr">
        <is>
          <t>Fuel supply (adjacent market)</t>
        </is>
      </c>
      <c r="D5658" s="12" t="inlineStr">
        <is>
          <t>LV power feeder</t>
        </is>
      </c>
      <c r="E5658" s="12" t="inlineStr"/>
      <c r="F5658" s="12" t="inlineStr">
        <is>
          <t>LNG 17: LNG e-house (13.8 kV / 480 V)</t>
        </is>
      </c>
      <c r="G5658" s="12" t="inlineStr">
        <is>
          <t>LNG-T7</t>
        </is>
      </c>
      <c r="H5658" s="12" t="inlineStr">
        <is>
          <t>LNG 11: tank 7, Chart HS 50000 (51,780 gal)</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10</v>
      </c>
      <c r="R5658" s="12" t="n">
        <v>14.2</v>
      </c>
      <c r="S5658" s="12" t="inlineStr">
        <is>
          <t>Duct bank</t>
        </is>
      </c>
      <c r="T5658" s="15" t="n">
        <v>330</v>
      </c>
      <c r="U5658" s="15" t="n">
        <v>32</v>
      </c>
      <c r="V5658" s="15">
        <f>ROUNDUP((T5658+U5658+2*'Read Me'!$B$13)*(1+'Read Me'!$B$12),-1)</f>
        <v/>
      </c>
      <c r="W5658" s="15">
        <f>V5658*N5658*O5658</f>
        <v/>
      </c>
      <c r="X5658" s="12">
        <f>IF(LEFT(I5658,2)="MV",2*N5658*IF(L5658="1/C",O5658,1),0)</f>
        <v/>
      </c>
      <c r="Y5658" s="12">
        <f>IF(OR(LEFT(K5658,4)="LVAX",LEFT(K5658,6)="MV15AX",LEFT(K5658,4)="CTAX",LEFT(K5658,2)="W|"),2*N5658*O5658,0)</f>
        <v/>
      </c>
      <c r="Z5658" s="12" t="inlineStr">
        <is>
          <t>VD 2.5 %</t>
        </is>
      </c>
      <c r="AA5658" s="12">
        <f>N5658*O5658</f>
        <v/>
      </c>
    </row>
    <row r="5659">
      <c r="A5659" s="12" t="inlineStr">
        <is>
          <t>K-P-0032</t>
        </is>
      </c>
      <c r="B5659" s="12" t="inlineStr">
        <is>
          <t>K</t>
        </is>
      </c>
      <c r="C5659" s="12" t="inlineStr">
        <is>
          <t>Fuel supply (adjacent market)</t>
        </is>
      </c>
      <c r="D5659" s="12" t="inlineStr">
        <is>
          <t>LV power feeder</t>
        </is>
      </c>
      <c r="E5659" s="12" t="inlineStr"/>
      <c r="F5659" s="12" t="inlineStr">
        <is>
          <t>LNG 17: LNG e-house (13.8 kV / 480 V)</t>
        </is>
      </c>
      <c r="G5659" s="12" t="inlineStr">
        <is>
          <t>LNG-T8</t>
        </is>
      </c>
      <c r="H5659" s="12" t="inlineStr">
        <is>
          <t>LNG 11: tank 8, Chart HS 50000 (51,780 gal)</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10</v>
      </c>
      <c r="R5659" s="12" t="n">
        <v>14.2</v>
      </c>
      <c r="S5659" s="12" t="inlineStr">
        <is>
          <t>Duct bank</t>
        </is>
      </c>
      <c r="T5659" s="15" t="n">
        <v>350</v>
      </c>
      <c r="U5659" s="15" t="n">
        <v>32</v>
      </c>
      <c r="V5659" s="15">
        <f>ROUNDUP((T5659+U5659+2*'Read Me'!$B$13)*(1+'Read Me'!$B$12),-1)</f>
        <v/>
      </c>
      <c r="W5659" s="15">
        <f>V5659*N5659*O5659</f>
        <v/>
      </c>
      <c r="X5659" s="12">
        <f>IF(LEFT(I5659,2)="MV",2*N5659*IF(L5659="1/C",O5659,1),0)</f>
        <v/>
      </c>
      <c r="Y5659" s="12">
        <f>IF(OR(LEFT(K5659,4)="LVAX",LEFT(K5659,6)="MV15AX",LEFT(K5659,4)="CTAX",LEFT(K5659,2)="W|"),2*N5659*O5659,0)</f>
        <v/>
      </c>
      <c r="Z5659" s="12" t="inlineStr">
        <is>
          <t>VD 2.6 %</t>
        </is>
      </c>
      <c r="AA5659" s="12">
        <f>N5659*O5659</f>
        <v/>
      </c>
    </row>
    <row r="5660">
      <c r="A5660" s="12" t="inlineStr">
        <is>
          <t>K-P-0033</t>
        </is>
      </c>
      <c r="B5660" s="12" t="inlineStr">
        <is>
          <t>K</t>
        </is>
      </c>
      <c r="C5660" s="12" t="inlineStr">
        <is>
          <t>Fuel supply (adjacent market)</t>
        </is>
      </c>
      <c r="D5660" s="12" t="inlineStr">
        <is>
          <t>Motor 1 of 1, 15 kW</t>
        </is>
      </c>
      <c r="E5660" s="12" t="inlineStr"/>
      <c r="F5660" s="12" t="inlineStr">
        <is>
          <t>LNG 17: LNG e-house (13.8 kV / 480 V)</t>
        </is>
      </c>
      <c r="G5660" s="12" t="inlineStr"/>
      <c r="H5660" s="12" t="inlineStr">
        <is>
          <t>LNG 12: spill impoundment (NFPA 59A, to verify)</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15</v>
      </c>
      <c r="R5660" s="12" t="n">
        <v>21.2</v>
      </c>
      <c r="S5660" s="12" t="inlineStr">
        <is>
          <t>Duct bank</t>
        </is>
      </c>
      <c r="T5660" s="15" t="n">
        <v>230</v>
      </c>
      <c r="U5660" s="15" t="n">
        <v>32</v>
      </c>
      <c r="V5660" s="15">
        <f>ROUNDUP((T5660+U5660+2*'Read Me'!$B$13)*(1+'Read Me'!$B$12),-1)</f>
        <v/>
      </c>
      <c r="W5660" s="15">
        <f>V5660*N5660*O5660</f>
        <v/>
      </c>
      <c r="X5660" s="12">
        <f>IF(LEFT(I5660,2)="MV",2*N5660*IF(L5660="1/C",O5660,1),0)</f>
        <v/>
      </c>
      <c r="Y5660" s="12">
        <f>IF(OR(LEFT(K5660,4)="LVAX",LEFT(K5660,6)="MV15AX",LEFT(K5660,4)="CTAX",LEFT(K5660,2)="W|"),2*N5660*O5660,0)</f>
        <v/>
      </c>
      <c r="Z5660" s="12" t="inlineStr">
        <is>
          <t>VD 2.7 %</t>
        </is>
      </c>
      <c r="AA5660" s="12">
        <f>N5660*O5660</f>
        <v/>
      </c>
    </row>
    <row r="5661">
      <c r="A5661" s="12" t="inlineStr">
        <is>
          <t>K-P-0034</t>
        </is>
      </c>
      <c r="B5661" s="12" t="inlineStr">
        <is>
          <t>K</t>
        </is>
      </c>
      <c r="C5661" s="12" t="inlineStr">
        <is>
          <t>Fuel supply (adjacent market)</t>
        </is>
      </c>
      <c r="D5661" s="12" t="inlineStr">
        <is>
          <t>Motor 1 of 1, 15 kW</t>
        </is>
      </c>
      <c r="E5661" s="12" t="inlineStr"/>
      <c r="F5661" s="12" t="inlineStr">
        <is>
          <t>LNG 17: LNG e-house (13.8 kV / 480 V)</t>
        </is>
      </c>
      <c r="G5661" s="12" t="inlineStr"/>
      <c r="H5661" s="12" t="inlineStr">
        <is>
          <t>LNG 13: send-out pumps 2 x 100%</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15</v>
      </c>
      <c r="R5661" s="12" t="n">
        <v>21.2</v>
      </c>
      <c r="S5661" s="12" t="inlineStr">
        <is>
          <t>Duct bank</t>
        </is>
      </c>
      <c r="T5661" s="15" t="n">
        <v>110</v>
      </c>
      <c r="U5661" s="15" t="n">
        <v>32</v>
      </c>
      <c r="V5661" s="15">
        <f>ROUNDUP((T5661+U5661+2*'Read Me'!$B$13)*(1+'Read Me'!$B$12),-1)</f>
        <v/>
      </c>
      <c r="W5661" s="15">
        <f>V5661*N5661*O5661</f>
        <v/>
      </c>
      <c r="X5661" s="12">
        <f>IF(LEFT(I5661,2)="MV",2*N5661*IF(L5661="1/C",O5661,1),0)</f>
        <v/>
      </c>
      <c r="Y5661" s="12">
        <f>IF(OR(LEFT(K5661,4)="LVAX",LEFT(K5661,6)="MV15AX",LEFT(K5661,4)="CTAX",LEFT(K5661,2)="W|"),2*N5661*O5661,0)</f>
        <v/>
      </c>
      <c r="Z5661" s="12" t="inlineStr">
        <is>
          <t>VD 1.4 %</t>
        </is>
      </c>
      <c r="AA5661" s="12">
        <f>N5661*O5661</f>
        <v/>
      </c>
    </row>
    <row r="5662">
      <c r="A5662" s="12" t="inlineStr">
        <is>
          <t>K-P-0035</t>
        </is>
      </c>
      <c r="B5662" s="12" t="inlineStr">
        <is>
          <t>K</t>
        </is>
      </c>
      <c r="C5662" s="12" t="inlineStr">
        <is>
          <t>Fuel supply (adjacent market)</t>
        </is>
      </c>
      <c r="D5662" s="12" t="inlineStr">
        <is>
          <t>Motor 1 of 1, 15 kW</t>
        </is>
      </c>
      <c r="E5662" s="12" t="inlineStr"/>
      <c r="F5662" s="12" t="inlineStr">
        <is>
          <t>LNG 17: LNG e-house (13.8 kV / 480 V)</t>
        </is>
      </c>
      <c r="G5662" s="12" t="inlineStr"/>
      <c r="H5662" s="12" t="inlineStr">
        <is>
          <t>LNG 14: vaporizers + glycol heater</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15</v>
      </c>
      <c r="R5662" s="12" t="n">
        <v>21.2</v>
      </c>
      <c r="S5662" s="12" t="inlineStr">
        <is>
          <t>Duct bank</t>
        </is>
      </c>
      <c r="T5662" s="15" t="n">
        <v>259</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is>
          <t>VD 3.0 %</t>
        </is>
      </c>
      <c r="AA5662" s="12">
        <f>N5662*O5662</f>
        <v/>
      </c>
    </row>
    <row r="5663">
      <c r="A5663" s="12" t="inlineStr">
        <is>
          <t>K-P-0036</t>
        </is>
      </c>
      <c r="B5663" s="12" t="inlineStr">
        <is>
          <t>K</t>
        </is>
      </c>
      <c r="C5663" s="12" t="inlineStr">
        <is>
          <t>Fuel supply (adjacent market)</t>
        </is>
      </c>
      <c r="D5663" s="12" t="inlineStr">
        <is>
          <t>Motor 1 of 1, 15 kW</t>
        </is>
      </c>
      <c r="E5663" s="12" t="inlineStr"/>
      <c r="F5663" s="12" t="inlineStr">
        <is>
          <t>LNG 17: LNG e-house (13.8 kV / 480 V)</t>
        </is>
      </c>
      <c r="G5663" s="12" t="inlineStr"/>
      <c r="H5663" s="12" t="inlineStr">
        <is>
          <t>LNG 15: boil-off gas compressor</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15</v>
      </c>
      <c r="R5663" s="12" t="n">
        <v>21.2</v>
      </c>
      <c r="S5663" s="12" t="inlineStr">
        <is>
          <t>Duct bank</t>
        </is>
      </c>
      <c r="T5663" s="15" t="n">
        <v>25</v>
      </c>
      <c r="U5663" s="15" t="n">
        <v>54</v>
      </c>
      <c r="V5663" s="15">
        <f>ROUNDUP((T5663+U5663+2*'Read Me'!$B$13)*(1+'Read Me'!$B$12),-1)</f>
        <v/>
      </c>
      <c r="W5663" s="15">
        <f>V5663*N5663*O5663</f>
        <v/>
      </c>
      <c r="X5663" s="12">
        <f>IF(LEFT(I5663,2)="MV",2*N5663*IF(L5663="1/C",O5663,1),0)</f>
        <v/>
      </c>
      <c r="Y5663" s="12">
        <f>IF(OR(LEFT(K5663,4)="LVAX",LEFT(K5663,6)="MV15AX",LEFT(K5663,4)="CTAX",LEFT(K5663,2)="W|"),2*N5663*O5663,0)</f>
        <v/>
      </c>
      <c r="Z5663" s="12" t="inlineStr">
        <is>
          <t>VD 0.8 %</t>
        </is>
      </c>
      <c r="AA5663" s="12">
        <f>N5663*O5663</f>
        <v/>
      </c>
    </row>
    <row r="5664">
      <c r="A5664" s="12" t="inlineStr">
        <is>
          <t>K-P-0037</t>
        </is>
      </c>
      <c r="B5664" s="12" t="inlineStr">
        <is>
          <t>K</t>
        </is>
      </c>
      <c r="C5664" s="12" t="inlineStr">
        <is>
          <t>Fuel supply (adjacent market)</t>
        </is>
      </c>
      <c r="D5664" s="12" t="inlineStr">
        <is>
          <t>Motor 1 of 1, 15 kW</t>
        </is>
      </c>
      <c r="E5664" s="12" t="inlineStr"/>
      <c r="F5664" s="12" t="inlineStr">
        <is>
          <t>LNG 17: LNG e-house (13.8 kV / 480 V)</t>
        </is>
      </c>
      <c r="G5664" s="12" t="inlineStr"/>
      <c r="H5664" s="12" t="inlineStr">
        <is>
          <t>LNG 16: send-out metering + pressure control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15</v>
      </c>
      <c r="R5664" s="12" t="n">
        <v>21.2</v>
      </c>
      <c r="S5664" s="12" t="inlineStr">
        <is>
          <t>Duct bank</t>
        </is>
      </c>
      <c r="T5664" s="15" t="n">
        <v>20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is>
          <t>VD 0.5 %</t>
        </is>
      </c>
      <c r="AA5664" s="12">
        <f>N5664*O5664</f>
        <v/>
      </c>
    </row>
    <row r="5665">
      <c r="A5665" s="12" t="inlineStr">
        <is>
          <t>K-P-0038</t>
        </is>
      </c>
      <c r="B5665" s="12" t="inlineStr">
        <is>
          <t>K</t>
        </is>
      </c>
      <c r="C5665" s="12" t="inlineStr">
        <is>
          <t>Fuel supply (adjacent market)</t>
        </is>
      </c>
      <c r="D5665" s="12" t="inlineStr">
        <is>
          <t>Motor 1 of 1, 15 kW</t>
        </is>
      </c>
      <c r="E5665" s="12" t="inlineStr"/>
      <c r="F5665" s="12" t="inlineStr">
        <is>
          <t>LNG 17: LNG e-house (13.8 kV / 480 V)</t>
        </is>
      </c>
      <c r="G5665" s="12" t="inlineStr"/>
      <c r="H5665" s="12" t="inlineStr">
        <is>
          <t>LNG 17: LNG e-house (13.8 kV / 480 V)</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15</v>
      </c>
      <c r="R5665" s="12" t="n">
        <v>21.2</v>
      </c>
      <c r="S5665" s="12" t="inlineStr">
        <is>
          <t>Tray</t>
        </is>
      </c>
      <c r="T5665" s="15" t="n">
        <v>0</v>
      </c>
      <c r="U5665" s="15" t="n">
        <v>32</v>
      </c>
      <c r="V5665" s="15">
        <f>ROUNDUP((T5665+U5665+2*'Read Me'!$B$13)*(1+'Read Me'!$B$12),-1)</f>
        <v/>
      </c>
      <c r="W5665" s="15">
        <f>V5665*N5665*O5665</f>
        <v/>
      </c>
      <c r="X5665" s="12">
        <f>IF(LEFT(I5665,2)="MV",2*N5665*IF(L5665="1/C",O5665,1),0)</f>
        <v/>
      </c>
      <c r="Y5665" s="12">
        <f>IF(OR(LEFT(K5665,4)="LVAX",LEFT(K5665,6)="MV15AX",LEFT(K5665,4)="CTAX",LEFT(K5665,2)="W|"),2*N5665*O5665,0)</f>
        <v/>
      </c>
      <c r="Z5665" s="12" t="inlineStr">
        <is>
          <t>VD 0.3 %</t>
        </is>
      </c>
      <c r="AA5665" s="12">
        <f>N5665*O5665</f>
        <v/>
      </c>
    </row>
    <row r="5666">
      <c r="A5666" s="12" t="inlineStr">
        <is>
          <t>K-P-0039</t>
        </is>
      </c>
      <c r="B5666" s="12" t="inlineStr">
        <is>
          <t>K</t>
        </is>
      </c>
      <c r="C5666" s="12" t="inlineStr">
        <is>
          <t>Fuel supply (adjacent market)</t>
        </is>
      </c>
      <c r="D5666" s="12" t="inlineStr">
        <is>
          <t>Motor 1 of 1, 15 kW</t>
        </is>
      </c>
      <c r="E5666" s="12" t="inlineStr"/>
      <c r="F5666" s="12" t="inlineStr">
        <is>
          <t>LNG 17: LNG e-house (13.8 kV / 480 V)</t>
        </is>
      </c>
      <c r="G5666" s="12" t="inlineStr"/>
      <c r="H5666" s="12" t="inlineStr">
        <is>
          <t>LNG 18: vent stack</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15</v>
      </c>
      <c r="R5666" s="12" t="n">
        <v>21.2</v>
      </c>
      <c r="S5666" s="12" t="inlineStr">
        <is>
          <t>Duct bank</t>
        </is>
      </c>
      <c r="T5666" s="15" t="n">
        <v>25</v>
      </c>
      <c r="U5666" s="15" t="n">
        <v>117</v>
      </c>
      <c r="V5666" s="15">
        <f>ROUNDUP((T5666+U5666+2*'Read Me'!$B$13)*(1+'Read Me'!$B$12),-1)</f>
        <v/>
      </c>
      <c r="W5666" s="15">
        <f>V5666*N5666*O5666</f>
        <v/>
      </c>
      <c r="X5666" s="12">
        <f>IF(LEFT(I5666,2)="MV",2*N5666*IF(L5666="1/C",O5666,1),0)</f>
        <v/>
      </c>
      <c r="Y5666" s="12">
        <f>IF(OR(LEFT(K5666,4)="LVAX",LEFT(K5666,6)="MV15AX",LEFT(K5666,4)="CTAX",LEFT(K5666,2)="W|"),2*N5666*O5666,0)</f>
        <v/>
      </c>
      <c r="Z5666" s="12" t="inlineStr">
        <is>
          <t>VD 1.4 %</t>
        </is>
      </c>
      <c r="AA5666" s="12">
        <f>N5666*O5666</f>
        <v/>
      </c>
    </row>
    <row r="5667">
      <c r="A5667" s="12" t="inlineStr">
        <is>
          <t>K-P-0040</t>
        </is>
      </c>
      <c r="B5667" s="12" t="inlineStr">
        <is>
          <t>K</t>
        </is>
      </c>
      <c r="C5667" s="12" t="inlineStr">
        <is>
          <t>Fuel supply (adjacent market)</t>
        </is>
      </c>
      <c r="D5667" s="12" t="inlineStr">
        <is>
          <t>LV power feeder</t>
        </is>
      </c>
      <c r="E5667" s="12" t="inlineStr"/>
      <c r="F5667" s="12" t="inlineStr">
        <is>
          <t>LNG 17: LNG e-house (13.8 kV / 480 V)</t>
        </is>
      </c>
      <c r="G5667" s="12" t="inlineStr"/>
      <c r="H5667" s="12" t="inlineStr">
        <is>
          <t>LNG impoundment sump pump</t>
        </is>
      </c>
      <c r="I5667" s="12" t="inlineStr">
        <is>
          <t>LV 600 V</t>
        </is>
      </c>
      <c r="J5667" s="12" t="inlineStr">
        <is>
          <t>ARMOR-X MC-HL 600 V 3/C Cu XHHW-2 + ground, CWA, black PVC (Class I Div 2)</t>
        </is>
      </c>
      <c r="K5667" s="12" t="inlineStr">
        <is>
          <t>LVAX|3/C+G|8</t>
        </is>
      </c>
      <c r="L5667" s="12" t="inlineStr">
        <is>
          <t>3/C+G</t>
        </is>
      </c>
      <c r="M5667" s="12" t="inlineStr">
        <is>
          <t>8</t>
        </is>
      </c>
      <c r="N5667" s="12" t="n">
        <v>1</v>
      </c>
      <c r="O5667" s="12" t="n">
        <v>1</v>
      </c>
      <c r="P5667" s="12" t="n">
        <v>480</v>
      </c>
      <c r="Q5667" s="12" t="n">
        <v>15</v>
      </c>
      <c r="R5667" s="12" t="n">
        <v>21.2</v>
      </c>
      <c r="S5667" s="12" t="inlineStr">
        <is>
          <t>Duct bank</t>
        </is>
      </c>
      <c r="T5667" s="15" t="n">
        <v>334</v>
      </c>
      <c r="U5667" s="15" t="n">
        <v>32</v>
      </c>
      <c r="V5667" s="15">
        <f>ROUNDUP((T5667+U5667+2*'Read Me'!$B$13)*(1+'Read Me'!$B$12),-1)</f>
        <v/>
      </c>
      <c r="W5667" s="15">
        <f>V5667*N5667*O5667</f>
        <v/>
      </c>
      <c r="X5667" s="12">
        <f>IF(LEFT(I5667,2)="MV",2*N5667*IF(L5667="1/C",O5667,1),0)</f>
        <v/>
      </c>
      <c r="Y5667" s="12">
        <f>IF(OR(LEFT(K5667,4)="LVAX",LEFT(K5667,6)="MV15AX",LEFT(K5667,4)="CTAX",LEFT(K5667,2)="W|"),2*N5667*O5667,0)</f>
        <v/>
      </c>
      <c r="Z5667" s="12" t="inlineStr">
        <is>
          <t>VD 2.4 %</t>
        </is>
      </c>
      <c r="AA5667" s="12">
        <f>N5667*O5667</f>
        <v/>
      </c>
    </row>
    <row r="5668">
      <c r="A5668" s="12" t="inlineStr">
        <is>
          <t>K-P-0041</t>
        </is>
      </c>
      <c r="B5668" s="12" t="inlineStr">
        <is>
          <t>K</t>
        </is>
      </c>
      <c r="C5668" s="12" t="inlineStr">
        <is>
          <t>Fuel supply (adjacent market)</t>
        </is>
      </c>
      <c r="D5668" s="12" t="inlineStr">
        <is>
          <t>LV power feeder</t>
        </is>
      </c>
      <c r="E5668" s="12" t="inlineStr"/>
      <c r="F5668" s="12" t="inlineStr">
        <is>
          <t>LNG 17: LNG e-house (13.8 kV / 480 V)</t>
        </is>
      </c>
      <c r="G5668" s="12" t="inlineStr"/>
      <c r="H5668" s="12" t="inlineStr">
        <is>
          <t>M&amp;R 2: insulating joint + ESD valve</t>
        </is>
      </c>
      <c r="I5668" s="12" t="inlineStr">
        <is>
          <t>LV 600 V</t>
        </is>
      </c>
      <c r="J5668" s="12" t="inlineStr">
        <is>
          <t>ARMOR-X MC-HL 600 V 3/C Cu XHHW-2 + ground, CWA, black PVC (Class I Div 2)</t>
        </is>
      </c>
      <c r="K5668" s="12" t="inlineStr">
        <is>
          <t>LVAX|3/C+G|6</t>
        </is>
      </c>
      <c r="L5668" s="12" t="inlineStr">
        <is>
          <t>3/C+G</t>
        </is>
      </c>
      <c r="M5668" s="12" t="inlineStr">
        <is>
          <t>6</t>
        </is>
      </c>
      <c r="N5668" s="12" t="n">
        <v>1</v>
      </c>
      <c r="O5668" s="12" t="n">
        <v>1</v>
      </c>
      <c r="P5668" s="12" t="n">
        <v>480</v>
      </c>
      <c r="Q5668" s="12" t="n">
        <v>10</v>
      </c>
      <c r="R5668" s="12" t="n">
        <v>14.2</v>
      </c>
      <c r="S5668" s="12" t="inlineStr">
        <is>
          <t>Duct bank</t>
        </is>
      </c>
      <c r="T5668" s="15" t="n">
        <v>775</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is>
          <t>VD 2.2 %</t>
        </is>
      </c>
      <c r="AA5668" s="12">
        <f>N5668*O5668</f>
        <v/>
      </c>
    </row>
    <row r="5669">
      <c r="A5669" s="12" t="inlineStr">
        <is>
          <t>K-P-0042</t>
        </is>
      </c>
      <c r="B5669" s="12" t="inlineStr">
        <is>
          <t>K</t>
        </is>
      </c>
      <c r="C5669" s="12" t="inlineStr">
        <is>
          <t>Fuel supply (adjacent market)</t>
        </is>
      </c>
      <c r="D5669" s="12" t="inlineStr">
        <is>
          <t>LV power feeder</t>
        </is>
      </c>
      <c r="E5669" s="12" t="inlineStr"/>
      <c r="F5669" s="12" t="inlineStr">
        <is>
          <t>LNG 17: LNG e-house (13.8 kV / 480 V)</t>
        </is>
      </c>
      <c r="G5669" s="12" t="inlineStr"/>
      <c r="H5669" s="12" t="inlineStr">
        <is>
          <t>M&amp;R 3: horizontal filter-separator</t>
        </is>
      </c>
      <c r="I5669" s="12" t="inlineStr">
        <is>
          <t>LV 600 V</t>
        </is>
      </c>
      <c r="J5669" s="12" t="inlineStr">
        <is>
          <t>ARMOR-X MC-HL 600 V 3/C Cu XHHW-2 + ground, CWA, black PVC (Class I Div 2)</t>
        </is>
      </c>
      <c r="K5669" s="12" t="inlineStr">
        <is>
          <t>LVAX|3/C+G|4</t>
        </is>
      </c>
      <c r="L5669" s="12" t="inlineStr">
        <is>
          <t>3/C+G</t>
        </is>
      </c>
      <c r="M5669" s="12" t="inlineStr">
        <is>
          <t>4</t>
        </is>
      </c>
      <c r="N5669" s="12" t="n">
        <v>1</v>
      </c>
      <c r="O5669" s="12" t="n">
        <v>1</v>
      </c>
      <c r="P5669" s="12" t="n">
        <v>480</v>
      </c>
      <c r="Q5669" s="12" t="n">
        <v>15</v>
      </c>
      <c r="R5669" s="12" t="n">
        <v>21.2</v>
      </c>
      <c r="S5669" s="12" t="inlineStr">
        <is>
          <t>Duct bank</t>
        </is>
      </c>
      <c r="T5669" s="15" t="n">
        <v>814</v>
      </c>
      <c r="U5669" s="15" t="n">
        <v>32</v>
      </c>
      <c r="V5669" s="15">
        <f>ROUNDUP((T5669+U5669+2*'Read Me'!$B$13)*(1+'Read Me'!$B$12),-1)</f>
        <v/>
      </c>
      <c r="W5669" s="15">
        <f>V5669*N5669*O5669</f>
        <v/>
      </c>
      <c r="X5669" s="12">
        <f>IF(LEFT(I5669,2)="MV",2*N5669*IF(L5669="1/C",O5669,1),0)</f>
        <v/>
      </c>
      <c r="Y5669" s="12">
        <f>IF(OR(LEFT(K5669,4)="LVAX",LEFT(K5669,6)="MV15AX",LEFT(K5669,4)="CTAX",LEFT(K5669,2)="W|"),2*N5669*O5669,0)</f>
        <v/>
      </c>
      <c r="Z5669" s="12" t="inlineStr">
        <is>
          <t>VD 2.2 %</t>
        </is>
      </c>
      <c r="AA5669" s="12">
        <f>N5669*O5669</f>
        <v/>
      </c>
    </row>
    <row r="5670">
      <c r="A5670" s="12" t="inlineStr">
        <is>
          <t>K-P-0043</t>
        </is>
      </c>
      <c r="B5670" s="12" t="inlineStr">
        <is>
          <t>K</t>
        </is>
      </c>
      <c r="C5670" s="12" t="inlineStr">
        <is>
          <t>Fuel supply (adjacent market)</t>
        </is>
      </c>
      <c r="D5670" s="12" t="inlineStr">
        <is>
          <t>LV power feeder</t>
        </is>
      </c>
      <c r="E5670" s="12" t="inlineStr"/>
      <c r="F5670" s="12" t="inlineStr">
        <is>
          <t>LNG 17: LNG e-house (13.8 kV / 480 V)</t>
        </is>
      </c>
      <c r="G5670" s="12" t="inlineStr"/>
      <c r="H5670" s="12" t="inlineStr">
        <is>
          <t>M&amp;R 4: line heater 1 (water bath)</t>
        </is>
      </c>
      <c r="I5670" s="12" t="inlineStr">
        <is>
          <t>LV 600 V</t>
        </is>
      </c>
      <c r="J5670" s="12" t="inlineStr">
        <is>
          <t>ARMOR-X MC-HL 600 V 3/C Cu XHHW-2 + ground, CWA, black PVC (Class I Div 2)</t>
        </is>
      </c>
      <c r="K5670" s="12" t="inlineStr">
        <is>
          <t>LVAX|3/C+G|6</t>
        </is>
      </c>
      <c r="L5670" s="12" t="inlineStr">
        <is>
          <t>3/C+G</t>
        </is>
      </c>
      <c r="M5670" s="12" t="inlineStr">
        <is>
          <t>6</t>
        </is>
      </c>
      <c r="N5670" s="12" t="n">
        <v>1</v>
      </c>
      <c r="O5670" s="12" t="n">
        <v>1</v>
      </c>
      <c r="P5670" s="12" t="n">
        <v>480</v>
      </c>
      <c r="Q5670" s="12" t="n">
        <v>15</v>
      </c>
      <c r="R5670" s="12" t="n">
        <v>21.2</v>
      </c>
      <c r="S5670" s="12" t="inlineStr">
        <is>
          <t>Duct bank</t>
        </is>
      </c>
      <c r="T5670" s="15" t="n">
        <v>608</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is>
          <t>VD 2.6 %</t>
        </is>
      </c>
      <c r="AA5670" s="12">
        <f>N5670*O5670</f>
        <v/>
      </c>
    </row>
    <row r="5671">
      <c r="A5671" s="12" t="inlineStr">
        <is>
          <t>K-P-0044</t>
        </is>
      </c>
      <c r="B5671" s="12" t="inlineStr">
        <is>
          <t>K</t>
        </is>
      </c>
      <c r="C5671" s="12" t="inlineStr">
        <is>
          <t>Fuel supply (adjacent market)</t>
        </is>
      </c>
      <c r="D5671" s="12" t="inlineStr">
        <is>
          <t>LV power feeder</t>
        </is>
      </c>
      <c r="E5671" s="12" t="inlineStr"/>
      <c r="F5671" s="12" t="inlineStr">
        <is>
          <t>LNG 17: LNG e-house (13.8 kV / 480 V)</t>
        </is>
      </c>
      <c r="G5671" s="12" t="inlineStr"/>
      <c r="H5671" s="12" t="inlineStr">
        <is>
          <t>M&amp;R 4: line heater 2 (water bath)</t>
        </is>
      </c>
      <c r="I5671" s="12" t="inlineStr">
        <is>
          <t>LV 600 V</t>
        </is>
      </c>
      <c r="J5671" s="12" t="inlineStr">
        <is>
          <t>ARMOR-X MC-HL 600 V 3/C Cu XHHW-2 + ground, CWA, black PVC (Class I Div 2)</t>
        </is>
      </c>
      <c r="K5671" s="12" t="inlineStr">
        <is>
          <t>LVAX|3/C+G|6</t>
        </is>
      </c>
      <c r="L5671" s="12" t="inlineStr">
        <is>
          <t>3/C+G</t>
        </is>
      </c>
      <c r="M5671" s="12" t="inlineStr">
        <is>
          <t>6</t>
        </is>
      </c>
      <c r="N5671" s="12" t="n">
        <v>1</v>
      </c>
      <c r="O5671" s="12" t="n">
        <v>1</v>
      </c>
      <c r="P5671" s="12" t="n">
        <v>480</v>
      </c>
      <c r="Q5671" s="12" t="n">
        <v>15</v>
      </c>
      <c r="R5671" s="12" t="n">
        <v>21.2</v>
      </c>
      <c r="S5671" s="12" t="inlineStr">
        <is>
          <t>Duct bank</t>
        </is>
      </c>
      <c r="T5671" s="15" t="n">
        <v>608</v>
      </c>
      <c r="U5671" s="15" t="n">
        <v>50</v>
      </c>
      <c r="V5671" s="15">
        <f>ROUNDUP((T5671+U5671+2*'Read Me'!$B$13)*(1+'Read Me'!$B$12),-1)</f>
        <v/>
      </c>
      <c r="W5671" s="15">
        <f>V5671*N5671*O5671</f>
        <v/>
      </c>
      <c r="X5671" s="12">
        <f>IF(LEFT(I5671,2)="MV",2*N5671*IF(L5671="1/C",O5671,1),0)</f>
        <v/>
      </c>
      <c r="Y5671" s="12">
        <f>IF(OR(LEFT(K5671,4)="LVAX",LEFT(K5671,6)="MV15AX",LEFT(K5671,4)="CTAX",LEFT(K5671,2)="W|"),2*N5671*O5671,0)</f>
        <v/>
      </c>
      <c r="Z5671" s="12" t="inlineStr">
        <is>
          <t>VD 2.7 %</t>
        </is>
      </c>
      <c r="AA5671" s="12">
        <f>N5671*O5671</f>
        <v/>
      </c>
    </row>
    <row r="5672">
      <c r="A5672" s="12" t="inlineStr">
        <is>
          <t>K-P-0045</t>
        </is>
      </c>
      <c r="B5672" s="12" t="inlineStr">
        <is>
          <t>K</t>
        </is>
      </c>
      <c r="C5672" s="12" t="inlineStr">
        <is>
          <t>Fuel supply (adjacent market)</t>
        </is>
      </c>
      <c r="D5672" s="12" t="inlineStr">
        <is>
          <t>LV power feeder</t>
        </is>
      </c>
      <c r="E5672" s="12" t="inlineStr"/>
      <c r="F5672" s="12" t="inlineStr">
        <is>
          <t>LNG 17: LNG e-house (13.8 kV / 480 V)</t>
        </is>
      </c>
      <c r="G5672" s="12" t="inlineStr"/>
      <c r="H5672" s="12" t="inlineStr">
        <is>
          <t>M&amp;R 4: line heater 3 (water bath)</t>
        </is>
      </c>
      <c r="I5672" s="12" t="inlineStr">
        <is>
          <t>LV 600 V</t>
        </is>
      </c>
      <c r="J5672" s="12" t="inlineStr">
        <is>
          <t>ARMOR-X MC-HL 600 V 3/C Cu XHHW-2 + ground, CWA, black PVC (Class I Div 2)</t>
        </is>
      </c>
      <c r="K5672" s="12" t="inlineStr">
        <is>
          <t>LVAX|3/C+G|6</t>
        </is>
      </c>
      <c r="L5672" s="12" t="inlineStr">
        <is>
          <t>3/C+G</t>
        </is>
      </c>
      <c r="M5672" s="12" t="inlineStr">
        <is>
          <t>6</t>
        </is>
      </c>
      <c r="N5672" s="12" t="n">
        <v>1</v>
      </c>
      <c r="O5672" s="12" t="n">
        <v>1</v>
      </c>
      <c r="P5672" s="12" t="n">
        <v>480</v>
      </c>
      <c r="Q5672" s="12" t="n">
        <v>15</v>
      </c>
      <c r="R5672" s="12" t="n">
        <v>21.2</v>
      </c>
      <c r="S5672" s="12" t="inlineStr">
        <is>
          <t>Duct bank</t>
        </is>
      </c>
      <c r="T5672" s="15" t="n">
        <v>608</v>
      </c>
      <c r="U5672" s="15" t="n">
        <v>68</v>
      </c>
      <c r="V5672" s="15">
        <f>ROUNDUP((T5672+U5672+2*'Read Me'!$B$13)*(1+'Read Me'!$B$12),-1)</f>
        <v/>
      </c>
      <c r="W5672" s="15">
        <f>V5672*N5672*O5672</f>
        <v/>
      </c>
      <c r="X5672" s="12">
        <f>IF(LEFT(I5672,2)="MV",2*N5672*IF(L5672="1/C",O5672,1),0)</f>
        <v/>
      </c>
      <c r="Y5672" s="12">
        <f>IF(OR(LEFT(K5672,4)="LVAX",LEFT(K5672,6)="MV15AX",LEFT(K5672,4)="CTAX",LEFT(K5672,2)="W|"),2*N5672*O5672,0)</f>
        <v/>
      </c>
      <c r="Z5672" s="12" t="inlineStr">
        <is>
          <t>VD 2.8 %</t>
        </is>
      </c>
      <c r="AA5672" s="12">
        <f>N5672*O5672</f>
        <v/>
      </c>
    </row>
    <row r="5673">
      <c r="A5673" s="12" t="inlineStr">
        <is>
          <t>K-P-0046</t>
        </is>
      </c>
      <c r="B5673" s="12" t="inlineStr">
        <is>
          <t>K</t>
        </is>
      </c>
      <c r="C5673" s="12" t="inlineStr">
        <is>
          <t>Fuel supply (adjacent market)</t>
        </is>
      </c>
      <c r="D5673" s="12" t="inlineStr">
        <is>
          <t>LV panel / distribution feeder</t>
        </is>
      </c>
      <c r="E5673" s="12" t="inlineStr"/>
      <c r="F5673" s="12" t="inlineStr">
        <is>
          <t>LNG 17: LNG e-house (13.8 kV / 480 V)</t>
        </is>
      </c>
      <c r="G5673" s="12" t="inlineStr"/>
      <c r="H5673" s="12" t="inlineStr">
        <is>
          <t>M&amp;R 6: regulation / flow control building</t>
        </is>
      </c>
      <c r="I5673" s="12" t="inlineStr">
        <is>
          <t>LV 600 V</t>
        </is>
      </c>
      <c r="J5673" s="12" t="inlineStr">
        <is>
          <t>ARMOR-X MC-HL 600 V 3/C Cu XHHW-2 + ground, CWA, black PVC (Class I Div 2)</t>
        </is>
      </c>
      <c r="K5673" s="12" t="inlineStr">
        <is>
          <t>LVAX|3/C+G|8</t>
        </is>
      </c>
      <c r="L5673" s="12" t="inlineStr">
        <is>
          <t>3/C+G</t>
        </is>
      </c>
      <c r="M5673" s="12" t="inlineStr">
        <is>
          <t>8</t>
        </is>
      </c>
      <c r="N5673" s="12" t="n">
        <v>1</v>
      </c>
      <c r="O5673" s="12" t="n">
        <v>1</v>
      </c>
      <c r="P5673" s="12" t="n">
        <v>480</v>
      </c>
      <c r="Q5673" s="12" t="n">
        <v>10</v>
      </c>
      <c r="R5673" s="12" t="n">
        <v>14.2</v>
      </c>
      <c r="S5673" s="12" t="inlineStr">
        <is>
          <t>Duct bank</t>
        </is>
      </c>
      <c r="T5673" s="15" t="n">
        <v>485</v>
      </c>
      <c r="U5673" s="15" t="n">
        <v>70</v>
      </c>
      <c r="V5673" s="15">
        <f>ROUNDUP((T5673+U5673+2*'Read Me'!$B$13)*(1+'Read Me'!$B$12),-1)</f>
        <v/>
      </c>
      <c r="W5673" s="15">
        <f>V5673*N5673*O5673</f>
        <v/>
      </c>
      <c r="X5673" s="12">
        <f>IF(LEFT(I5673,2)="MV",2*N5673*IF(L5673="1/C",O5673,1),0)</f>
        <v/>
      </c>
      <c r="Y5673" s="12">
        <f>IF(OR(LEFT(K5673,4)="LVAX",LEFT(K5673,6)="MV15AX",LEFT(K5673,4)="CTAX",LEFT(K5673,2)="W|"),2*N5673*O5673,0)</f>
        <v/>
      </c>
      <c r="Z5673" s="12" t="inlineStr">
        <is>
          <t>VD 2.4 %</t>
        </is>
      </c>
      <c r="AA5673" s="12">
        <f>N5673*O5673</f>
        <v/>
      </c>
    </row>
    <row r="5674">
      <c r="A5674" s="12" t="inlineStr">
        <is>
          <t>K-P-0047</t>
        </is>
      </c>
      <c r="B5674" s="12" t="inlineStr">
        <is>
          <t>K</t>
        </is>
      </c>
      <c r="C5674" s="12" t="inlineStr">
        <is>
          <t>Fuel supply (adjacent market)</t>
        </is>
      </c>
      <c r="D5674" s="12" t="inlineStr">
        <is>
          <t>LV panel / distribution feeder</t>
        </is>
      </c>
      <c r="E5674" s="12" t="inlineStr"/>
      <c r="F5674" s="12" t="inlineStr">
        <is>
          <t>LNG 17: LNG e-house (13.8 kV / 480 V)</t>
        </is>
      </c>
      <c r="G5674" s="12" t="inlineStr"/>
      <c r="H5674" s="12" t="inlineStr">
        <is>
          <t>M&amp;R 7: gas quality + measurement building</t>
        </is>
      </c>
      <c r="I5674" s="12" t="inlineStr">
        <is>
          <t>LV 600 V</t>
        </is>
      </c>
      <c r="J5674" s="12" t="inlineStr">
        <is>
          <t>ARMOR-X MC-HL 600 V 3/C Cu XHHW-2 + ground, CWA, black PVC (Class I Div 2)</t>
        </is>
      </c>
      <c r="K5674" s="12" t="inlineStr">
        <is>
          <t>LVAX|3/C+G|2</t>
        </is>
      </c>
      <c r="L5674" s="12" t="inlineStr">
        <is>
          <t>3/C+G</t>
        </is>
      </c>
      <c r="M5674" s="12" t="inlineStr">
        <is>
          <t>2</t>
        </is>
      </c>
      <c r="N5674" s="12" t="n">
        <v>1</v>
      </c>
      <c r="O5674" s="12" t="n">
        <v>1</v>
      </c>
      <c r="P5674" s="12" t="n">
        <v>480</v>
      </c>
      <c r="Q5674" s="12" t="n">
        <v>30</v>
      </c>
      <c r="R5674" s="12" t="n">
        <v>42.5</v>
      </c>
      <c r="S5674" s="12" t="inlineStr">
        <is>
          <t>Duct bank</t>
        </is>
      </c>
      <c r="T5674" s="15" t="n">
        <v>655</v>
      </c>
      <c r="U5674" s="15" t="n">
        <v>66</v>
      </c>
      <c r="V5674" s="15">
        <f>ROUNDUP((T5674+U5674+2*'Read Me'!$B$13)*(1+'Read Me'!$B$12),-1)</f>
        <v/>
      </c>
      <c r="W5674" s="15">
        <f>V5674*N5674*O5674</f>
        <v/>
      </c>
      <c r="X5674" s="12">
        <f>IF(LEFT(I5674,2)="MV",2*N5674*IF(L5674="1/C",O5674,1),0)</f>
        <v/>
      </c>
      <c r="Y5674" s="12">
        <f>IF(OR(LEFT(K5674,4)="LVAX",LEFT(K5674,6)="MV15AX",LEFT(K5674,4)="CTAX",LEFT(K5674,2)="W|"),2*N5674*O5674,0)</f>
        <v/>
      </c>
      <c r="Z5674" s="12" t="inlineStr">
        <is>
          <t>VD 2.4 %</t>
        </is>
      </c>
      <c r="AA5674" s="12">
        <f>N5674*O5674</f>
        <v/>
      </c>
    </row>
    <row r="5675">
      <c r="A5675" s="12" t="inlineStr">
        <is>
          <t>K-P-0048</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M&amp;R 8: condensate tank</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10</v>
      </c>
      <c r="R5675" s="12" t="n">
        <v>14.2</v>
      </c>
      <c r="S5675" s="12" t="inlineStr">
        <is>
          <t>Duct bank</t>
        </is>
      </c>
      <c r="T5675" s="15" t="n">
        <v>545</v>
      </c>
      <c r="U5675" s="15" t="n">
        <v>87</v>
      </c>
      <c r="V5675" s="15">
        <f>ROUNDUP((T5675+U5675+2*'Read Me'!$B$13)*(1+'Read Me'!$B$12),-1)</f>
        <v/>
      </c>
      <c r="W5675" s="15">
        <f>V5675*N5675*O5675</f>
        <v/>
      </c>
      <c r="X5675" s="12">
        <f>IF(LEFT(I5675,2)="MV",2*N5675*IF(L5675="1/C",O5675,1),0)</f>
        <v/>
      </c>
      <c r="Y5675" s="12">
        <f>IF(OR(LEFT(K5675,4)="LVAX",LEFT(K5675,6)="MV15AX",LEFT(K5675,4)="CTAX",LEFT(K5675,2)="W|"),2*N5675*O5675,0)</f>
        <v/>
      </c>
      <c r="Z5675" s="12" t="inlineStr">
        <is>
          <t>VD 2.7 %</t>
        </is>
      </c>
      <c r="AA5675" s="12">
        <f>N5675*O5675</f>
        <v/>
      </c>
    </row>
    <row r="5676">
      <c r="A5676" s="12" t="inlineStr">
        <is>
          <t>K-P-0049</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9: service panel + UPS, SCADA RTU, CP</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15</v>
      </c>
      <c r="R5676" s="12" t="n">
        <v>21.2</v>
      </c>
      <c r="S5676" s="12" t="inlineStr">
        <is>
          <t>Duct bank</t>
        </is>
      </c>
      <c r="T5676" s="15" t="n">
        <v>473</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is>
          <t>VD 2.1 %</t>
        </is>
      </c>
      <c r="AA5676" s="12">
        <f>N5676*O5676</f>
        <v/>
      </c>
    </row>
    <row r="5677">
      <c r="A5677" s="12" t="inlineStr">
        <is>
          <t>K-P-0050</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CP test station (as drawn)</t>
        </is>
      </c>
      <c r="I5677" s="12" t="inlineStr">
        <is>
          <t>LV 600 V</t>
        </is>
      </c>
      <c r="J5677" s="12" t="inlineStr">
        <is>
          <t>ARMOR-X MC-HL 600 V 3/C Cu XHHW-2 + ground, CWA, black PVC (Class I Div 2)</t>
        </is>
      </c>
      <c r="K5677" s="12" t="inlineStr">
        <is>
          <t>LVAX|3/C+G|6</t>
        </is>
      </c>
      <c r="L5677" s="12" t="inlineStr">
        <is>
          <t>3/C+G</t>
        </is>
      </c>
      <c r="M5677" s="12" t="inlineStr">
        <is>
          <t>6</t>
        </is>
      </c>
      <c r="N5677" s="12" t="n">
        <v>1</v>
      </c>
      <c r="O5677" s="12" t="n">
        <v>1</v>
      </c>
      <c r="P5677" s="12" t="n">
        <v>480</v>
      </c>
      <c r="Q5677" s="12" t="n">
        <v>15</v>
      </c>
      <c r="R5677" s="12" t="n">
        <v>21.2</v>
      </c>
      <c r="S5677" s="12" t="inlineStr">
        <is>
          <t>Duct bank</t>
        </is>
      </c>
      <c r="T5677" s="15" t="n">
        <v>453</v>
      </c>
      <c r="U5677" s="15" t="n">
        <v>50</v>
      </c>
      <c r="V5677" s="15">
        <f>ROUNDUP((T5677+U5677+2*'Read Me'!$B$13)*(1+'Read Me'!$B$12),-1)</f>
        <v/>
      </c>
      <c r="W5677" s="15">
        <f>V5677*N5677*O5677</f>
        <v/>
      </c>
      <c r="X5677" s="12">
        <f>IF(LEFT(I5677,2)="MV",2*N5677*IF(L5677="1/C",O5677,1),0)</f>
        <v/>
      </c>
      <c r="Y5677" s="12">
        <f>IF(OR(LEFT(K5677,4)="LVAX",LEFT(K5677,6)="MV15AX",LEFT(K5677,4)="CTAX",LEFT(K5677,2)="W|"),2*N5677*O5677,0)</f>
        <v/>
      </c>
      <c r="Z5677" s="12" t="inlineStr">
        <is>
          <t>VD 2.1 %</t>
        </is>
      </c>
      <c r="AA5677" s="12">
        <f>N5677*O5677</f>
        <v/>
      </c>
    </row>
    <row r="5678">
      <c r="A5678" s="12" t="inlineStr">
        <is>
          <t>K-P-0051</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SCADA antenna mast base (as drawn)</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5" t="n">
        <v>453</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is>
          <t>VD 2.0 %</t>
        </is>
      </c>
      <c r="AA5678" s="12">
        <f>N5678*O5678</f>
        <v/>
      </c>
    </row>
    <row r="5679">
      <c r="A5679" s="12" t="inlineStr">
        <is>
          <t>K-MV-0001</t>
        </is>
      </c>
      <c r="B5679" s="12" t="inlineStr">
        <is>
          <t>K</t>
        </is>
      </c>
      <c r="C5679" s="12" t="inlineStr">
        <is>
          <t>Fuel supply (adjacent market)</t>
        </is>
      </c>
      <c r="D5679" s="12" t="inlineStr">
        <is>
          <t>H2 13.8 kV e-house (electrolyzers)</t>
        </is>
      </c>
      <c r="E5679" s="12" t="inlineStr">
        <is>
          <t>SWGR-13.8-3</t>
        </is>
      </c>
      <c r="F5679" s="12" t="inlineStr">
        <is>
          <t>R1 SWGR-13.8-3 (11 x 36 in cubicles, 15 kV metal-clad)</t>
        </is>
      </c>
      <c r="G5679" s="12" t="inlineStr"/>
      <c r="H5679" s="12" t="inlineStr">
        <is>
          <t>H2 20: 13.8 kV e-house</t>
        </is>
      </c>
      <c r="I5679" s="12" t="inlineStr">
        <is>
          <t>MV 15 kV</t>
        </is>
      </c>
      <c r="J5679" s="12" t="inlineStr">
        <is>
          <t>MV-105 15 kV 1/C Cu, EPR 133%, Cu tape shield, PVC jacket (triplexed)</t>
        </is>
      </c>
      <c r="K5679" s="12" t="inlineStr">
        <is>
          <t>MV15|1/C|750</t>
        </is>
      </c>
      <c r="L5679" s="12" t="inlineStr">
        <is>
          <t>1/C</t>
        </is>
      </c>
      <c r="M5679" s="12" t="inlineStr">
        <is>
          <t>750 kcmil</t>
        </is>
      </c>
      <c r="N5679" s="12" t="n">
        <v>2</v>
      </c>
      <c r="O5679" s="12" t="n">
        <v>3</v>
      </c>
      <c r="P5679" s="12" t="n">
        <v>13800</v>
      </c>
      <c r="Q5679" s="12" t="n">
        <v>20000</v>
      </c>
      <c r="R5679" s="12" t="n">
        <v>837</v>
      </c>
      <c r="S5679" s="12" t="inlineStr">
        <is>
          <t>Trench</t>
        </is>
      </c>
      <c r="T5679" s="15" t="n">
        <v>4626</v>
      </c>
      <c r="U5679" s="15" t="n">
        <v>36</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K-MV-0002</t>
        </is>
      </c>
      <c r="B5680" s="12" t="inlineStr">
        <is>
          <t>K</t>
        </is>
      </c>
      <c r="C5680" s="12" t="inlineStr">
        <is>
          <t>Fuel supply (adjacent market)</t>
        </is>
      </c>
      <c r="D5680" s="12" t="inlineStr">
        <is>
          <t>LNG e-house</t>
        </is>
      </c>
      <c r="E5680" s="12" t="inlineStr">
        <is>
          <t>SWGR-13.8-3</t>
        </is>
      </c>
      <c r="F5680" s="12" t="inlineStr">
        <is>
          <t>R1 SWGR-13.8-3 (11 x 36 in cubicles, 15 kV metal-clad)</t>
        </is>
      </c>
      <c r="G5680" s="12" t="inlineStr"/>
      <c r="H5680" s="12" t="inlineStr">
        <is>
          <t>LNG 17: LNG e-house (13.8 kV / 480 V)</t>
        </is>
      </c>
      <c r="I5680" s="12" t="inlineStr">
        <is>
          <t>MV 15 kV</t>
        </is>
      </c>
      <c r="J5680" s="12" t="inlineStr">
        <is>
          <t>MV-105 15 kV 1/C Cu, EPR 133%, Cu tape shield, PVC jacket (triplexed)</t>
        </is>
      </c>
      <c r="K5680" s="12" t="inlineStr">
        <is>
          <t>MV15|1/C|4/0</t>
        </is>
      </c>
      <c r="L5680" s="12" t="inlineStr">
        <is>
          <t>1/C</t>
        </is>
      </c>
      <c r="M5680" s="12" t="inlineStr">
        <is>
          <t>4/0</t>
        </is>
      </c>
      <c r="N5680" s="12" t="n">
        <v>1</v>
      </c>
      <c r="O5680" s="12" t="n">
        <v>3</v>
      </c>
      <c r="P5680" s="12" t="n">
        <v>13800</v>
      </c>
      <c r="Q5680" s="12" t="n">
        <v>5000</v>
      </c>
      <c r="R5680" s="12" t="n">
        <v>209</v>
      </c>
      <c r="S5680" s="12" t="inlineStr">
        <is>
          <t>Duct bank</t>
        </is>
      </c>
      <c r="T5680" s="15" t="n">
        <v>2686</v>
      </c>
      <c r="U5680" s="15" t="n">
        <v>163</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C-C-0128</t>
        </is>
      </c>
      <c r="B5681" s="12" t="inlineStr">
        <is>
          <t>C</t>
        </is>
      </c>
      <c r="C5681" s="12" t="inlineStr">
        <is>
          <t>Grid interface</t>
        </is>
      </c>
      <c r="D5681" s="12" t="inlineStr">
        <is>
          <t>Motor 1 of 2: control / local station</t>
        </is>
      </c>
      <c r="E5681" s="12" t="inlineStr">
        <is>
          <t>MCC-C1</t>
        </is>
      </c>
      <c r="F5681" s="12" t="inlineStr">
        <is>
          <t>R1 MCC-C1</t>
        </is>
      </c>
      <c r="G5681" s="12" t="inlineStr"/>
      <c r="H5681" s="12" t="inlineStr">
        <is>
          <t>Small-bore piping: instrument air, service water, nitrogen, HRSG drain</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Tray</t>
        </is>
      </c>
      <c r="T5681" s="15" t="n">
        <v>614</v>
      </c>
      <c r="U5681" s="15" t="n">
        <v>145</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C-C-0129</t>
        </is>
      </c>
      <c r="B5682" s="12" t="inlineStr">
        <is>
          <t>C</t>
        </is>
      </c>
      <c r="C5682" s="12" t="inlineStr">
        <is>
          <t>Grid interface</t>
        </is>
      </c>
      <c r="D5682" s="12" t="inlineStr">
        <is>
          <t>Motor 2 of 2: control / local station</t>
        </is>
      </c>
      <c r="E5682" s="12" t="inlineStr">
        <is>
          <t>MCC-C1</t>
        </is>
      </c>
      <c r="F5682" s="12" t="inlineStr">
        <is>
          <t>R1 MCC-C1</t>
        </is>
      </c>
      <c r="G5682" s="12" t="inlineStr"/>
      <c r="H5682" s="12" t="inlineStr">
        <is>
          <t>Small-bore piping: instrument air, service water, nitrogen, HRSG drain</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Tray</t>
        </is>
      </c>
      <c r="T5682" s="15" t="n">
        <v>614</v>
      </c>
      <c r="U5682" s="15" t="n">
        <v>145</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JB-Small-bore piping:-AI01: 10 x 1 pr (field cables)</t>
        </is>
      </c>
      <c r="E5683" s="12" t="inlineStr"/>
      <c r="F5683" s="12" t="inlineStr">
        <is>
          <t>Small-bore piping: instrument air, service water, nitrogen, HRSG drain</t>
        </is>
      </c>
      <c r="G5683" s="12" t="inlineStr">
        <is>
          <t>JB-Small-bore piping:-AI01</t>
        </is>
      </c>
      <c r="H5683" s="12" t="inlineStr">
        <is>
          <t>Small-bore piping: instrument air, service water, nitrogen, HRSG drain</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10</v>
      </c>
      <c r="O5683" s="12" t="n">
        <v>1</v>
      </c>
      <c r="P5683" s="12" t="n"/>
      <c r="Q5683" s="12" t="n"/>
      <c r="R5683" s="12" t="n"/>
      <c r="S5683" s="12" t="inlineStr">
        <is>
          <t>Tray / conduit</t>
        </is>
      </c>
      <c r="T5683" s="15" t="n">
        <v>250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JB-Small-bore piping:-AI01 to the control / marshalling room</t>
        </is>
      </c>
      <c r="E5684" s="12" t="inlineStr">
        <is>
          <t>R1</t>
        </is>
      </c>
      <c r="F5684" s="12" t="inlineStr">
        <is>
          <t>R1: main electrical building (64 x 180 ft)</t>
        </is>
      </c>
      <c r="G5684" s="12" t="inlineStr">
        <is>
          <t>JB-Small-bore piping:-AI01</t>
        </is>
      </c>
      <c r="H5684" s="12" t="inlineStr">
        <is>
          <t>Small-bore piping: instrument air, service water, nitrogen, HRSG drain</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5" t="n">
        <v>843</v>
      </c>
      <c r="U5684" s="15" t="n">
        <v>52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Discrete device to JB JB-Small-bore piping:-DI01: 10 x 1 pr (field cables)</t>
        </is>
      </c>
      <c r="E5685" s="12" t="inlineStr"/>
      <c r="F5685" s="12" t="inlineStr">
        <is>
          <t>Small-bore piping: instrument air, service water, nitrogen, HRSG drain</t>
        </is>
      </c>
      <c r="G5685" s="12" t="inlineStr">
        <is>
          <t>JB-Small-bore piping:-DI01</t>
        </is>
      </c>
      <c r="H5685" s="12" t="inlineStr">
        <is>
          <t>Small-bore piping: instrument air, service water, nitrogen, HRSG drain</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10</v>
      </c>
      <c r="O5685" s="12" t="n">
        <v>1</v>
      </c>
      <c r="P5685" s="12" t="n"/>
      <c r="Q5685" s="12" t="n"/>
      <c r="R5685" s="12" t="n"/>
      <c r="S5685" s="12" t="inlineStr">
        <is>
          <t>Tray / conduit</t>
        </is>
      </c>
      <c r="T5685" s="15" t="n">
        <v>250</v>
      </c>
      <c r="U5685" s="15" t="n">
        <v>10</v>
      </c>
      <c r="V5685" s="15">
        <f>ROUNDUP((T5685+U5685+2*'Read Me'!$B$13)*(1+'Read Me'!$B$12),-1)</f>
        <v/>
      </c>
      <c r="W5685" s="15">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JB-Small-bore piping:-DI01 to the control / marshalling room</t>
        </is>
      </c>
      <c r="E5686" s="12" t="inlineStr">
        <is>
          <t>R1</t>
        </is>
      </c>
      <c r="F5686" s="12" t="inlineStr">
        <is>
          <t>R1: main electrical building (64 x 180 ft)</t>
        </is>
      </c>
      <c r="G5686" s="12" t="inlineStr">
        <is>
          <t>JB-Small-bore piping:-DI01</t>
        </is>
      </c>
      <c r="H5686" s="12" t="inlineStr">
        <is>
          <t>Small-bore piping: instrument air, service water, nitrogen, HRSG drain</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5" t="n">
        <v>843</v>
      </c>
      <c r="U5686" s="15" t="n">
        <v>52</v>
      </c>
      <c r="V5686" s="15">
        <f>ROUNDUP((T5686+U5686+2*'Read Me'!$B$13)*(1+'Read Me'!$B$12),-1)</f>
        <v/>
      </c>
      <c r="W5686" s="15">
        <f>V5686*N5686*O5686</f>
        <v/>
      </c>
      <c r="X5686" s="12">
        <f>IF(LEFT(I5686,2)="MV",2*N5686*IF(L5686="1/C",O5686,1),0)</f>
        <v/>
      </c>
      <c r="Y5686" s="12">
        <f>IF(OR(LEFT(K5686,4)="LVAX",LEFT(K5686,6)="MV15AX",LEFT(K5686,4)="CTAX",LEFT(K5686,2)="W|"),2*N5686*O5686,0)</f>
        <v/>
      </c>
      <c r="Z5686" s="12" t="inlineStr"/>
      <c r="AA5686" s="12">
        <f>N5686*O5686</f>
        <v/>
      </c>
    </row>
    <row r="5687">
      <c r="A5687" s="12" t="inlineStr">
        <is>
          <t>C-P-0006</t>
        </is>
      </c>
      <c r="B5687" s="12" t="inlineStr">
        <is>
          <t>C</t>
        </is>
      </c>
      <c r="C5687" s="12" t="inlineStr">
        <is>
          <t>Grid interface</t>
        </is>
      </c>
      <c r="D5687" s="12" t="inlineStr">
        <is>
          <t>Motor 1 of 2, 250 kW</t>
        </is>
      </c>
      <c r="E5687" s="12" t="inlineStr">
        <is>
          <t>MCC-C1</t>
        </is>
      </c>
      <c r="F5687" s="12" t="inlineStr">
        <is>
          <t>R1 MCC-C1</t>
        </is>
      </c>
      <c r="G5687" s="12" t="inlineStr"/>
      <c r="H5687" s="12" t="inlineStr">
        <is>
          <t>Small-bore piping: instrument air, service water, nitrogen, HRSG drain</t>
        </is>
      </c>
      <c r="I5687" s="12" t="inlineStr">
        <is>
          <t>LV 600 V</t>
        </is>
      </c>
      <c r="J5687" s="12" t="inlineStr">
        <is>
          <t>Type TC-ER 600 V 3/C Cu XHHW-2 + ground, PVC jacket</t>
        </is>
      </c>
      <c r="K5687" s="12" t="inlineStr">
        <is>
          <t>LV|3/C+G|250</t>
        </is>
      </c>
      <c r="L5687" s="12" t="inlineStr">
        <is>
          <t>3/C+G</t>
        </is>
      </c>
      <c r="M5687" s="12" t="inlineStr">
        <is>
          <t>250 kcmil</t>
        </is>
      </c>
      <c r="N5687" s="12" t="n">
        <v>2</v>
      </c>
      <c r="O5687" s="12" t="n">
        <v>1</v>
      </c>
      <c r="P5687" s="12" t="n">
        <v>480</v>
      </c>
      <c r="Q5687" s="12" t="n">
        <v>250</v>
      </c>
      <c r="R5687" s="12" t="n">
        <v>353.8</v>
      </c>
      <c r="S5687" s="12" t="inlineStr">
        <is>
          <t>Tray</t>
        </is>
      </c>
      <c r="T5687" s="15" t="n">
        <v>614</v>
      </c>
      <c r="U5687" s="15" t="n">
        <v>145</v>
      </c>
      <c r="V5687" s="15">
        <f>ROUNDUP((T5687+U5687+2*'Read Me'!$B$13)*(1+'Read Me'!$B$12),-1)</f>
        <v/>
      </c>
      <c r="W5687" s="15">
        <f>V5687*N5687*O5687</f>
        <v/>
      </c>
      <c r="X5687" s="12">
        <f>IF(LEFT(I5687,2)="MV",2*N5687*IF(L5687="1/C",O5687,1),0)</f>
        <v/>
      </c>
      <c r="Y5687" s="12">
        <f>IF(OR(LEFT(K5687,4)="LVAX",LEFT(K5687,6)="MV15AX",LEFT(K5687,4)="CTAX",LEFT(K5687,2)="W|"),2*N5687*O5687,0)</f>
        <v/>
      </c>
      <c r="Z5687" s="12" t="inlineStr">
        <is>
          <t>VD 2.7 %</t>
        </is>
      </c>
      <c r="AA5687" s="12">
        <f>N5687*O5687</f>
        <v/>
      </c>
    </row>
    <row r="5688">
      <c r="A5688" s="12" t="inlineStr">
        <is>
          <t>C-P-0007</t>
        </is>
      </c>
      <c r="B5688" s="12" t="inlineStr">
        <is>
          <t>C</t>
        </is>
      </c>
      <c r="C5688" s="12" t="inlineStr">
        <is>
          <t>Grid interface</t>
        </is>
      </c>
      <c r="D5688" s="12" t="inlineStr">
        <is>
          <t>Motor 2 of 2, 250 kW</t>
        </is>
      </c>
      <c r="E5688" s="12" t="inlineStr">
        <is>
          <t>MCC-C1</t>
        </is>
      </c>
      <c r="F5688" s="12" t="inlineStr">
        <is>
          <t>R1 MCC-C1</t>
        </is>
      </c>
      <c r="G5688" s="12" t="inlineStr"/>
      <c r="H5688" s="12" t="inlineStr">
        <is>
          <t>Small-bore piping: instrument air, service water, nitrogen, HRSG drain</t>
        </is>
      </c>
      <c r="I5688" s="12" t="inlineStr">
        <is>
          <t>LV 600 V</t>
        </is>
      </c>
      <c r="J5688" s="12" t="inlineStr">
        <is>
          <t>Type TC-ER 600 V 3/C Cu XHHW-2 + ground, PVC jacket</t>
        </is>
      </c>
      <c r="K5688" s="12" t="inlineStr">
        <is>
          <t>LV|3/C+G|250</t>
        </is>
      </c>
      <c r="L5688" s="12" t="inlineStr">
        <is>
          <t>3/C+G</t>
        </is>
      </c>
      <c r="M5688" s="12" t="inlineStr">
        <is>
          <t>250 kcmil</t>
        </is>
      </c>
      <c r="N5688" s="12" t="n">
        <v>2</v>
      </c>
      <c r="O5688" s="12" t="n">
        <v>1</v>
      </c>
      <c r="P5688" s="12" t="n">
        <v>480</v>
      </c>
      <c r="Q5688" s="12" t="n">
        <v>250</v>
      </c>
      <c r="R5688" s="12" t="n">
        <v>353.8</v>
      </c>
      <c r="S5688" s="12" t="inlineStr">
        <is>
          <t>Tray</t>
        </is>
      </c>
      <c r="T5688" s="15" t="n">
        <v>614</v>
      </c>
      <c r="U5688" s="15" t="n">
        <v>145</v>
      </c>
      <c r="V5688" s="15">
        <f>ROUNDUP((T5688+U5688+2*'Read Me'!$B$13)*(1+'Read Me'!$B$12),-1)</f>
        <v/>
      </c>
      <c r="W5688" s="15">
        <f>V5688*N5688*O5688</f>
        <v/>
      </c>
      <c r="X5688" s="12">
        <f>IF(LEFT(I5688,2)="MV",2*N5688*IF(L5688="1/C",O5688,1),0)</f>
        <v/>
      </c>
      <c r="Y5688" s="12">
        <f>IF(OR(LEFT(K5688,4)="LVAX",LEFT(K5688,6)="MV15AX",LEFT(K5688,4)="CTAX",LEFT(K5688,2)="W|"),2*N5688*O5688,0)</f>
        <v/>
      </c>
      <c r="Z5688" s="12" t="inlineStr">
        <is>
          <t>VD 2.7 %</t>
        </is>
      </c>
      <c r="AA5688" s="12">
        <f>N5688*O5688</f>
        <v/>
      </c>
    </row>
  </sheetData>
  <autoFilter ref="A1:AA568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Schedule'!$AA$2:$AA$5688,'Cable Schedule'!$K$2:$K$5688,A2)</f>
        <v/>
      </c>
      <c r="G2" s="17">
        <f>SUMIFS('Cable Schedule'!$W$2:$W$5688,'Cable Schedule'!$K$2:$K$5688,A2)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Schedule'!$AA$2:$AA$5688,'Cable Schedule'!$K$2:$K$5688,A3)</f>
        <v/>
      </c>
      <c r="G3" s="17">
        <f>SUMIFS('Cable Schedule'!$W$2:$W$5688,'Cable Schedule'!$K$2:$K$5688,A3)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Schedule'!$AA$2:$AA$5688,'Cable Schedule'!$K$2:$K$5688,A4)</f>
        <v/>
      </c>
      <c r="G4" s="17">
        <f>SUMIFS('Cable Schedule'!$W$2:$W$5688,'Cable Schedule'!$K$2:$K$5688,A4)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Schedule'!$AA$2:$AA$5688,'Cable Schedule'!$K$2:$K$5688,A5)</f>
        <v/>
      </c>
      <c r="G5" s="17">
        <f>SUMIFS('Cable Schedule'!$W$2:$W$5688,'Cable Schedule'!$K$2:$K$5688,A5)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Schedule'!$AA$2:$AA$5688,'Cable Schedule'!$K$2:$K$5688,A6)</f>
        <v/>
      </c>
      <c r="G6" s="17">
        <f>SUMIFS('Cable Schedule'!$W$2:$W$5688,'Cable Schedule'!$K$2:$K$5688,A6)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Schedule'!$AA$2:$AA$5688,'Cable Schedule'!$K$2:$K$5688,A7)</f>
        <v/>
      </c>
      <c r="G7" s="17">
        <f>SUMIFS('Cable Schedule'!$W$2:$W$5688,'Cable Schedule'!$K$2:$K$5688,A7)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Schedule'!$AA$2:$AA$5688,'Cable Schedule'!$K$2:$K$5688,A8)</f>
        <v/>
      </c>
      <c r="G8" s="17">
        <f>SUMIFS('Cable Schedule'!$W$2:$W$5688,'Cable Schedule'!$K$2:$K$5688,A8)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Schedule'!$AA$2:$AA$5688,'Cable Schedule'!$K$2:$K$5688,A9)</f>
        <v/>
      </c>
      <c r="G9" s="17">
        <f>SUMIFS('Cable Schedule'!$W$2:$W$5688,'Cable Schedule'!$K$2:$K$5688,A9)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Schedule'!$AA$2:$AA$5688,'Cable Schedule'!$K$2:$K$5688,A10)</f>
        <v/>
      </c>
      <c r="G10" s="17">
        <f>SUMIFS('Cable Schedule'!$W$2:$W$5688,'Cable Schedule'!$K$2:$K$5688,A10)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Schedule'!$AA$2:$AA$5688,'Cable Schedule'!$K$2:$K$5688,A11)</f>
        <v/>
      </c>
      <c r="G11" s="17">
        <f>SUMIFS('Cable Schedule'!$W$2:$W$5688,'Cable Schedule'!$K$2:$K$5688,A11)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Schedule'!$AA$2:$AA$5688,'Cable Schedule'!$K$2:$K$5688,A12)</f>
        <v/>
      </c>
      <c r="G12" s="17">
        <f>SUMIFS('Cable Schedule'!$W$2:$W$5688,'Cable Schedule'!$K$2:$K$5688,A12)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Schedule'!$AA$2:$AA$5688,'Cable Schedule'!$K$2:$K$5688,A13)</f>
        <v/>
      </c>
      <c r="G13" s="17">
        <f>SUMIFS('Cable Schedule'!$W$2:$W$5688,'Cable Schedule'!$K$2:$K$5688,A13)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Schedule'!$AA$2:$AA$5688,'Cable Schedule'!$K$2:$K$5688,A14)</f>
        <v/>
      </c>
      <c r="G14" s="17">
        <f>SUMIFS('Cable Schedule'!$W$2:$W$5688,'Cable Schedule'!$K$2:$K$5688,A14)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Schedule'!$AA$2:$AA$5688,'Cable Schedule'!$K$2:$K$5688,A15)</f>
        <v/>
      </c>
      <c r="G15" s="17">
        <f>SUMIFS('Cable Schedule'!$W$2:$W$5688,'Cable Schedule'!$K$2:$K$5688,A15)</f>
        <v/>
      </c>
      <c r="H15" s="18">
        <f>'Read Me'!$B$14</f>
        <v/>
      </c>
      <c r="I15" s="15">
        <f>ROUNDUP(G15*(1+H15),-2)</f>
        <v/>
      </c>
      <c r="J15" s="19" t="n">
        <v>2500</v>
      </c>
      <c r="K15" s="12">
        <f>IF(J15&gt;0,ROUNDUP(I15/J15,0),0)</f>
        <v/>
      </c>
      <c r="L15" s="20">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6">
        <f>SUMIFS('Cable Schedule'!$AA$2:$AA$5688,'Cable Schedule'!$K$2:$K$5688,A16)</f>
        <v/>
      </c>
      <c r="G16" s="17">
        <f>SUMIFS('Cable Schedule'!$W$2:$W$5688,'Cable Schedule'!$K$2:$K$5688,A16)</f>
        <v/>
      </c>
      <c r="H16" s="18">
        <f>'Read Me'!$B$14</f>
        <v/>
      </c>
      <c r="I16" s="15">
        <f>ROUNDUP(G16*(1+H16),-2)</f>
        <v/>
      </c>
      <c r="J16" s="19" t="n">
        <v>2500</v>
      </c>
      <c r="K16" s="12">
        <f>IF(J16&gt;0,ROUNDUP(I16/J16,0),0)</f>
        <v/>
      </c>
      <c r="L16" s="20">
        <f>I16*0.3048/1000</f>
        <v/>
      </c>
    </row>
    <row r="17">
      <c r="A17" s="12" t="inlineStr">
        <is>
          <t>MV25|1/C|2</t>
        </is>
      </c>
      <c r="B17" s="12" t="inlineStr">
        <is>
          <t>MV 25 kV</t>
        </is>
      </c>
      <c r="C17" s="12" t="inlineStr">
        <is>
          <t>MV-105 25 kV 1/C Cu, EPR 133%, Cu tape shield, PVC jacket</t>
        </is>
      </c>
      <c r="D17" s="12" t="inlineStr">
        <is>
          <t>1/C</t>
        </is>
      </c>
      <c r="E17" s="12" t="inlineStr">
        <is>
          <t>2</t>
        </is>
      </c>
      <c r="F17" s="16">
        <f>SUMIFS('Cable Schedule'!$AA$2:$AA$5688,'Cable Schedule'!$K$2:$K$5688,A17)</f>
        <v/>
      </c>
      <c r="G17" s="17">
        <f>SUMIFS('Cable Schedule'!$W$2:$W$5688,'Cable Schedule'!$K$2:$K$5688,A17)</f>
        <v/>
      </c>
      <c r="H17" s="18">
        <f>'Read Me'!$B$14</f>
        <v/>
      </c>
      <c r="I17" s="15">
        <f>ROUNDUP(G17*(1+H17),-2)</f>
        <v/>
      </c>
      <c r="J17" s="19" t="n">
        <v>2500</v>
      </c>
      <c r="K17" s="12">
        <f>IF(J17&gt;0,ROUNDUP(I17/J17,0),0)</f>
        <v/>
      </c>
      <c r="L17" s="20">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6">
        <f>SUMIFS('Cable Schedule'!$AA$2:$AA$5688,'Cable Schedule'!$K$2:$K$5688,A18)</f>
        <v/>
      </c>
      <c r="G18" s="17">
        <f>SUMIFS('Cable Schedule'!$W$2:$W$5688,'Cable Schedule'!$K$2:$K$5688,A18)</f>
        <v/>
      </c>
      <c r="H18" s="18">
        <f>'Read Me'!$B$14</f>
        <v/>
      </c>
      <c r="I18" s="15">
        <f>ROUNDUP(G18*(1+H18),-2)</f>
        <v/>
      </c>
      <c r="J18" s="19" t="n">
        <v>2500</v>
      </c>
      <c r="K18" s="12">
        <f>IF(J18&gt;0,ROUNDUP(I18/J18,0),0)</f>
        <v/>
      </c>
      <c r="L18" s="20">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6">
        <f>SUMIFS('Cable Schedule'!$AA$2:$AA$5688,'Cable Schedule'!$K$2:$K$5688,A19)</f>
        <v/>
      </c>
      <c r="G19" s="17">
        <f>SUMIFS('Cable Schedule'!$W$2:$W$5688,'Cable Schedule'!$K$2:$K$5688,A19)</f>
        <v/>
      </c>
      <c r="H19" s="18">
        <f>'Read Me'!$B$14</f>
        <v/>
      </c>
      <c r="I19" s="15">
        <f>ROUNDUP(G19*(1+H19),-2)</f>
        <v/>
      </c>
      <c r="J19" s="19" t="n">
        <v>2500</v>
      </c>
      <c r="K19" s="12">
        <f>IF(J19&gt;0,ROUNDUP(I19/J19,0),0)</f>
        <v/>
      </c>
      <c r="L19" s="20">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6">
        <f>SUMIFS('Cable Schedule'!$AA$2:$AA$5688,'Cable Schedule'!$K$2:$K$5688,A20)</f>
        <v/>
      </c>
      <c r="G20" s="17">
        <f>SUMIFS('Cable Schedule'!$W$2:$W$5688,'Cable Schedule'!$K$2:$K$5688,A20)</f>
        <v/>
      </c>
      <c r="H20" s="18">
        <f>'Read Me'!$B$14</f>
        <v/>
      </c>
      <c r="I20" s="15">
        <f>ROUNDUP(G20*(1+H20),-2)</f>
        <v/>
      </c>
      <c r="J20" s="19" t="n">
        <v>2500</v>
      </c>
      <c r="K20" s="12">
        <f>IF(J20&gt;0,ROUNDUP(I20/J20,0),0)</f>
        <v/>
      </c>
      <c r="L20" s="20">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6">
        <f>SUMIFS('Cable Schedule'!$AA$2:$AA$5688,'Cable Schedule'!$K$2:$K$5688,A21)</f>
        <v/>
      </c>
      <c r="G21" s="17">
        <f>SUMIFS('Cable Schedule'!$W$2:$W$5688,'Cable Schedule'!$K$2:$K$5688,A21)</f>
        <v/>
      </c>
      <c r="H21" s="18">
        <f>'Read Me'!$B$14</f>
        <v/>
      </c>
      <c r="I21" s="15">
        <f>ROUNDUP(G21*(1+H21),-2)</f>
        <v/>
      </c>
      <c r="J21" s="19" t="n">
        <v>1800</v>
      </c>
      <c r="K21" s="12">
        <f>IF(J21&gt;0,ROUNDUP(I21/J21,0),0)</f>
        <v/>
      </c>
      <c r="L21" s="20">
        <f>I21*0.3048/1000</f>
        <v/>
      </c>
    </row>
    <row r="22">
      <c r="A22" s="12" t="inlineStr">
        <is>
          <t>LV|3/C+G|10</t>
        </is>
      </c>
      <c r="B22" s="12" t="inlineStr">
        <is>
          <t>LV 600 V</t>
        </is>
      </c>
      <c r="C22" s="12" t="inlineStr">
        <is>
          <t>Type TC-ER 600 V 3/C Cu XHHW-2 + ground, PVC jacket</t>
        </is>
      </c>
      <c r="D22" s="12" t="inlineStr">
        <is>
          <t>3/C+G</t>
        </is>
      </c>
      <c r="E22" s="12" t="inlineStr">
        <is>
          <t>10</t>
        </is>
      </c>
      <c r="F22" s="16">
        <f>SUMIFS('Cable Schedule'!$AA$2:$AA$5688,'Cable Schedule'!$K$2:$K$5688,A22)</f>
        <v/>
      </c>
      <c r="G22" s="17">
        <f>SUMIFS('Cable Schedule'!$W$2:$W$5688,'Cable Schedule'!$K$2:$K$5688,A22)</f>
        <v/>
      </c>
      <c r="H22" s="18">
        <f>'Read Me'!$B$14</f>
        <v/>
      </c>
      <c r="I22" s="15">
        <f>ROUNDUP(G22*(1+H22),-2)</f>
        <v/>
      </c>
      <c r="J22" s="19" t="n">
        <v>2500</v>
      </c>
      <c r="K22" s="12">
        <f>IF(J22&gt;0,ROUNDUP(I22/J22,0),0)</f>
        <v/>
      </c>
      <c r="L22" s="20">
        <f>I22*0.3048/1000</f>
        <v/>
      </c>
    </row>
    <row r="23">
      <c r="A23" s="12" t="inlineStr">
        <is>
          <t>LV|1/C|8</t>
        </is>
      </c>
      <c r="B23" s="12" t="inlineStr">
        <is>
          <t>LV 600 V</t>
        </is>
      </c>
      <c r="C23" s="12" t="inlineStr">
        <is>
          <t>Type TC-ER 600 V 3/C Cu XHHW-2 + ground, PVC jacket</t>
        </is>
      </c>
      <c r="D23" s="12" t="inlineStr">
        <is>
          <t>1/C</t>
        </is>
      </c>
      <c r="E23" s="12" t="inlineStr">
        <is>
          <t>8</t>
        </is>
      </c>
      <c r="F23" s="16">
        <f>SUMIFS('Cable Schedule'!$AA$2:$AA$5688,'Cable Schedule'!$K$2:$K$5688,A23)</f>
        <v/>
      </c>
      <c r="G23" s="17">
        <f>SUMIFS('Cable Schedule'!$W$2:$W$5688,'Cable Schedule'!$K$2:$K$5688,A23)</f>
        <v/>
      </c>
      <c r="H23" s="18">
        <f>'Read Me'!$B$14</f>
        <v/>
      </c>
      <c r="I23" s="15">
        <f>ROUNDUP(G23*(1+H23),-2)</f>
        <v/>
      </c>
      <c r="J23" s="19" t="n">
        <v>2500</v>
      </c>
      <c r="K23" s="12">
        <f>IF(J23&gt;0,ROUNDUP(I23/J23,0),0)</f>
        <v/>
      </c>
      <c r="L23" s="20">
        <f>I23*0.3048/1000</f>
        <v/>
      </c>
    </row>
    <row r="24">
      <c r="A24" s="12" t="inlineStr">
        <is>
          <t>LV|3/C+G|8</t>
        </is>
      </c>
      <c r="B24" s="12" t="inlineStr">
        <is>
          <t>LV 600 V</t>
        </is>
      </c>
      <c r="C24" s="12" t="inlineStr">
        <is>
          <t>Type TC-ER 600 V 3/C Cu XHHW-2 + ground, PVC jacket</t>
        </is>
      </c>
      <c r="D24" s="12" t="inlineStr">
        <is>
          <t>3/C+G</t>
        </is>
      </c>
      <c r="E24" s="12" t="inlineStr">
        <is>
          <t>8</t>
        </is>
      </c>
      <c r="F24" s="16">
        <f>SUMIFS('Cable Schedule'!$AA$2:$AA$5688,'Cable Schedule'!$K$2:$K$5688,A24)</f>
        <v/>
      </c>
      <c r="G24" s="17">
        <f>SUMIFS('Cable Schedule'!$W$2:$W$5688,'Cable Schedule'!$K$2:$K$5688,A24)</f>
        <v/>
      </c>
      <c r="H24" s="18">
        <f>'Read Me'!$B$14</f>
        <v/>
      </c>
      <c r="I24" s="15">
        <f>ROUNDUP(G24*(1+H24),-2)</f>
        <v/>
      </c>
      <c r="J24" s="19" t="n">
        <v>2500</v>
      </c>
      <c r="K24" s="12">
        <f>IF(J24&gt;0,ROUNDUP(I24/J24,0),0)</f>
        <v/>
      </c>
      <c r="L24" s="20">
        <f>I24*0.3048/1000</f>
        <v/>
      </c>
    </row>
    <row r="25">
      <c r="A25" s="12" t="inlineStr">
        <is>
          <t>LV|3/C+G|6</t>
        </is>
      </c>
      <c r="B25" s="12" t="inlineStr">
        <is>
          <t>LV 600 V</t>
        </is>
      </c>
      <c r="C25" s="12" t="inlineStr">
        <is>
          <t>Type TC-ER 600 V 3/C Cu XHHW-2 + ground, PVC jacket</t>
        </is>
      </c>
      <c r="D25" s="12" t="inlineStr">
        <is>
          <t>3/C+G</t>
        </is>
      </c>
      <c r="E25" s="12" t="inlineStr">
        <is>
          <t>6</t>
        </is>
      </c>
      <c r="F25" s="16">
        <f>SUMIFS('Cable Schedule'!$AA$2:$AA$5688,'Cable Schedule'!$K$2:$K$5688,A25)</f>
        <v/>
      </c>
      <c r="G25" s="17">
        <f>SUMIFS('Cable Schedule'!$W$2:$W$5688,'Cable Schedule'!$K$2:$K$5688,A25)</f>
        <v/>
      </c>
      <c r="H25" s="18">
        <f>'Read Me'!$B$14</f>
        <v/>
      </c>
      <c r="I25" s="15">
        <f>ROUNDUP(G25*(1+H25),-2)</f>
        <v/>
      </c>
      <c r="J25" s="19" t="n">
        <v>2500</v>
      </c>
      <c r="K25" s="12">
        <f>IF(J25&gt;0,ROUNDUP(I25/J25,0),0)</f>
        <v/>
      </c>
      <c r="L25" s="20">
        <f>I25*0.3048/1000</f>
        <v/>
      </c>
    </row>
    <row r="26">
      <c r="A26" s="12" t="inlineStr">
        <is>
          <t>LV|3/C+G|4</t>
        </is>
      </c>
      <c r="B26" s="12" t="inlineStr">
        <is>
          <t>LV 600 V</t>
        </is>
      </c>
      <c r="C26" s="12" t="inlineStr">
        <is>
          <t>Type TC-ER 600 V 3/C Cu XHHW-2 + ground, PVC jacket</t>
        </is>
      </c>
      <c r="D26" s="12" t="inlineStr">
        <is>
          <t>3/C+G</t>
        </is>
      </c>
      <c r="E26" s="12" t="inlineStr">
        <is>
          <t>4</t>
        </is>
      </c>
      <c r="F26" s="16">
        <f>SUMIFS('Cable Schedule'!$AA$2:$AA$5688,'Cable Schedule'!$K$2:$K$5688,A26)</f>
        <v/>
      </c>
      <c r="G26" s="17">
        <f>SUMIFS('Cable Schedule'!$W$2:$W$5688,'Cable Schedule'!$K$2:$K$5688,A26)</f>
        <v/>
      </c>
      <c r="H26" s="18">
        <f>'Read Me'!$B$14</f>
        <v/>
      </c>
      <c r="I26" s="15">
        <f>ROUNDUP(G26*(1+H26),-2)</f>
        <v/>
      </c>
      <c r="J26" s="19" t="n">
        <v>2500</v>
      </c>
      <c r="K26" s="12">
        <f>IF(J26&gt;0,ROUNDUP(I26/J26,0),0)</f>
        <v/>
      </c>
      <c r="L26" s="20">
        <f>I26*0.3048/1000</f>
        <v/>
      </c>
    </row>
    <row r="27">
      <c r="A27" s="12" t="inlineStr">
        <is>
          <t>LV|3/C+G|2</t>
        </is>
      </c>
      <c r="B27" s="12" t="inlineStr">
        <is>
          <t>LV 600 V</t>
        </is>
      </c>
      <c r="C27" s="12" t="inlineStr">
        <is>
          <t>Type TC-ER 600 V 3/C Cu XHHW-2 + ground, PVC jacket</t>
        </is>
      </c>
      <c r="D27" s="12" t="inlineStr">
        <is>
          <t>3/C+G</t>
        </is>
      </c>
      <c r="E27" s="12" t="inlineStr">
        <is>
          <t>2</t>
        </is>
      </c>
      <c r="F27" s="16">
        <f>SUMIFS('Cable Schedule'!$AA$2:$AA$5688,'Cable Schedule'!$K$2:$K$5688,A27)</f>
        <v/>
      </c>
      <c r="G27" s="17">
        <f>SUMIFS('Cable Schedule'!$W$2:$W$5688,'Cable Schedule'!$K$2:$K$5688,A27)</f>
        <v/>
      </c>
      <c r="H27" s="18">
        <f>'Read Me'!$B$14</f>
        <v/>
      </c>
      <c r="I27" s="15">
        <f>ROUNDUP(G27*(1+H27),-2)</f>
        <v/>
      </c>
      <c r="J27" s="19" t="n">
        <v>2500</v>
      </c>
      <c r="K27" s="12">
        <f>IF(J27&gt;0,ROUNDUP(I27/J27,0),0)</f>
        <v/>
      </c>
      <c r="L27" s="20">
        <f>I27*0.3048/1000</f>
        <v/>
      </c>
    </row>
    <row r="28">
      <c r="A28" s="12" t="inlineStr">
        <is>
          <t>LV|3/C+G|1</t>
        </is>
      </c>
      <c r="B28" s="12" t="inlineStr">
        <is>
          <t>LV 600 V</t>
        </is>
      </c>
      <c r="C28" s="12" t="inlineStr">
        <is>
          <t>Type TC-ER 600 V 3/C Cu XHHW-2 + ground, PVC jacket</t>
        </is>
      </c>
      <c r="D28" s="12" t="inlineStr">
        <is>
          <t>3/C+G</t>
        </is>
      </c>
      <c r="E28" s="12" t="inlineStr">
        <is>
          <t>1</t>
        </is>
      </c>
      <c r="F28" s="16">
        <f>SUMIFS('Cable Schedule'!$AA$2:$AA$5688,'Cable Schedule'!$K$2:$K$5688,A28)</f>
        <v/>
      </c>
      <c r="G28" s="17">
        <f>SUMIFS('Cable Schedule'!$W$2:$W$5688,'Cable Schedule'!$K$2:$K$5688,A28)</f>
        <v/>
      </c>
      <c r="H28" s="18">
        <f>'Read Me'!$B$14</f>
        <v/>
      </c>
      <c r="I28" s="15">
        <f>ROUNDUP(G28*(1+H28),-2)</f>
        <v/>
      </c>
      <c r="J28" s="19" t="n">
        <v>2500</v>
      </c>
      <c r="K28" s="12">
        <f>IF(J28&gt;0,ROUNDUP(I28/J28,0),0)</f>
        <v/>
      </c>
      <c r="L28" s="20">
        <f>I28*0.3048/1000</f>
        <v/>
      </c>
    </row>
    <row r="29">
      <c r="A29" s="12" t="inlineStr">
        <is>
          <t>LV|3/C+G|1/0</t>
        </is>
      </c>
      <c r="B29" s="12" t="inlineStr">
        <is>
          <t>LV 600 V</t>
        </is>
      </c>
      <c r="C29" s="12" t="inlineStr">
        <is>
          <t>Type TC-ER 600 V 3/C Cu XHHW-2 + ground, PVC jacket</t>
        </is>
      </c>
      <c r="D29" s="12" t="inlineStr">
        <is>
          <t>3/C+G</t>
        </is>
      </c>
      <c r="E29" s="12" t="inlineStr">
        <is>
          <t>1/0</t>
        </is>
      </c>
      <c r="F29" s="16">
        <f>SUMIFS('Cable Schedule'!$AA$2:$AA$5688,'Cable Schedule'!$K$2:$K$5688,A29)</f>
        <v/>
      </c>
      <c r="G29" s="17">
        <f>SUMIFS('Cable Schedule'!$W$2:$W$5688,'Cable Schedule'!$K$2:$K$5688,A29)</f>
        <v/>
      </c>
      <c r="H29" s="18">
        <f>'Read Me'!$B$14</f>
        <v/>
      </c>
      <c r="I29" s="15">
        <f>ROUNDUP(G29*(1+H29),-2)</f>
        <v/>
      </c>
      <c r="J29" s="19" t="n">
        <v>2500</v>
      </c>
      <c r="K29" s="12">
        <f>IF(J29&gt;0,ROUNDUP(I29/J29,0),0)</f>
        <v/>
      </c>
      <c r="L29" s="20">
        <f>I29*0.3048/1000</f>
        <v/>
      </c>
    </row>
    <row r="30">
      <c r="A30" s="12" t="inlineStr">
        <is>
          <t>LV|3/C+G|2/0</t>
        </is>
      </c>
      <c r="B30" s="12" t="inlineStr">
        <is>
          <t>LV 600 V</t>
        </is>
      </c>
      <c r="C30" s="12" t="inlineStr">
        <is>
          <t>Type TC-ER 600 V 3/C Cu XHHW-2 + ground, PVC jacket</t>
        </is>
      </c>
      <c r="D30" s="12" t="inlineStr">
        <is>
          <t>3/C+G</t>
        </is>
      </c>
      <c r="E30" s="12" t="inlineStr">
        <is>
          <t>2/0</t>
        </is>
      </c>
      <c r="F30" s="16">
        <f>SUMIFS('Cable Schedule'!$AA$2:$AA$5688,'Cable Schedule'!$K$2:$K$5688,A30)</f>
        <v/>
      </c>
      <c r="G30" s="17">
        <f>SUMIFS('Cable Schedule'!$W$2:$W$5688,'Cable Schedule'!$K$2:$K$5688,A30)</f>
        <v/>
      </c>
      <c r="H30" s="18">
        <f>'Read Me'!$B$14</f>
        <v/>
      </c>
      <c r="I30" s="15">
        <f>ROUNDUP(G30*(1+H30),-2)</f>
        <v/>
      </c>
      <c r="J30" s="19" t="n">
        <v>2500</v>
      </c>
      <c r="K30" s="12">
        <f>IF(J30&gt;0,ROUNDUP(I30/J30,0),0)</f>
        <v/>
      </c>
      <c r="L30" s="20">
        <f>I30*0.3048/1000</f>
        <v/>
      </c>
    </row>
    <row r="31">
      <c r="A31" s="12" t="inlineStr">
        <is>
          <t>LV|3/C+G|3/0</t>
        </is>
      </c>
      <c r="B31" s="12" t="inlineStr">
        <is>
          <t>LV 600 V</t>
        </is>
      </c>
      <c r="C31" s="12" t="inlineStr">
        <is>
          <t>Type TC-ER 600 V 3/C Cu XHHW-2 + ground, PVC jacket</t>
        </is>
      </c>
      <c r="D31" s="12" t="inlineStr">
        <is>
          <t>3/C+G</t>
        </is>
      </c>
      <c r="E31" s="12" t="inlineStr">
        <is>
          <t>3/0</t>
        </is>
      </c>
      <c r="F31" s="16">
        <f>SUMIFS('Cable Schedule'!$AA$2:$AA$5688,'Cable Schedule'!$K$2:$K$5688,A31)</f>
        <v/>
      </c>
      <c r="G31" s="17">
        <f>SUMIFS('Cable Schedule'!$W$2:$W$5688,'Cable Schedule'!$K$2:$K$5688,A31)</f>
        <v/>
      </c>
      <c r="H31" s="18">
        <f>'Read Me'!$B$14</f>
        <v/>
      </c>
      <c r="I31" s="15">
        <f>ROUNDUP(G31*(1+H31),-2)</f>
        <v/>
      </c>
      <c r="J31" s="19" t="n">
        <v>2500</v>
      </c>
      <c r="K31" s="12">
        <f>IF(J31&gt;0,ROUNDUP(I31/J31,0),0)</f>
        <v/>
      </c>
      <c r="L31" s="20">
        <f>I31*0.3048/1000</f>
        <v/>
      </c>
    </row>
    <row r="32">
      <c r="A32" s="12" t="inlineStr">
        <is>
          <t>LV|3/C+G|4/0</t>
        </is>
      </c>
      <c r="B32" s="12" t="inlineStr">
        <is>
          <t>LV 600 V</t>
        </is>
      </c>
      <c r="C32" s="12" t="inlineStr">
        <is>
          <t>Type TC-ER 600 V 3/C Cu XHHW-2 + ground, PVC jacket</t>
        </is>
      </c>
      <c r="D32" s="12" t="inlineStr">
        <is>
          <t>3/C+G</t>
        </is>
      </c>
      <c r="E32" s="12" t="inlineStr">
        <is>
          <t>4/0</t>
        </is>
      </c>
      <c r="F32" s="16">
        <f>SUMIFS('Cable Schedule'!$AA$2:$AA$5688,'Cable Schedule'!$K$2:$K$5688,A32)</f>
        <v/>
      </c>
      <c r="G32" s="17">
        <f>SUMIFS('Cable Schedule'!$W$2:$W$5688,'Cable Schedule'!$K$2:$K$5688,A32)</f>
        <v/>
      </c>
      <c r="H32" s="18">
        <f>'Read Me'!$B$14</f>
        <v/>
      </c>
      <c r="I32" s="15">
        <f>ROUNDUP(G32*(1+H32),-2)</f>
        <v/>
      </c>
      <c r="J32" s="19" t="n">
        <v>2500</v>
      </c>
      <c r="K32" s="12">
        <f>IF(J32&gt;0,ROUNDUP(I32/J32,0),0)</f>
        <v/>
      </c>
      <c r="L32" s="20">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6">
        <f>SUMIFS('Cable Schedule'!$AA$2:$AA$5688,'Cable Schedule'!$K$2:$K$5688,A33)</f>
        <v/>
      </c>
      <c r="G33" s="17">
        <f>SUMIFS('Cable Schedule'!$W$2:$W$5688,'Cable Schedule'!$K$2:$K$5688,A33)</f>
        <v/>
      </c>
      <c r="H33" s="18">
        <f>'Read Me'!$B$14</f>
        <v/>
      </c>
      <c r="I33" s="15">
        <f>ROUNDUP(G33*(1+H33),-2)</f>
        <v/>
      </c>
      <c r="J33" s="19" t="n">
        <v>2500</v>
      </c>
      <c r="K33" s="12">
        <f>IF(J33&gt;0,ROUNDUP(I33/J33,0),0)</f>
        <v/>
      </c>
      <c r="L33" s="20">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6">
        <f>SUMIFS('Cable Schedule'!$AA$2:$AA$5688,'Cable Schedule'!$K$2:$K$5688,A34)</f>
        <v/>
      </c>
      <c r="G34" s="17">
        <f>SUMIFS('Cable Schedule'!$W$2:$W$5688,'Cable Schedule'!$K$2:$K$5688,A34)</f>
        <v/>
      </c>
      <c r="H34" s="18">
        <f>'Read Me'!$B$14</f>
        <v/>
      </c>
      <c r="I34" s="15">
        <f>ROUNDUP(G34*(1+H34),-2)</f>
        <v/>
      </c>
      <c r="J34" s="19" t="n">
        <v>2500</v>
      </c>
      <c r="K34" s="12">
        <f>IF(J34&gt;0,ROUNDUP(I34/J34,0),0)</f>
        <v/>
      </c>
      <c r="L34" s="20">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6">
        <f>SUMIFS('Cable Schedule'!$AA$2:$AA$5688,'Cable Schedule'!$K$2:$K$5688,A35)</f>
        <v/>
      </c>
      <c r="G35" s="17">
        <f>SUMIFS('Cable Schedule'!$W$2:$W$5688,'Cable Schedule'!$K$2:$K$5688,A35)</f>
        <v/>
      </c>
      <c r="H35" s="18">
        <f>'Read Me'!$B$14</f>
        <v/>
      </c>
      <c r="I35" s="15">
        <f>ROUNDUP(G35*(1+H35),-2)</f>
        <v/>
      </c>
      <c r="J35" s="19" t="n">
        <v>2500</v>
      </c>
      <c r="K35" s="12">
        <f>IF(J35&gt;0,ROUNDUP(I35/J35,0),0)</f>
        <v/>
      </c>
      <c r="L35" s="20">
        <f>I35*0.3048/1000</f>
        <v/>
      </c>
    </row>
    <row r="36">
      <c r="A36" s="12" t="inlineStr">
        <is>
          <t>LV1C|1/C|500</t>
        </is>
      </c>
      <c r="B36" s="12" t="inlineStr">
        <is>
          <t>LV 600 V</t>
        </is>
      </c>
      <c r="C36" s="12" t="inlineStr">
        <is>
          <t>XHHW-2 600 V 1/C Cu (feeder sets in tray / duct)</t>
        </is>
      </c>
      <c r="D36" s="12" t="inlineStr">
        <is>
          <t>1/C</t>
        </is>
      </c>
      <c r="E36" s="12" t="inlineStr">
        <is>
          <t>500 kcmil</t>
        </is>
      </c>
      <c r="F36" s="16">
        <f>SUMIFS('Cable Schedule'!$AA$2:$AA$5688,'Cable Schedule'!$K$2:$K$5688,A36)</f>
        <v/>
      </c>
      <c r="G36" s="17">
        <f>SUMIFS('Cable Schedule'!$W$2:$W$5688,'Cable Schedule'!$K$2:$K$5688,A36)</f>
        <v/>
      </c>
      <c r="H36" s="18">
        <f>'Read Me'!$B$14</f>
        <v/>
      </c>
      <c r="I36" s="15">
        <f>ROUNDUP(G36*(1+H36),-2)</f>
        <v/>
      </c>
      <c r="J36" s="19" t="n">
        <v>2500</v>
      </c>
      <c r="K36" s="12">
        <f>IF(J36&gt;0,ROUNDUP(I36/J36,0),0)</f>
        <v/>
      </c>
      <c r="L36" s="20">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6">
        <f>SUMIFS('Cable Schedule'!$AA$2:$AA$5688,'Cable Schedule'!$K$2:$K$5688,A37)</f>
        <v/>
      </c>
      <c r="G37" s="17">
        <f>SUMIFS('Cable Schedule'!$W$2:$W$5688,'Cable Schedule'!$K$2:$K$5688,A37)</f>
        <v/>
      </c>
      <c r="H37" s="18">
        <f>'Read Me'!$B$14</f>
        <v/>
      </c>
      <c r="I37" s="15">
        <f>ROUNDUP(G37*(1+H37),-2)</f>
        <v/>
      </c>
      <c r="J37" s="19" t="n">
        <v>2000</v>
      </c>
      <c r="K37" s="12">
        <f>IF(J37&gt;0,ROUNDUP(I37/J37,0),0)</f>
        <v/>
      </c>
      <c r="L37" s="20">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6">
        <f>SUMIFS('Cable Schedule'!$AA$2:$AA$5688,'Cable Schedule'!$K$2:$K$5688,A38)</f>
        <v/>
      </c>
      <c r="G38" s="17">
        <f>SUMIFS('Cable Schedule'!$W$2:$W$5688,'Cable Schedule'!$K$2:$K$5688,A38)</f>
        <v/>
      </c>
      <c r="H38" s="18">
        <f>'Read Me'!$B$14</f>
        <v/>
      </c>
      <c r="I38" s="15">
        <f>ROUNDUP(G38*(1+H38),-2)</f>
        <v/>
      </c>
      <c r="J38" s="19" t="n">
        <v>2000</v>
      </c>
      <c r="K38" s="12">
        <f>IF(J38&gt;0,ROUNDUP(I38/J38,0),0)</f>
        <v/>
      </c>
      <c r="L38" s="20">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6">
        <f>SUMIFS('Cable Schedule'!$AA$2:$AA$5688,'Cable Schedule'!$K$2:$K$5688,A39)</f>
        <v/>
      </c>
      <c r="G39" s="17">
        <f>SUMIFS('Cable Schedule'!$W$2:$W$5688,'Cable Schedule'!$K$2:$K$5688,A39)</f>
        <v/>
      </c>
      <c r="H39" s="18">
        <f>'Read Me'!$B$14</f>
        <v/>
      </c>
      <c r="I39" s="15">
        <f>ROUNDUP(G39*(1+H39),-2)</f>
        <v/>
      </c>
      <c r="J39" s="19" t="n">
        <v>2000</v>
      </c>
      <c r="K39" s="12">
        <f>IF(J39&gt;0,ROUNDUP(I39/J39,0),0)</f>
        <v/>
      </c>
      <c r="L39" s="20">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6">
        <f>SUMIFS('Cable Schedule'!$AA$2:$AA$5688,'Cable Schedule'!$K$2:$K$5688,A40)</f>
        <v/>
      </c>
      <c r="G40" s="17">
        <f>SUMIFS('Cable Schedule'!$W$2:$W$5688,'Cable Schedule'!$K$2:$K$5688,A40)</f>
        <v/>
      </c>
      <c r="H40" s="18">
        <f>'Read Me'!$B$14</f>
        <v/>
      </c>
      <c r="I40" s="15">
        <f>ROUNDUP(G40*(1+H40),-2)</f>
        <v/>
      </c>
      <c r="J40" s="19" t="n">
        <v>2000</v>
      </c>
      <c r="K40" s="12">
        <f>IF(J40&gt;0,ROUNDUP(I40/J40,0),0)</f>
        <v/>
      </c>
      <c r="L40" s="20">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6">
        <f>SUMIFS('Cable Schedule'!$AA$2:$AA$5688,'Cable Schedule'!$K$2:$K$5688,A41)</f>
        <v/>
      </c>
      <c r="G41" s="17">
        <f>SUMIFS('Cable Schedule'!$W$2:$W$5688,'Cable Schedule'!$K$2:$K$5688,A41)</f>
        <v/>
      </c>
      <c r="H41" s="18">
        <f>'Read Me'!$B$14</f>
        <v/>
      </c>
      <c r="I41" s="15">
        <f>ROUNDUP(G41*(1+H41),-2)</f>
        <v/>
      </c>
      <c r="J41" s="19" t="n">
        <v>2000</v>
      </c>
      <c r="K41" s="12">
        <f>IF(J41&gt;0,ROUNDUP(I41/J41,0),0)</f>
        <v/>
      </c>
      <c r="L41" s="20">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6">
        <f>SUMIFS('Cable Schedule'!$AA$2:$AA$5688,'Cable Schedule'!$K$2:$K$5688,A42)</f>
        <v/>
      </c>
      <c r="G42" s="17">
        <f>SUMIFS('Cable Schedule'!$W$2:$W$5688,'Cable Schedule'!$K$2:$K$5688,A42)</f>
        <v/>
      </c>
      <c r="H42" s="18">
        <f>'Read Me'!$B$14</f>
        <v/>
      </c>
      <c r="I42" s="15">
        <f>ROUNDUP(G42*(1+H42),-2)</f>
        <v/>
      </c>
      <c r="J42" s="19" t="n">
        <v>2000</v>
      </c>
      <c r="K42" s="12">
        <f>IF(J42&gt;0,ROUNDUP(I42/J42,0),0)</f>
        <v/>
      </c>
      <c r="L42" s="20">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6">
        <f>SUMIFS('Cable Schedule'!$AA$2:$AA$5688,'Cable Schedule'!$K$2:$K$5688,A43)</f>
        <v/>
      </c>
      <c r="G43" s="17">
        <f>SUMIFS('Cable Schedule'!$W$2:$W$5688,'Cable Schedule'!$K$2:$K$5688,A43)</f>
        <v/>
      </c>
      <c r="H43" s="18">
        <f>'Read Me'!$B$14</f>
        <v/>
      </c>
      <c r="I43" s="15">
        <f>ROUNDUP(G43*(1+H43),-2)</f>
        <v/>
      </c>
      <c r="J43" s="19" t="n">
        <v>2000</v>
      </c>
      <c r="K43" s="12">
        <f>IF(J43&gt;0,ROUNDUP(I43/J43,0),0)</f>
        <v/>
      </c>
      <c r="L43" s="20">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6">
        <f>SUMIFS('Cable Schedule'!$AA$2:$AA$5688,'Cable Schedule'!$K$2:$K$5688,A44)</f>
        <v/>
      </c>
      <c r="G44" s="17">
        <f>SUMIFS('Cable Schedule'!$W$2:$W$5688,'Cable Schedule'!$K$2:$K$5688,A44)</f>
        <v/>
      </c>
      <c r="H44" s="18">
        <f>'Read Me'!$B$14</f>
        <v/>
      </c>
      <c r="I44" s="15">
        <f>ROUNDUP(G44*(1+H44),-2)</f>
        <v/>
      </c>
      <c r="J44" s="19" t="n">
        <v>2000</v>
      </c>
      <c r="K44" s="12">
        <f>IF(J44&gt;0,ROUNDUP(I44/J44,0),0)</f>
        <v/>
      </c>
      <c r="L44" s="20">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6">
        <f>SUMIFS('Cable Schedule'!$AA$2:$AA$5688,'Cable Schedule'!$K$2:$K$5688,A45)</f>
        <v/>
      </c>
      <c r="G45" s="17">
        <f>SUMIFS('Cable Schedule'!$W$2:$W$5688,'Cable Schedule'!$K$2:$K$5688,A45)</f>
        <v/>
      </c>
      <c r="H45" s="18">
        <f>'Read Me'!$B$14</f>
        <v/>
      </c>
      <c r="I45" s="15">
        <f>ROUNDUP(G45*(1+H45),-2)</f>
        <v/>
      </c>
      <c r="J45" s="19" t="n">
        <v>2000</v>
      </c>
      <c r="K45" s="12">
        <f>IF(J45&gt;0,ROUNDUP(I45/J45,0),0)</f>
        <v/>
      </c>
      <c r="L45" s="20">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6">
        <f>SUMIFS('Cable Schedule'!$AA$2:$AA$5688,'Cable Schedule'!$K$2:$K$5688,A46)</f>
        <v/>
      </c>
      <c r="G46" s="17">
        <f>SUMIFS('Cable Schedule'!$W$2:$W$5688,'Cable Schedule'!$K$2:$K$5688,A46)</f>
        <v/>
      </c>
      <c r="H46" s="18">
        <f>'Read Me'!$B$14</f>
        <v/>
      </c>
      <c r="I46" s="15">
        <f>ROUNDUP(G46*(1+H46),-2)</f>
        <v/>
      </c>
      <c r="J46" s="19" t="n">
        <v>2000</v>
      </c>
      <c r="K46" s="12">
        <f>IF(J46&gt;0,ROUNDUP(I46/J46,0),0)</f>
        <v/>
      </c>
      <c r="L46" s="20">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6">
        <f>SUMIFS('Cable Schedule'!$AA$2:$AA$5688,'Cable Schedule'!$K$2:$K$5688,A47)</f>
        <v/>
      </c>
      <c r="G47" s="17">
        <f>SUMIFS('Cable Schedule'!$W$2:$W$5688,'Cable Schedule'!$K$2:$K$5688,A47)</f>
        <v/>
      </c>
      <c r="H47" s="18">
        <f>'Read Me'!$B$14</f>
        <v/>
      </c>
      <c r="I47" s="15">
        <f>ROUNDUP(G47*(1+H47),-2)</f>
        <v/>
      </c>
      <c r="J47" s="19" t="n">
        <v>2500</v>
      </c>
      <c r="K47" s="12">
        <f>IF(J47&gt;0,ROUNDUP(I47/J47,0),0)</f>
        <v/>
      </c>
      <c r="L47" s="20">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6">
        <f>SUMIFS('Cable Schedule'!$AA$2:$AA$5688,'Cable Schedule'!$K$2:$K$5688,A48)</f>
        <v/>
      </c>
      <c r="G48" s="17">
        <f>SUMIFS('Cable Schedule'!$W$2:$W$5688,'Cable Schedule'!$K$2:$K$5688,A48)</f>
        <v/>
      </c>
      <c r="H48" s="18">
        <f>'Read Me'!$B$14</f>
        <v/>
      </c>
      <c r="I48" s="15">
        <f>ROUNDUP(G48*(1+H48),-2)</f>
        <v/>
      </c>
      <c r="J48" s="19" t="n">
        <v>2500</v>
      </c>
      <c r="K48" s="12">
        <f>IF(J48&gt;0,ROUNDUP(I48/J48,0),0)</f>
        <v/>
      </c>
      <c r="L48" s="20">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6">
        <f>SUMIFS('Cable Schedule'!$AA$2:$AA$5688,'Cable Schedule'!$K$2:$K$5688,A49)</f>
        <v/>
      </c>
      <c r="G49" s="17">
        <f>SUMIFS('Cable Schedule'!$W$2:$W$5688,'Cable Schedule'!$K$2:$K$5688,A49)</f>
        <v/>
      </c>
      <c r="H49" s="18">
        <f>'Read Me'!$B$14</f>
        <v/>
      </c>
      <c r="I49" s="15">
        <f>ROUNDUP(G49*(1+H49),-2)</f>
        <v/>
      </c>
      <c r="J49" s="19" t="n">
        <v>2500</v>
      </c>
      <c r="K49" s="12">
        <f>IF(J49&gt;0,ROUNDUP(I49/J49,0),0)</f>
        <v/>
      </c>
      <c r="L49" s="20">
        <f>I49*0.3048/1000</f>
        <v/>
      </c>
    </row>
    <row r="50">
      <c r="A50" s="12" t="inlineStr">
        <is>
          <t>VFD|3/C+3G|1/0</t>
        </is>
      </c>
      <c r="B50" s="12" t="inlineStr">
        <is>
          <t>LV 600 V</t>
        </is>
      </c>
      <c r="C50" s="12" t="inlineStr">
        <is>
          <t>VFD cable 600 V 3/C Cu XHHW-2, 3 symmetrical grounds, overall Cu tape shield, TC-ER</t>
        </is>
      </c>
      <c r="D50" s="12" t="inlineStr">
        <is>
          <t>3/C+3G</t>
        </is>
      </c>
      <c r="E50" s="12" t="inlineStr">
        <is>
          <t>1/0</t>
        </is>
      </c>
      <c r="F50" s="16">
        <f>SUMIFS('Cable Schedule'!$AA$2:$AA$5688,'Cable Schedule'!$K$2:$K$5688,A50)</f>
        <v/>
      </c>
      <c r="G50" s="17">
        <f>SUMIFS('Cable Schedule'!$W$2:$W$5688,'Cable Schedule'!$K$2:$K$5688,A50)</f>
        <v/>
      </c>
      <c r="H50" s="18">
        <f>'Read Me'!$B$14</f>
        <v/>
      </c>
      <c r="I50" s="15">
        <f>ROUNDUP(G50*(1+H50),-2)</f>
        <v/>
      </c>
      <c r="J50" s="19" t="n">
        <v>2500</v>
      </c>
      <c r="K50" s="12">
        <f>IF(J50&gt;0,ROUNDUP(I50/J50,0),0)</f>
        <v/>
      </c>
      <c r="L50" s="20">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6">
        <f>SUMIFS('Cable Schedule'!$AA$2:$AA$5688,'Cable Schedule'!$K$2:$K$5688,A51)</f>
        <v/>
      </c>
      <c r="G51" s="17">
        <f>SUMIFS('Cable Schedule'!$W$2:$W$5688,'Cable Schedule'!$K$2:$K$5688,A51)</f>
        <v/>
      </c>
      <c r="H51" s="18">
        <f>'Read Me'!$B$14</f>
        <v/>
      </c>
      <c r="I51" s="15">
        <f>ROUNDUP(G51*(1+H51),-2)</f>
        <v/>
      </c>
      <c r="J51" s="19" t="n">
        <v>2500</v>
      </c>
      <c r="K51" s="12">
        <f>IF(J51&gt;0,ROUNDUP(I51/J51,0),0)</f>
        <v/>
      </c>
      <c r="L51" s="20">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6">
        <f>SUMIFS('Cable Schedule'!$AA$2:$AA$5688,'Cable Schedule'!$K$2:$K$5688,A52)</f>
        <v/>
      </c>
      <c r="G52" s="17">
        <f>SUMIFS('Cable Schedule'!$W$2:$W$5688,'Cable Schedule'!$K$2:$K$5688,A52)</f>
        <v/>
      </c>
      <c r="H52" s="18">
        <f>'Read Me'!$B$14</f>
        <v/>
      </c>
      <c r="I52" s="15">
        <f>ROUNDUP(G52*(1+H52),-2)</f>
        <v/>
      </c>
      <c r="J52" s="19" t="n">
        <v>2500</v>
      </c>
      <c r="K52" s="12">
        <f>IF(J52&gt;0,ROUNDUP(I52/J52,0),0)</f>
        <v/>
      </c>
      <c r="L52" s="20">
        <f>I52*0.3048/1000</f>
        <v/>
      </c>
    </row>
    <row r="53">
      <c r="A53" s="12" t="inlineStr">
        <is>
          <t>CT|12/C|14</t>
        </is>
      </c>
      <c r="B53" s="12" t="inlineStr">
        <is>
          <t>Control</t>
        </is>
      </c>
      <c r="C53" s="12" t="inlineStr">
        <is>
          <t>Control cable 600 V Type TC-ER, Cu #14 AWG, PVC jacket</t>
        </is>
      </c>
      <c r="D53" s="12" t="inlineStr">
        <is>
          <t>12/C</t>
        </is>
      </c>
      <c r="E53" s="12" t="inlineStr">
        <is>
          <t>14</t>
        </is>
      </c>
      <c r="F53" s="16">
        <f>SUMIFS('Cable Schedule'!$AA$2:$AA$5688,'Cable Schedule'!$K$2:$K$5688,A53)</f>
        <v/>
      </c>
      <c r="G53" s="17">
        <f>SUMIFS('Cable Schedule'!$W$2:$W$5688,'Cable Schedule'!$K$2:$K$5688,A53)</f>
        <v/>
      </c>
      <c r="H53" s="18">
        <f>'Read Me'!$B$14</f>
        <v/>
      </c>
      <c r="I53" s="15">
        <f>ROUNDUP(G53*(1+H53),-2)</f>
        <v/>
      </c>
      <c r="J53" s="19" t="n">
        <v>5000</v>
      </c>
      <c r="K53" s="12">
        <f>IF(J53&gt;0,ROUNDUP(I53/J53,0),0)</f>
        <v/>
      </c>
      <c r="L53" s="20">
        <f>I53*0.3048/1000</f>
        <v/>
      </c>
    </row>
    <row r="54">
      <c r="A54" s="12" t="inlineStr">
        <is>
          <t>CT|2/C|14</t>
        </is>
      </c>
      <c r="B54" s="12" t="inlineStr">
        <is>
          <t>Control</t>
        </is>
      </c>
      <c r="C54" s="12" t="inlineStr">
        <is>
          <t>Control cable 600 V Type TC-ER, Cu #14 AWG, PVC jacket</t>
        </is>
      </c>
      <c r="D54" s="12" t="inlineStr">
        <is>
          <t>2/C</t>
        </is>
      </c>
      <c r="E54" s="12" t="inlineStr">
        <is>
          <t>14</t>
        </is>
      </c>
      <c r="F54" s="16">
        <f>SUMIFS('Cable Schedule'!$AA$2:$AA$5688,'Cable Schedule'!$K$2:$K$5688,A54)</f>
        <v/>
      </c>
      <c r="G54" s="17">
        <f>SUMIFS('Cable Schedule'!$W$2:$W$5688,'Cable Schedule'!$K$2:$K$5688,A54)</f>
        <v/>
      </c>
      <c r="H54" s="18">
        <f>'Read Me'!$B$14</f>
        <v/>
      </c>
      <c r="I54" s="15">
        <f>ROUNDUP(G54*(1+H54),-2)</f>
        <v/>
      </c>
      <c r="J54" s="19" t="n">
        <v>5000</v>
      </c>
      <c r="K54" s="12">
        <f>IF(J54&gt;0,ROUNDUP(I54/J54,0),0)</f>
        <v/>
      </c>
      <c r="L54" s="20">
        <f>I54*0.3048/1000</f>
        <v/>
      </c>
    </row>
    <row r="55">
      <c r="A55" s="12" t="inlineStr">
        <is>
          <t>CT|25/C|14</t>
        </is>
      </c>
      <c r="B55" s="12" t="inlineStr">
        <is>
          <t>Control</t>
        </is>
      </c>
      <c r="C55" s="12" t="inlineStr">
        <is>
          <t>Control cable 600 V Type TC-ER, Cu #14 AWG, PVC jacket</t>
        </is>
      </c>
      <c r="D55" s="12" t="inlineStr">
        <is>
          <t>25/C</t>
        </is>
      </c>
      <c r="E55" s="12" t="inlineStr">
        <is>
          <t>14</t>
        </is>
      </c>
      <c r="F55" s="16">
        <f>SUMIFS('Cable Schedule'!$AA$2:$AA$5688,'Cable Schedule'!$K$2:$K$5688,A55)</f>
        <v/>
      </c>
      <c r="G55" s="17">
        <f>SUMIFS('Cable Schedule'!$W$2:$W$5688,'Cable Schedule'!$K$2:$K$5688,A55)</f>
        <v/>
      </c>
      <c r="H55" s="18">
        <f>'Read Me'!$B$14</f>
        <v/>
      </c>
      <c r="I55" s="15">
        <f>ROUNDUP(G55*(1+H55),-2)</f>
        <v/>
      </c>
      <c r="J55" s="19" t="n">
        <v>5000</v>
      </c>
      <c r="K55" s="12">
        <f>IF(J55&gt;0,ROUNDUP(I55/J55,0),0)</f>
        <v/>
      </c>
      <c r="L55" s="20">
        <f>I55*0.3048/1000</f>
        <v/>
      </c>
    </row>
    <row r="56">
      <c r="A56" s="12" t="inlineStr">
        <is>
          <t>CT|7/C|14</t>
        </is>
      </c>
      <c r="B56" s="12" t="inlineStr">
        <is>
          <t>Control</t>
        </is>
      </c>
      <c r="C56" s="12" t="inlineStr">
        <is>
          <t>Control cable 600 V Type TC-ER, Cu #14 AWG, PVC jacket</t>
        </is>
      </c>
      <c r="D56" s="12" t="inlineStr">
        <is>
          <t>7/C</t>
        </is>
      </c>
      <c r="E56" s="12" t="inlineStr">
        <is>
          <t>14</t>
        </is>
      </c>
      <c r="F56" s="16">
        <f>SUMIFS('Cable Schedule'!$AA$2:$AA$5688,'Cable Schedule'!$K$2:$K$5688,A56)</f>
        <v/>
      </c>
      <c r="G56" s="17">
        <f>SUMIFS('Cable Schedule'!$W$2:$W$5688,'Cable Schedule'!$K$2:$K$5688,A56)</f>
        <v/>
      </c>
      <c r="H56" s="18">
        <f>'Read Me'!$B$14</f>
        <v/>
      </c>
      <c r="I56" s="15">
        <f>ROUNDUP(G56*(1+H56),-2)</f>
        <v/>
      </c>
      <c r="J56" s="19" t="n">
        <v>5000</v>
      </c>
      <c r="K56" s="12">
        <f>IF(J56&gt;0,ROUNDUP(I56/J56,0),0)</f>
        <v/>
      </c>
      <c r="L56" s="20">
        <f>I56*0.3048/1000</f>
        <v/>
      </c>
    </row>
    <row r="57">
      <c r="A57" s="12" t="inlineStr">
        <is>
          <t>CTAX|12/C|14</t>
        </is>
      </c>
      <c r="B57" s="12" t="inlineStr">
        <is>
          <t>Control</t>
        </is>
      </c>
      <c r="C57" s="12" t="inlineStr">
        <is>
          <t>ARMOR-X MC-HL 600 V control, Cu #14 AWG (Class I Div 2)</t>
        </is>
      </c>
      <c r="D57" s="12" t="inlineStr">
        <is>
          <t>12/C</t>
        </is>
      </c>
      <c r="E57" s="12" t="inlineStr">
        <is>
          <t>14</t>
        </is>
      </c>
      <c r="F57" s="16">
        <f>SUMIFS('Cable Schedule'!$AA$2:$AA$5688,'Cable Schedule'!$K$2:$K$5688,A57)</f>
        <v/>
      </c>
      <c r="G57" s="17">
        <f>SUMIFS('Cable Schedule'!$W$2:$W$5688,'Cable Schedule'!$K$2:$K$5688,A57)</f>
        <v/>
      </c>
      <c r="H57" s="18">
        <f>'Read Me'!$B$14</f>
        <v/>
      </c>
      <c r="I57" s="15">
        <f>ROUNDUP(G57*(1+H57),-2)</f>
        <v/>
      </c>
      <c r="J57" s="19" t="n">
        <v>3000</v>
      </c>
      <c r="K57" s="12">
        <f>IF(J57&gt;0,ROUNDUP(I57/J57,0),0)</f>
        <v/>
      </c>
      <c r="L57" s="20">
        <f>I57*0.3048/1000</f>
        <v/>
      </c>
    </row>
    <row r="58">
      <c r="A58" s="12" t="inlineStr">
        <is>
          <t>CTAX|2/C|14</t>
        </is>
      </c>
      <c r="B58" s="12" t="inlineStr">
        <is>
          <t>Control</t>
        </is>
      </c>
      <c r="C58" s="12" t="inlineStr">
        <is>
          <t>ARMOR-X MC-HL 600 V control, Cu #14 AWG (Class I Div 2)</t>
        </is>
      </c>
      <c r="D58" s="12" t="inlineStr">
        <is>
          <t>2/C</t>
        </is>
      </c>
      <c r="E58" s="12" t="inlineStr">
        <is>
          <t>14</t>
        </is>
      </c>
      <c r="F58" s="16">
        <f>SUMIFS('Cable Schedule'!$AA$2:$AA$5688,'Cable Schedule'!$K$2:$K$5688,A58)</f>
        <v/>
      </c>
      <c r="G58" s="17">
        <f>SUMIFS('Cable Schedule'!$W$2:$W$5688,'Cable Schedule'!$K$2:$K$5688,A58)</f>
        <v/>
      </c>
      <c r="H58" s="18">
        <f>'Read Me'!$B$14</f>
        <v/>
      </c>
      <c r="I58" s="15">
        <f>ROUNDUP(G58*(1+H58),-2)</f>
        <v/>
      </c>
      <c r="J58" s="19" t="n">
        <v>3000</v>
      </c>
      <c r="K58" s="12">
        <f>IF(J58&gt;0,ROUNDUP(I58/J58,0),0)</f>
        <v/>
      </c>
      <c r="L58" s="20">
        <f>I58*0.3048/1000</f>
        <v/>
      </c>
    </row>
    <row r="59">
      <c r="A59" s="12" t="inlineStr">
        <is>
          <t>CTAX|25/C|14</t>
        </is>
      </c>
      <c r="B59" s="12" t="inlineStr">
        <is>
          <t>Control</t>
        </is>
      </c>
      <c r="C59" s="12" t="inlineStr">
        <is>
          <t>ARMOR-X MC-HL 600 V control, Cu #14 AWG (Class I Div 2)</t>
        </is>
      </c>
      <c r="D59" s="12" t="inlineStr">
        <is>
          <t>25/C</t>
        </is>
      </c>
      <c r="E59" s="12" t="inlineStr">
        <is>
          <t>14</t>
        </is>
      </c>
      <c r="F59" s="16">
        <f>SUMIFS('Cable Schedule'!$AA$2:$AA$5688,'Cable Schedule'!$K$2:$K$5688,A59)</f>
        <v/>
      </c>
      <c r="G59" s="17">
        <f>SUMIFS('Cable Schedule'!$W$2:$W$5688,'Cable Schedule'!$K$2:$K$5688,A59)</f>
        <v/>
      </c>
      <c r="H59" s="18">
        <f>'Read Me'!$B$14</f>
        <v/>
      </c>
      <c r="I59" s="15">
        <f>ROUNDUP(G59*(1+H59),-2)</f>
        <v/>
      </c>
      <c r="J59" s="19" t="n">
        <v>3000</v>
      </c>
      <c r="K59" s="12">
        <f>IF(J59&gt;0,ROUNDUP(I59/J59,0),0)</f>
        <v/>
      </c>
      <c r="L59" s="20">
        <f>I59*0.3048/1000</f>
        <v/>
      </c>
    </row>
    <row r="60">
      <c r="A60" s="12" t="inlineStr">
        <is>
          <t>CTAX|7/C|14</t>
        </is>
      </c>
      <c r="B60" s="12" t="inlineStr">
        <is>
          <t>Control</t>
        </is>
      </c>
      <c r="C60" s="12" t="inlineStr">
        <is>
          <t>ARMOR-X MC-HL 600 V control, Cu #14 AWG (Class I Div 2)</t>
        </is>
      </c>
      <c r="D60" s="12" t="inlineStr">
        <is>
          <t>7/C</t>
        </is>
      </c>
      <c r="E60" s="12" t="inlineStr">
        <is>
          <t>14</t>
        </is>
      </c>
      <c r="F60" s="16">
        <f>SUMIFS('Cable Schedule'!$AA$2:$AA$5688,'Cable Schedule'!$K$2:$K$5688,A60)</f>
        <v/>
      </c>
      <c r="G60" s="17">
        <f>SUMIFS('Cable Schedule'!$W$2:$W$5688,'Cable Schedule'!$K$2:$K$5688,A60)</f>
        <v/>
      </c>
      <c r="H60" s="18">
        <f>'Read Me'!$B$14</f>
        <v/>
      </c>
      <c r="I60" s="15">
        <f>ROUNDUP(G60*(1+H60),-2)</f>
        <v/>
      </c>
      <c r="J60" s="19" t="n">
        <v>3000</v>
      </c>
      <c r="K60" s="12">
        <f>IF(J60&gt;0,ROUNDUP(I60/J60,0),0)</f>
        <v/>
      </c>
      <c r="L60" s="20">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6">
        <f>SUMIFS('Cable Schedule'!$AA$2:$AA$5688,'Cable Schedule'!$K$2:$K$5688,A61)</f>
        <v/>
      </c>
      <c r="G61" s="17">
        <f>SUMIFS('Cable Schedule'!$W$2:$W$5688,'Cable Schedule'!$K$2:$K$5688,A61)</f>
        <v/>
      </c>
      <c r="H61" s="18">
        <f>'Read Me'!$B$14</f>
        <v/>
      </c>
      <c r="I61" s="15">
        <f>ROUNDUP(G61*(1+H61),-2)</f>
        <v/>
      </c>
      <c r="J61" s="19" t="n">
        <v>5000</v>
      </c>
      <c r="K61" s="12">
        <f>IF(J61&gt;0,ROUNDUP(I61/J61,0),0)</f>
        <v/>
      </c>
      <c r="L61" s="20">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6">
        <f>SUMIFS('Cable Schedule'!$AA$2:$AA$5688,'Cable Schedule'!$K$2:$K$5688,A62)</f>
        <v/>
      </c>
      <c r="G62" s="17">
        <f>SUMIFS('Cable Schedule'!$W$2:$W$5688,'Cable Schedule'!$K$2:$K$5688,A62)</f>
        <v/>
      </c>
      <c r="H62" s="18">
        <f>'Read Me'!$B$14</f>
        <v/>
      </c>
      <c r="I62" s="15">
        <f>ROUNDUP(G62*(1+H62),-2)</f>
        <v/>
      </c>
      <c r="J62" s="19" t="n">
        <v>5000</v>
      </c>
      <c r="K62" s="12">
        <f>IF(J62&gt;0,ROUNDUP(I62/J62,0),0)</f>
        <v/>
      </c>
      <c r="L62" s="20">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6">
        <f>SUMIFS('Cable Schedule'!$AA$2:$AA$5688,'Cable Schedule'!$K$2:$K$5688,A63)</f>
        <v/>
      </c>
      <c r="G63" s="17">
        <f>SUMIFS('Cable Schedule'!$W$2:$W$5688,'Cable Schedule'!$K$2:$K$5688,A63)</f>
        <v/>
      </c>
      <c r="H63" s="18">
        <f>'Read Me'!$B$14</f>
        <v/>
      </c>
      <c r="I63" s="15">
        <f>ROUNDUP(G63*(1+H63),-2)</f>
        <v/>
      </c>
      <c r="J63" s="19" t="n">
        <v>5000</v>
      </c>
      <c r="K63" s="12">
        <f>IF(J63&gt;0,ROUNDUP(I63/J63,0),0)</f>
        <v/>
      </c>
      <c r="L63" s="20">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6">
        <f>SUMIFS('Cable Schedule'!$AA$2:$AA$5688,'Cable Schedule'!$K$2:$K$5688,A64)</f>
        <v/>
      </c>
      <c r="G64" s="17">
        <f>SUMIFS('Cable Schedule'!$W$2:$W$5688,'Cable Schedule'!$K$2:$K$5688,A64)</f>
        <v/>
      </c>
      <c r="H64" s="18">
        <f>'Read Me'!$B$14</f>
        <v/>
      </c>
      <c r="I64" s="15">
        <f>ROUNDUP(G64*(1+H64),-2)</f>
        <v/>
      </c>
      <c r="J64" s="19" t="n">
        <v>5000</v>
      </c>
      <c r="K64" s="12">
        <f>IF(J64&gt;0,ROUNDUP(I64/J64,0),0)</f>
        <v/>
      </c>
      <c r="L64" s="20">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6">
        <f>SUMIFS('Cable Schedule'!$AA$2:$AA$5688,'Cable Schedule'!$K$2:$K$5688,A65)</f>
        <v/>
      </c>
      <c r="G65" s="17">
        <f>SUMIFS('Cable Schedule'!$W$2:$W$5688,'Cable Schedule'!$K$2:$K$5688,A65)</f>
        <v/>
      </c>
      <c r="H65" s="18">
        <f>'Read Me'!$B$14</f>
        <v/>
      </c>
      <c r="I65" s="15">
        <f>ROUNDUP(G65*(1+H65),-2)</f>
        <v/>
      </c>
      <c r="J65" s="19" t="n">
        <v>5000</v>
      </c>
      <c r="K65" s="12">
        <f>IF(J65&gt;0,ROUNDUP(I65/J65,0),0)</f>
        <v/>
      </c>
      <c r="L65" s="20">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6">
        <f>SUMIFS('Cable Schedule'!$AA$2:$AA$5688,'Cable Schedule'!$K$2:$K$5688,A66)</f>
        <v/>
      </c>
      <c r="G66" s="17">
        <f>SUMIFS('Cable Schedule'!$W$2:$W$5688,'Cable Schedule'!$K$2:$K$5688,A66)</f>
        <v/>
      </c>
      <c r="H66" s="18">
        <f>'Read Me'!$B$14</f>
        <v/>
      </c>
      <c r="I66" s="15">
        <f>ROUNDUP(G66*(1+H66),-2)</f>
        <v/>
      </c>
      <c r="J66" s="19" t="n">
        <v>5000</v>
      </c>
      <c r="K66" s="12">
        <f>IF(J66&gt;0,ROUNDUP(I66/J66,0),0)</f>
        <v/>
      </c>
      <c r="L66" s="20">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6">
        <f>SUMIFS('Cable Schedule'!$AA$2:$AA$5688,'Cable Schedule'!$K$2:$K$5688,A67)</f>
        <v/>
      </c>
      <c r="G67" s="17">
        <f>SUMIFS('Cable Schedule'!$W$2:$W$5688,'Cable Schedule'!$K$2:$K$5688,A67)</f>
        <v/>
      </c>
      <c r="H67" s="18">
        <f>'Read Me'!$B$14</f>
        <v/>
      </c>
      <c r="I67" s="15">
        <f>ROUNDUP(G67*(1+H67),-2)</f>
        <v/>
      </c>
      <c r="J67" s="19" t="n">
        <v>5000</v>
      </c>
      <c r="K67" s="12">
        <f>IF(J67&gt;0,ROUNDUP(I67/J67,0),0)</f>
        <v/>
      </c>
      <c r="L67" s="20">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6">
        <f>SUMIFS('Cable Schedule'!$AA$2:$AA$5688,'Cable Schedule'!$K$2:$K$5688,A68)</f>
        <v/>
      </c>
      <c r="G68" s="17">
        <f>SUMIFS('Cable Schedule'!$W$2:$W$5688,'Cable Schedule'!$K$2:$K$5688,A68)</f>
        <v/>
      </c>
      <c r="H68" s="18">
        <f>'Read Me'!$B$14</f>
        <v/>
      </c>
      <c r="I68" s="15">
        <f>ROUNDUP(G68*(1+H68),-2)</f>
        <v/>
      </c>
      <c r="J68" s="19" t="n">
        <v>5000</v>
      </c>
      <c r="K68" s="12">
        <f>IF(J68&gt;0,ROUNDUP(I68/J68,0),0)</f>
        <v/>
      </c>
      <c r="L68" s="20">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6">
        <f>SUMIFS('Cable Schedule'!$AA$2:$AA$5688,'Cable Schedule'!$K$2:$K$5688,A69)</f>
        <v/>
      </c>
      <c r="G69" s="17">
        <f>SUMIFS('Cable Schedule'!$W$2:$W$5688,'Cable Schedule'!$K$2:$K$5688,A69)</f>
        <v/>
      </c>
      <c r="H69" s="18">
        <f>'Read Me'!$B$14</f>
        <v/>
      </c>
      <c r="I69" s="15">
        <f>ROUNDUP(G69*(1+H69),-2)</f>
        <v/>
      </c>
      <c r="J69" s="19" t="n">
        <v>5000</v>
      </c>
      <c r="K69" s="12">
        <f>IF(J69&gt;0,ROUNDUP(I69/J69,0),0)</f>
        <v/>
      </c>
      <c r="L69" s="20">
        <f>I69*0.3048/1000</f>
        <v/>
      </c>
    </row>
    <row r="70">
      <c r="A70" s="12" t="inlineStr">
        <is>
          <t>RTD|1 tri|18</t>
        </is>
      </c>
      <c r="B70" s="12" t="inlineStr">
        <is>
          <t>Instrumentation</t>
        </is>
      </c>
      <c r="C70" s="12" t="inlineStr">
        <is>
          <t>RTD cable, #18 shielded triads, PLTC</t>
        </is>
      </c>
      <c r="D70" s="12" t="inlineStr">
        <is>
          <t>1 tri</t>
        </is>
      </c>
      <c r="E70" s="12" t="inlineStr">
        <is>
          <t>18</t>
        </is>
      </c>
      <c r="F70" s="16">
        <f>SUMIFS('Cable Schedule'!$AA$2:$AA$5688,'Cable Schedule'!$K$2:$K$5688,A70)</f>
        <v/>
      </c>
      <c r="G70" s="17">
        <f>SUMIFS('Cable Schedule'!$W$2:$W$5688,'Cable Schedule'!$K$2:$K$5688,A70)</f>
        <v/>
      </c>
      <c r="H70" s="18">
        <f>'Read Me'!$B$14</f>
        <v/>
      </c>
      <c r="I70" s="15">
        <f>ROUNDUP(G70*(1+H70),-2)</f>
        <v/>
      </c>
      <c r="J70" s="19" t="n">
        <v>5000</v>
      </c>
      <c r="K70" s="12">
        <f>IF(J70&gt;0,ROUNDUP(I70/J70,0),0)</f>
        <v/>
      </c>
      <c r="L70" s="20">
        <f>I70*0.3048/1000</f>
        <v/>
      </c>
    </row>
    <row r="71">
      <c r="A71" s="12" t="inlineStr">
        <is>
          <t>RTD|12 tri|18</t>
        </is>
      </c>
      <c r="B71" s="12" t="inlineStr">
        <is>
          <t>Instrumentation</t>
        </is>
      </c>
      <c r="C71" s="12" t="inlineStr">
        <is>
          <t>RTD cable, #18 shielded triads, PLTC</t>
        </is>
      </c>
      <c r="D71" s="12" t="inlineStr">
        <is>
          <t>12 tri</t>
        </is>
      </c>
      <c r="E71" s="12" t="inlineStr">
        <is>
          <t>18</t>
        </is>
      </c>
      <c r="F71" s="16">
        <f>SUMIFS('Cable Schedule'!$AA$2:$AA$5688,'Cable Schedule'!$K$2:$K$5688,A71)</f>
        <v/>
      </c>
      <c r="G71" s="17">
        <f>SUMIFS('Cable Schedule'!$W$2:$W$5688,'Cable Schedule'!$K$2:$K$5688,A71)</f>
        <v/>
      </c>
      <c r="H71" s="18">
        <f>'Read Me'!$B$14</f>
        <v/>
      </c>
      <c r="I71" s="15">
        <f>ROUNDUP(G71*(1+H71),-2)</f>
        <v/>
      </c>
      <c r="J71" s="19" t="n">
        <v>5000</v>
      </c>
      <c r="K71" s="12">
        <f>IF(J71&gt;0,ROUNDUP(I71/J71,0),0)</f>
        <v/>
      </c>
      <c r="L71" s="20">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6">
        <f>SUMIFS('Cable Schedule'!$AA$2:$AA$5688,'Cable Schedule'!$K$2:$K$5688,A72)</f>
        <v/>
      </c>
      <c r="G72" s="17">
        <f>SUMIFS('Cable Schedule'!$W$2:$W$5688,'Cable Schedule'!$K$2:$K$5688,A72)</f>
        <v/>
      </c>
      <c r="H72" s="18">
        <f>'Read Me'!$B$14</f>
        <v/>
      </c>
      <c r="I72" s="15">
        <f>ROUNDUP(G72*(1+H72),-2)</f>
        <v/>
      </c>
      <c r="J72" s="19" t="n">
        <v>5000</v>
      </c>
      <c r="K72" s="12">
        <f>IF(J72&gt;0,ROUNDUP(I72/J72,0),0)</f>
        <v/>
      </c>
      <c r="L72" s="20">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6">
        <f>SUMIFS('Cable Schedule'!$AA$2:$AA$5688,'Cable Schedule'!$K$2:$K$5688,A73)</f>
        <v/>
      </c>
      <c r="G73" s="17">
        <f>SUMIFS('Cable Schedule'!$W$2:$W$5688,'Cable Schedule'!$K$2:$K$5688,A73)</f>
        <v/>
      </c>
      <c r="H73" s="18">
        <f>'Read Me'!$B$14</f>
        <v/>
      </c>
      <c r="I73" s="15">
        <f>ROUNDUP(G73*(1+H73),-2)</f>
        <v/>
      </c>
      <c r="J73" s="19" t="n">
        <v>5000</v>
      </c>
      <c r="K73" s="12">
        <f>IF(J73&gt;0,ROUNDUP(I73/J73,0),0)</f>
        <v/>
      </c>
      <c r="L73" s="20">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6">
        <f>SUMIFS('Cable Schedule'!$AA$2:$AA$5688,'Cable Schedule'!$K$2:$K$5688,A74)</f>
        <v/>
      </c>
      <c r="G74" s="17">
        <f>SUMIFS('Cable Schedule'!$W$2:$W$5688,'Cable Schedule'!$K$2:$K$5688,A74)</f>
        <v/>
      </c>
      <c r="H74" s="18">
        <f>'Read Me'!$B$14</f>
        <v/>
      </c>
      <c r="I74" s="15">
        <f>ROUNDUP(G74*(1+H74),-2)</f>
        <v/>
      </c>
      <c r="J74" s="19" t="n">
        <v>5000</v>
      </c>
      <c r="K74" s="12">
        <f>IF(J74&gt;0,ROUNDUP(I74/J74,0),0)</f>
        <v/>
      </c>
      <c r="L74" s="20">
        <f>I74*0.3048/1000</f>
        <v/>
      </c>
    </row>
    <row r="75">
      <c r="A75" s="12" t="inlineStr">
        <is>
          <t>FA|2/C|14</t>
        </is>
      </c>
      <c r="B75" s="12" t="inlineStr">
        <is>
          <t>Fire alarm</t>
        </is>
      </c>
      <c r="C75" s="12" t="inlineStr">
        <is>
          <t>Fire alarm FPLR 2/C #14 shielded, red jacket (NEC 760)</t>
        </is>
      </c>
      <c r="D75" s="12" t="inlineStr">
        <is>
          <t>2/C</t>
        </is>
      </c>
      <c r="E75" s="12" t="inlineStr">
        <is>
          <t>14</t>
        </is>
      </c>
      <c r="F75" s="16">
        <f>SUMIFS('Cable Schedule'!$AA$2:$AA$5688,'Cable Schedule'!$K$2:$K$5688,A75)</f>
        <v/>
      </c>
      <c r="G75" s="17">
        <f>SUMIFS('Cable Schedule'!$W$2:$W$5688,'Cable Schedule'!$K$2:$K$5688,A75)</f>
        <v/>
      </c>
      <c r="H75" s="18">
        <f>'Read Me'!$B$14</f>
        <v/>
      </c>
      <c r="I75" s="15">
        <f>ROUNDUP(G75*(1+H75),-2)</f>
        <v/>
      </c>
      <c r="J75" s="19" t="n">
        <v>5000</v>
      </c>
      <c r="K75" s="12">
        <f>IF(J75&gt;0,ROUNDUP(I75/J75,0),0)</f>
        <v/>
      </c>
      <c r="L75" s="20">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6">
        <f>SUMIFS('Cable Schedule'!$AA$2:$AA$5688,'Cable Schedule'!$K$2:$K$5688,A76)</f>
        <v/>
      </c>
      <c r="G76" s="17">
        <f>SUMIFS('Cable Schedule'!$W$2:$W$5688,'Cable Schedule'!$K$2:$K$5688,A76)</f>
        <v/>
      </c>
      <c r="H76" s="18">
        <f>'Read Me'!$B$14</f>
        <v/>
      </c>
      <c r="I76" s="15">
        <f>ROUNDUP(G76*(1+H76),-2)</f>
        <v/>
      </c>
      <c r="J76" s="19" t="n">
        <v>10000</v>
      </c>
      <c r="K76" s="12">
        <f>IF(J76&gt;0,ROUNDUP(I76/J76,0),0)</f>
        <v/>
      </c>
      <c r="L76" s="20">
        <f>I76*0.3048/1000</f>
        <v/>
      </c>
    </row>
    <row r="77">
      <c r="A77" s="12" t="inlineStr">
        <is>
          <t>PV|1/C|500</t>
        </is>
      </c>
      <c r="B77" s="12" t="inlineStr">
        <is>
          <t>DC 2 kV</t>
        </is>
      </c>
      <c r="C77" s="12" t="inlineStr">
        <is>
          <t>PV / RHW-2 2 kV 1/C Cu, XLPE (DC)</t>
        </is>
      </c>
      <c r="D77" s="12" t="inlineStr">
        <is>
          <t>1/C</t>
        </is>
      </c>
      <c r="E77" s="12" t="inlineStr">
        <is>
          <t>500 kcmil</t>
        </is>
      </c>
      <c r="F77" s="16">
        <f>SUMIFS('Cable Schedule'!$AA$2:$AA$5688,'Cable Schedule'!$K$2:$K$5688,A77)</f>
        <v/>
      </c>
      <c r="G77" s="17">
        <f>SUMIFS('Cable Schedule'!$W$2:$W$5688,'Cable Schedule'!$K$2:$K$5688,A77)</f>
        <v/>
      </c>
      <c r="H77" s="18">
        <f>'Read Me'!$B$14</f>
        <v/>
      </c>
      <c r="I77" s="15">
        <f>ROUNDUP(G77*(1+H77),-2)</f>
        <v/>
      </c>
      <c r="J77" s="19" t="n">
        <v>2500</v>
      </c>
      <c r="K77" s="12">
        <f>IF(J77&gt;0,ROUNDUP(I77/J77,0),0)</f>
        <v/>
      </c>
      <c r="L77" s="20">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6">
        <f>SUMIFS('Cable Schedule'!$AA$2:$AA$5688,'Cable Schedule'!$K$2:$K$5688,A78)</f>
        <v/>
      </c>
      <c r="G78" s="17">
        <f>SUMIFS('Cable Schedule'!$W$2:$W$5688,'Cable Schedule'!$K$2:$K$5688,A78)</f>
        <v/>
      </c>
      <c r="H78" s="18">
        <f>'Read Me'!$B$14</f>
        <v/>
      </c>
      <c r="I78" s="15">
        <f>ROUNDUP(G78*(1+H78),-2)</f>
        <v/>
      </c>
      <c r="J78" s="19" t="n">
        <v>1000</v>
      </c>
      <c r="K78" s="12">
        <f>IF(J78&gt;0,ROUNDUP(I78/J78,0),0)</f>
        <v/>
      </c>
      <c r="L78" s="20">
        <f>I78*0.3048/1000</f>
        <v/>
      </c>
    </row>
    <row r="79">
      <c r="A79" s="12" t="inlineStr">
        <is>
          <t>W|1/C|4/0</t>
        </is>
      </c>
      <c r="B79" s="12" t="inlineStr">
        <is>
          <t>Portable LV</t>
        </is>
      </c>
      <c r="C79" s="12" t="inlineStr">
        <is>
          <t>Type W 2 kV 1/C Cu, EPDM / CPE (portable, cam-lock)</t>
        </is>
      </c>
      <c r="D79" s="12" t="inlineStr">
        <is>
          <t>1/C</t>
        </is>
      </c>
      <c r="E79" s="12" t="inlineStr">
        <is>
          <t>4/0</t>
        </is>
      </c>
      <c r="F79" s="16">
        <f>SUMIFS('Cable Schedule'!$AA$2:$AA$5688,'Cable Schedule'!$K$2:$K$5688,A79)</f>
        <v/>
      </c>
      <c r="G79" s="17">
        <f>SUMIFS('Cable Schedule'!$W$2:$W$5688,'Cable Schedule'!$K$2:$K$5688,A79)</f>
        <v/>
      </c>
      <c r="H79" s="18">
        <f>'Read Me'!$B$14</f>
        <v/>
      </c>
      <c r="I79" s="15">
        <f>ROUNDUP(G79*(1+H79),-2)</f>
        <v/>
      </c>
      <c r="J79" s="19" t="n">
        <v>1000</v>
      </c>
      <c r="K79" s="12">
        <f>IF(J79&gt;0,ROUNDUP(I79/J79,0),0)</f>
        <v/>
      </c>
      <c r="L79" s="20">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6">
        <f>SUMIFS('Cable Schedule'!$AA$2:$AA$5688,'Cable Schedule'!$K$2:$K$5688,A80)</f>
        <v/>
      </c>
      <c r="G80" s="17">
        <f>SUMIFS('Cable Schedule'!$W$2:$W$5688,'Cable Schedule'!$K$2:$K$5688,A80)</f>
        <v/>
      </c>
      <c r="H80" s="18">
        <f>'Read Me'!$B$14</f>
        <v/>
      </c>
      <c r="I80" s="15">
        <f>ROUNDUP(G80*(1+H80),-2)</f>
        <v/>
      </c>
      <c r="J80" s="19" t="n">
        <v>5000</v>
      </c>
      <c r="K80" s="12">
        <f>IF(J80&gt;0,ROUNDUP(I80/J80,0),0)</f>
        <v/>
      </c>
      <c r="L80" s="20">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6">
        <f>SUMIFS('Cable Schedule'!$AA$2:$AA$5688,'Cable Schedule'!$K$2:$K$5688,A81)</f>
        <v/>
      </c>
      <c r="G81" s="17">
        <f>SUMIFS('Cable Schedule'!$W$2:$W$5688,'Cable Schedule'!$K$2:$K$5688,A81)</f>
        <v/>
      </c>
      <c r="H81" s="18">
        <f>'Read Me'!$B$14</f>
        <v/>
      </c>
      <c r="I81" s="15">
        <f>ROUNDUP(G81*(1+H81),-2)</f>
        <v/>
      </c>
      <c r="J81" s="19" t="n">
        <v>5000</v>
      </c>
      <c r="K81" s="12">
        <f>IF(J81&gt;0,ROUNDUP(I81/J81,0),0)</f>
        <v/>
      </c>
      <c r="L81" s="20">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6">
        <f>SUMIFS('Cable Schedule'!$AA$2:$AA$5688,'Cable Schedule'!$K$2:$K$5688,A82)</f>
        <v/>
      </c>
      <c r="G82" s="17">
        <f>SUMIFS('Cable Schedule'!$W$2:$W$5688,'Cable Schedule'!$K$2:$K$5688,A82)</f>
        <v/>
      </c>
      <c r="H82" s="18">
        <f>'Read Me'!$B$14</f>
        <v/>
      </c>
      <c r="I82" s="15">
        <f>ROUNDUP(G82*(1+H82),-2)</f>
        <v/>
      </c>
      <c r="J82" s="19" t="n">
        <v>7000</v>
      </c>
      <c r="K82" s="12">
        <f>IF(J82&gt;0,ROUNDUP(I82/J82,0),0)</f>
        <v/>
      </c>
      <c r="L82" s="20">
        <f>I82*0.3048/1000</f>
        <v/>
      </c>
    </row>
    <row r="83">
      <c r="C83" s="21" t="inlineStr">
        <is>
          <t>Total</t>
        </is>
      </c>
      <c r="F83" s="22">
        <f>SUM(F2:F82)</f>
        <v/>
      </c>
      <c r="G83" s="22">
        <f>SUM(G2:G82)</f>
        <v/>
      </c>
      <c r="I83" s="22">
        <f>SUM(I2:I82)</f>
        <v/>
      </c>
      <c r="K83" s="22">
        <f>SUM(K2:K82)</f>
        <v/>
      </c>
      <c r="L83" s="23">
        <f>SUM(L2:L82)</f>
        <v/>
      </c>
    </row>
    <row r="85">
      <c r="A85"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Schedule'!X2:X5688)</f>
        <v/>
      </c>
    </row>
    <row r="3">
      <c r="A3" s="12" t="inlineStr">
        <is>
          <t>ARMOR-X / Type W connectors and glands</t>
        </is>
      </c>
      <c r="B3" s="17">
        <f>SUM('Cable Schedule'!Y2:Y5688)</f>
        <v/>
      </c>
    </row>
    <row r="4">
      <c r="A4" s="12" t="inlineStr">
        <is>
          <t>MV splice kits (allowance: 1 per 2,500 ft of MV 1/C)</t>
        </is>
      </c>
      <c r="B4" s="17">
        <f>ROUNDUP(SUMIFS('Cable Schedule'!W2:W5688,'Cable Schedule'!I2:I5688,"MV*",'Cable Schedule'!L2:L5688,"1/C")/2500,0)</f>
        <v/>
      </c>
    </row>
    <row r="5">
      <c r="A5" s="12" t="inlineStr">
        <is>
          <t>230 kV outdoor terminations</t>
        </is>
      </c>
      <c r="B5" s="17">
        <f>2*SUMIFS('Cable Schedule'!O2:O5688,'Cable Schedule'!I2:I5688,"HV 230 kV")</f>
        <v/>
      </c>
    </row>
    <row r="6">
      <c r="A6" s="12" t="inlineStr">
        <is>
          <t>600 V compression lugs (power, 4 per end)</t>
        </is>
      </c>
      <c r="B6" s="17">
        <f>2*4*SUMIFS('Cable Schedule'!N2:N5688,'Cable Schedule'!I2:I5688,"LV 600 V")</f>
        <v/>
      </c>
    </row>
    <row r="7">
      <c r="A7" s="12" t="inlineStr">
        <is>
          <t>Instrument / control cable glands (2 per run)</t>
        </is>
      </c>
      <c r="B7" s="17">
        <f>2*(COUNTIF('Cable Schedule'!I2:I5688,"Control")+COUNTIF('Cable Schedule'!I2:I5688,"Instrumentation"))</f>
        <v/>
      </c>
    </row>
    <row r="8">
      <c r="A8" s="12" t="inlineStr">
        <is>
          <t>Fibre patch / termination (2 per link)</t>
        </is>
      </c>
      <c r="B8" s="17">
        <f>2*COUNTIF('Cable Schedule'!I2:I5688,"Fibre / data")</f>
        <v/>
      </c>
    </row>
    <row r="9">
      <c r="A9" s="12" t="inlineStr">
        <is>
          <t>Ground connections: exothermic welds (allowance 1 per 25 ft of grid)</t>
        </is>
      </c>
      <c r="B9" s="17">
        <f>ROUNDUP(SUMIFS('Cable Schedule'!W2:W5688,'Cable Schedule'!I2:I5688,"Grounding")/25,0)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Schedule'!$W$2:$W$5688,'Cable Schedule'!$B$2:$B$5688,"A",'Cable Schedule'!$I$2:$I$5688,"MV 15 kV")</f>
        <v/>
      </c>
      <c r="C3" s="17">
        <f>SUMIFS('Cable Schedule'!$W$2:$W$5688,'Cable Schedule'!$B$2:$B$5688,"A",'Cable Schedule'!$I$2:$I$5688,"MV 5 kV")</f>
        <v/>
      </c>
      <c r="D3" s="17">
        <f>SUMIFS('Cable Schedule'!$W$2:$W$5688,'Cable Schedule'!$B$2:$B$5688,"A",'Cable Schedule'!$I$2:$I$5688,"MV 25 kV")</f>
        <v/>
      </c>
      <c r="E3" s="17">
        <f>SUMIFS('Cable Schedule'!$W$2:$W$5688,'Cable Schedule'!$B$2:$B$5688,"A",'Cable Schedule'!$I$2:$I$5688,"MV 35 kV")</f>
        <v/>
      </c>
      <c r="F3" s="17">
        <f>SUMIFS('Cable Schedule'!$W$2:$W$5688,'Cable Schedule'!$B$2:$B$5688,"A",'Cable Schedule'!$I$2:$I$5688,"HV 230 kV")</f>
        <v/>
      </c>
      <c r="G3" s="17">
        <f>SUMIFS('Cable Schedule'!$W$2:$W$5688,'Cable Schedule'!$B$2:$B$5688,"A",'Cable Schedule'!$I$2:$I$5688,"LV 600 V")</f>
        <v/>
      </c>
      <c r="H3" s="17">
        <f>SUMIFS('Cable Schedule'!$W$2:$W$5688,'Cable Schedule'!$B$2:$B$5688,"A",'Cable Schedule'!$I$2:$I$5688,"Control")</f>
        <v/>
      </c>
      <c r="I3" s="17">
        <f>SUMIFS('Cable Schedule'!$W$2:$W$5688,'Cable Schedule'!$B$2:$B$5688,"A",'Cable Schedule'!$I$2:$I$5688,"Instrumentation")</f>
        <v/>
      </c>
      <c r="J3" s="17">
        <f>SUMIFS('Cable Schedule'!$W$2:$W$5688,'Cable Schedule'!$B$2:$B$5688,"A",'Cable Schedule'!$I$2:$I$5688,"Fire alarm")</f>
        <v/>
      </c>
      <c r="K3" s="17">
        <f>SUMIFS('Cable Schedule'!$W$2:$W$5688,'Cable Schedule'!$B$2:$B$5688,"A",'Cable Schedule'!$I$2:$I$5688,"Fibre / data")</f>
        <v/>
      </c>
      <c r="L3" s="17">
        <f>SUMIFS('Cable Schedule'!$W$2:$W$5688,'Cable Schedule'!$B$2:$B$5688,"A",'Cable Schedule'!$I$2:$I$5688,"DC 2 kV")</f>
        <v/>
      </c>
      <c r="M3" s="17">
        <f>SUMIFS('Cable Schedule'!$W$2:$W$5688,'Cable Schedule'!$B$2:$B$5688,"A",'Cable Schedule'!$I$2:$I$5688,"Portable MV")</f>
        <v/>
      </c>
      <c r="N3" s="17">
        <f>SUMIFS('Cable Schedule'!$W$2:$W$5688,'Cable Schedule'!$B$2:$B$5688,"A",'Cable Schedule'!$I$2:$I$5688,"Portable LV")</f>
        <v/>
      </c>
      <c r="O3" s="17">
        <f>SUMIFS('Cable Schedule'!$W$2:$W$5688,'Cable Schedule'!$B$2:$B$5688,"A",'Cable Schedule'!$I$2:$I$5688,"Building wire")</f>
        <v/>
      </c>
      <c r="P3" s="17">
        <f>SUMIFS('Cable Schedule'!$W$2:$W$5688,'Cable Schedule'!$B$2:$B$5688,"A",'Cable Schedule'!$I$2:$I$5688,"Grounding")</f>
        <v/>
      </c>
      <c r="Q3" s="17">
        <f>SUMIFS('Cable Schedule'!$W$2:$W$5688,'Cable Schedule'!$B$2:$B$5688,"A",'Cable Schedule'!$I$2:$I$5688,"Overhead")</f>
        <v/>
      </c>
      <c r="R3" s="27">
        <f>SUM(B3:Q3)</f>
        <v/>
      </c>
    </row>
    <row r="4">
      <c r="A4" s="12" t="inlineStr">
        <is>
          <t>B  ACC</t>
        </is>
      </c>
      <c r="B4" s="17">
        <f>SUMIFS('Cable Schedule'!$W$2:$W$5688,'Cable Schedule'!$B$2:$B$5688,"B",'Cable Schedule'!$I$2:$I$5688,"MV 15 kV")</f>
        <v/>
      </c>
      <c r="C4" s="17">
        <f>SUMIFS('Cable Schedule'!$W$2:$W$5688,'Cable Schedule'!$B$2:$B$5688,"B",'Cable Schedule'!$I$2:$I$5688,"MV 5 kV")</f>
        <v/>
      </c>
      <c r="D4" s="17">
        <f>SUMIFS('Cable Schedule'!$W$2:$W$5688,'Cable Schedule'!$B$2:$B$5688,"B",'Cable Schedule'!$I$2:$I$5688,"MV 25 kV")</f>
        <v/>
      </c>
      <c r="E4" s="17">
        <f>SUMIFS('Cable Schedule'!$W$2:$W$5688,'Cable Schedule'!$B$2:$B$5688,"B",'Cable Schedule'!$I$2:$I$5688,"MV 35 kV")</f>
        <v/>
      </c>
      <c r="F4" s="17">
        <f>SUMIFS('Cable Schedule'!$W$2:$W$5688,'Cable Schedule'!$B$2:$B$5688,"B",'Cable Schedule'!$I$2:$I$5688,"HV 230 kV")</f>
        <v/>
      </c>
      <c r="G4" s="17">
        <f>SUMIFS('Cable Schedule'!$W$2:$W$5688,'Cable Schedule'!$B$2:$B$5688,"B",'Cable Schedule'!$I$2:$I$5688,"LV 600 V")</f>
        <v/>
      </c>
      <c r="H4" s="17">
        <f>SUMIFS('Cable Schedule'!$W$2:$W$5688,'Cable Schedule'!$B$2:$B$5688,"B",'Cable Schedule'!$I$2:$I$5688,"Control")</f>
        <v/>
      </c>
      <c r="I4" s="17">
        <f>SUMIFS('Cable Schedule'!$W$2:$W$5688,'Cable Schedule'!$B$2:$B$5688,"B",'Cable Schedule'!$I$2:$I$5688,"Instrumentation")</f>
        <v/>
      </c>
      <c r="J4" s="17">
        <f>SUMIFS('Cable Schedule'!$W$2:$W$5688,'Cable Schedule'!$B$2:$B$5688,"B",'Cable Schedule'!$I$2:$I$5688,"Fire alarm")</f>
        <v/>
      </c>
      <c r="K4" s="17">
        <f>SUMIFS('Cable Schedule'!$W$2:$W$5688,'Cable Schedule'!$B$2:$B$5688,"B",'Cable Schedule'!$I$2:$I$5688,"Fibre / data")</f>
        <v/>
      </c>
      <c r="L4" s="17">
        <f>SUMIFS('Cable Schedule'!$W$2:$W$5688,'Cable Schedule'!$B$2:$B$5688,"B",'Cable Schedule'!$I$2:$I$5688,"DC 2 kV")</f>
        <v/>
      </c>
      <c r="M4" s="17">
        <f>SUMIFS('Cable Schedule'!$W$2:$W$5688,'Cable Schedule'!$B$2:$B$5688,"B",'Cable Schedule'!$I$2:$I$5688,"Portable MV")</f>
        <v/>
      </c>
      <c r="N4" s="17">
        <f>SUMIFS('Cable Schedule'!$W$2:$W$5688,'Cable Schedule'!$B$2:$B$5688,"B",'Cable Schedule'!$I$2:$I$5688,"Portable LV")</f>
        <v/>
      </c>
      <c r="O4" s="17">
        <f>SUMIFS('Cable Schedule'!$W$2:$W$5688,'Cable Schedule'!$B$2:$B$5688,"B",'Cable Schedule'!$I$2:$I$5688,"Building wire")</f>
        <v/>
      </c>
      <c r="P4" s="17">
        <f>SUMIFS('Cable Schedule'!$W$2:$W$5688,'Cable Schedule'!$B$2:$B$5688,"B",'Cable Schedule'!$I$2:$I$5688,"Grounding")</f>
        <v/>
      </c>
      <c r="Q4" s="17">
        <f>SUMIFS('Cable Schedule'!$W$2:$W$5688,'Cable Schedule'!$B$2:$B$5688,"B",'Cable Schedule'!$I$2:$I$5688,"Overhead")</f>
        <v/>
      </c>
      <c r="R4" s="27">
        <f>SUM(B4:Q4)</f>
        <v/>
      </c>
    </row>
    <row r="5">
      <c r="A5" s="12" t="inlineStr">
        <is>
          <t>C  Grid interface</t>
        </is>
      </c>
      <c r="B5" s="17">
        <f>SUMIFS('Cable Schedule'!$W$2:$W$5688,'Cable Schedule'!$B$2:$B$5688,"C",'Cable Schedule'!$I$2:$I$5688,"MV 15 kV")</f>
        <v/>
      </c>
      <c r="C5" s="17">
        <f>SUMIFS('Cable Schedule'!$W$2:$W$5688,'Cable Schedule'!$B$2:$B$5688,"C",'Cable Schedule'!$I$2:$I$5688,"MV 5 kV")</f>
        <v/>
      </c>
      <c r="D5" s="17">
        <f>SUMIFS('Cable Schedule'!$W$2:$W$5688,'Cable Schedule'!$B$2:$B$5688,"C",'Cable Schedule'!$I$2:$I$5688,"MV 25 kV")</f>
        <v/>
      </c>
      <c r="E5" s="17">
        <f>SUMIFS('Cable Schedule'!$W$2:$W$5688,'Cable Schedule'!$B$2:$B$5688,"C",'Cable Schedule'!$I$2:$I$5688,"MV 35 kV")</f>
        <v/>
      </c>
      <c r="F5" s="17">
        <f>SUMIFS('Cable Schedule'!$W$2:$W$5688,'Cable Schedule'!$B$2:$B$5688,"C",'Cable Schedule'!$I$2:$I$5688,"HV 230 kV")</f>
        <v/>
      </c>
      <c r="G5" s="17">
        <f>SUMIFS('Cable Schedule'!$W$2:$W$5688,'Cable Schedule'!$B$2:$B$5688,"C",'Cable Schedule'!$I$2:$I$5688,"LV 600 V")</f>
        <v/>
      </c>
      <c r="H5" s="17">
        <f>SUMIFS('Cable Schedule'!$W$2:$W$5688,'Cable Schedule'!$B$2:$B$5688,"C",'Cable Schedule'!$I$2:$I$5688,"Control")</f>
        <v/>
      </c>
      <c r="I5" s="17">
        <f>SUMIFS('Cable Schedule'!$W$2:$W$5688,'Cable Schedule'!$B$2:$B$5688,"C",'Cable Schedule'!$I$2:$I$5688,"Instrumentation")</f>
        <v/>
      </c>
      <c r="J5" s="17">
        <f>SUMIFS('Cable Schedule'!$W$2:$W$5688,'Cable Schedule'!$B$2:$B$5688,"C",'Cable Schedule'!$I$2:$I$5688,"Fire alarm")</f>
        <v/>
      </c>
      <c r="K5" s="17">
        <f>SUMIFS('Cable Schedule'!$W$2:$W$5688,'Cable Schedule'!$B$2:$B$5688,"C",'Cable Schedule'!$I$2:$I$5688,"Fibre / data")</f>
        <v/>
      </c>
      <c r="L5" s="17">
        <f>SUMIFS('Cable Schedule'!$W$2:$W$5688,'Cable Schedule'!$B$2:$B$5688,"C",'Cable Schedule'!$I$2:$I$5688,"DC 2 kV")</f>
        <v/>
      </c>
      <c r="M5" s="17">
        <f>SUMIFS('Cable Schedule'!$W$2:$W$5688,'Cable Schedule'!$B$2:$B$5688,"C",'Cable Schedule'!$I$2:$I$5688,"Portable MV")</f>
        <v/>
      </c>
      <c r="N5" s="17">
        <f>SUMIFS('Cable Schedule'!$W$2:$W$5688,'Cable Schedule'!$B$2:$B$5688,"C",'Cable Schedule'!$I$2:$I$5688,"Portable LV")</f>
        <v/>
      </c>
      <c r="O5" s="17">
        <f>SUMIFS('Cable Schedule'!$W$2:$W$5688,'Cable Schedule'!$B$2:$B$5688,"C",'Cable Schedule'!$I$2:$I$5688,"Building wire")</f>
        <v/>
      </c>
      <c r="P5" s="17">
        <f>SUMIFS('Cable Schedule'!$W$2:$W$5688,'Cable Schedule'!$B$2:$B$5688,"C",'Cable Schedule'!$I$2:$I$5688,"Grounding")</f>
        <v/>
      </c>
      <c r="Q5" s="17">
        <f>SUMIFS('Cable Schedule'!$W$2:$W$5688,'Cable Schedule'!$B$2:$B$5688,"C",'Cable Schedule'!$I$2:$I$5688,"Overhead")</f>
        <v/>
      </c>
      <c r="R5" s="27">
        <f>SUM(B5:Q5)</f>
        <v/>
      </c>
    </row>
    <row r="6">
      <c r="A6" s="12" t="inlineStr">
        <is>
          <t>D  Fuel gas</t>
        </is>
      </c>
      <c r="B6" s="17">
        <f>SUMIFS('Cable Schedule'!$W$2:$W$5688,'Cable Schedule'!$B$2:$B$5688,"D",'Cable Schedule'!$I$2:$I$5688,"MV 15 kV")</f>
        <v/>
      </c>
      <c r="C6" s="17">
        <f>SUMIFS('Cable Schedule'!$W$2:$W$5688,'Cable Schedule'!$B$2:$B$5688,"D",'Cable Schedule'!$I$2:$I$5688,"MV 5 kV")</f>
        <v/>
      </c>
      <c r="D6" s="17">
        <f>SUMIFS('Cable Schedule'!$W$2:$W$5688,'Cable Schedule'!$B$2:$B$5688,"D",'Cable Schedule'!$I$2:$I$5688,"MV 25 kV")</f>
        <v/>
      </c>
      <c r="E6" s="17">
        <f>SUMIFS('Cable Schedule'!$W$2:$W$5688,'Cable Schedule'!$B$2:$B$5688,"D",'Cable Schedule'!$I$2:$I$5688,"MV 35 kV")</f>
        <v/>
      </c>
      <c r="F6" s="17">
        <f>SUMIFS('Cable Schedule'!$W$2:$W$5688,'Cable Schedule'!$B$2:$B$5688,"D",'Cable Schedule'!$I$2:$I$5688,"HV 230 kV")</f>
        <v/>
      </c>
      <c r="G6" s="17">
        <f>SUMIFS('Cable Schedule'!$W$2:$W$5688,'Cable Schedule'!$B$2:$B$5688,"D",'Cable Schedule'!$I$2:$I$5688,"LV 600 V")</f>
        <v/>
      </c>
      <c r="H6" s="17">
        <f>SUMIFS('Cable Schedule'!$W$2:$W$5688,'Cable Schedule'!$B$2:$B$5688,"D",'Cable Schedule'!$I$2:$I$5688,"Control")</f>
        <v/>
      </c>
      <c r="I6" s="17">
        <f>SUMIFS('Cable Schedule'!$W$2:$W$5688,'Cable Schedule'!$B$2:$B$5688,"D",'Cable Schedule'!$I$2:$I$5688,"Instrumentation")</f>
        <v/>
      </c>
      <c r="J6" s="17">
        <f>SUMIFS('Cable Schedule'!$W$2:$W$5688,'Cable Schedule'!$B$2:$B$5688,"D",'Cable Schedule'!$I$2:$I$5688,"Fire alarm")</f>
        <v/>
      </c>
      <c r="K6" s="17">
        <f>SUMIFS('Cable Schedule'!$W$2:$W$5688,'Cable Schedule'!$B$2:$B$5688,"D",'Cable Schedule'!$I$2:$I$5688,"Fibre / data")</f>
        <v/>
      </c>
      <c r="L6" s="17">
        <f>SUMIFS('Cable Schedule'!$W$2:$W$5688,'Cable Schedule'!$B$2:$B$5688,"D",'Cable Schedule'!$I$2:$I$5688,"DC 2 kV")</f>
        <v/>
      </c>
      <c r="M6" s="17">
        <f>SUMIFS('Cable Schedule'!$W$2:$W$5688,'Cable Schedule'!$B$2:$B$5688,"D",'Cable Schedule'!$I$2:$I$5688,"Portable MV")</f>
        <v/>
      </c>
      <c r="N6" s="17">
        <f>SUMIFS('Cable Schedule'!$W$2:$W$5688,'Cable Schedule'!$B$2:$B$5688,"D",'Cable Schedule'!$I$2:$I$5688,"Portable LV")</f>
        <v/>
      </c>
      <c r="O6" s="17">
        <f>SUMIFS('Cable Schedule'!$W$2:$W$5688,'Cable Schedule'!$B$2:$B$5688,"D",'Cable Schedule'!$I$2:$I$5688,"Building wire")</f>
        <v/>
      </c>
      <c r="P6" s="17">
        <f>SUMIFS('Cable Schedule'!$W$2:$W$5688,'Cable Schedule'!$B$2:$B$5688,"D",'Cable Schedule'!$I$2:$I$5688,"Grounding")</f>
        <v/>
      </c>
      <c r="Q6" s="17">
        <f>SUMIFS('Cable Schedule'!$W$2:$W$5688,'Cable Schedule'!$B$2:$B$5688,"D",'Cable Schedule'!$I$2:$I$5688,"Overhead")</f>
        <v/>
      </c>
      <c r="R6" s="27">
        <f>SUM(B6:Q6)</f>
        <v/>
      </c>
    </row>
    <row r="7">
      <c r="A7" s="12" t="inlineStr">
        <is>
          <t>E  Water / utilities</t>
        </is>
      </c>
      <c r="B7" s="17">
        <f>SUMIFS('Cable Schedule'!$W$2:$W$5688,'Cable Schedule'!$B$2:$B$5688,"E",'Cable Schedule'!$I$2:$I$5688,"MV 15 kV")</f>
        <v/>
      </c>
      <c r="C7" s="17">
        <f>SUMIFS('Cable Schedule'!$W$2:$W$5688,'Cable Schedule'!$B$2:$B$5688,"E",'Cable Schedule'!$I$2:$I$5688,"MV 5 kV")</f>
        <v/>
      </c>
      <c r="D7" s="17">
        <f>SUMIFS('Cable Schedule'!$W$2:$W$5688,'Cable Schedule'!$B$2:$B$5688,"E",'Cable Schedule'!$I$2:$I$5688,"MV 25 kV")</f>
        <v/>
      </c>
      <c r="E7" s="17">
        <f>SUMIFS('Cable Schedule'!$W$2:$W$5688,'Cable Schedule'!$B$2:$B$5688,"E",'Cable Schedule'!$I$2:$I$5688,"MV 35 kV")</f>
        <v/>
      </c>
      <c r="F7" s="17">
        <f>SUMIFS('Cable Schedule'!$W$2:$W$5688,'Cable Schedule'!$B$2:$B$5688,"E",'Cable Schedule'!$I$2:$I$5688,"HV 230 kV")</f>
        <v/>
      </c>
      <c r="G7" s="17">
        <f>SUMIFS('Cable Schedule'!$W$2:$W$5688,'Cable Schedule'!$B$2:$B$5688,"E",'Cable Schedule'!$I$2:$I$5688,"LV 600 V")</f>
        <v/>
      </c>
      <c r="H7" s="17">
        <f>SUMIFS('Cable Schedule'!$W$2:$W$5688,'Cable Schedule'!$B$2:$B$5688,"E",'Cable Schedule'!$I$2:$I$5688,"Control")</f>
        <v/>
      </c>
      <c r="I7" s="17">
        <f>SUMIFS('Cable Schedule'!$W$2:$W$5688,'Cable Schedule'!$B$2:$B$5688,"E",'Cable Schedule'!$I$2:$I$5688,"Instrumentation")</f>
        <v/>
      </c>
      <c r="J7" s="17">
        <f>SUMIFS('Cable Schedule'!$W$2:$W$5688,'Cable Schedule'!$B$2:$B$5688,"E",'Cable Schedule'!$I$2:$I$5688,"Fire alarm")</f>
        <v/>
      </c>
      <c r="K7" s="17">
        <f>SUMIFS('Cable Schedule'!$W$2:$W$5688,'Cable Schedule'!$B$2:$B$5688,"E",'Cable Schedule'!$I$2:$I$5688,"Fibre / data")</f>
        <v/>
      </c>
      <c r="L7" s="17">
        <f>SUMIFS('Cable Schedule'!$W$2:$W$5688,'Cable Schedule'!$B$2:$B$5688,"E",'Cable Schedule'!$I$2:$I$5688,"DC 2 kV")</f>
        <v/>
      </c>
      <c r="M7" s="17">
        <f>SUMIFS('Cable Schedule'!$W$2:$W$5688,'Cable Schedule'!$B$2:$B$5688,"E",'Cable Schedule'!$I$2:$I$5688,"Portable MV")</f>
        <v/>
      </c>
      <c r="N7" s="17">
        <f>SUMIFS('Cable Schedule'!$W$2:$W$5688,'Cable Schedule'!$B$2:$B$5688,"E",'Cable Schedule'!$I$2:$I$5688,"Portable LV")</f>
        <v/>
      </c>
      <c r="O7" s="17">
        <f>SUMIFS('Cable Schedule'!$W$2:$W$5688,'Cable Schedule'!$B$2:$B$5688,"E",'Cable Schedule'!$I$2:$I$5688,"Building wire")</f>
        <v/>
      </c>
      <c r="P7" s="17">
        <f>SUMIFS('Cable Schedule'!$W$2:$W$5688,'Cable Schedule'!$B$2:$B$5688,"E",'Cable Schedule'!$I$2:$I$5688,"Grounding")</f>
        <v/>
      </c>
      <c r="Q7" s="17">
        <f>SUMIFS('Cable Schedule'!$W$2:$W$5688,'Cable Schedule'!$B$2:$B$5688,"E",'Cable Schedule'!$I$2:$I$5688,"Overhead")</f>
        <v/>
      </c>
      <c r="R7" s="27">
        <f>SUM(B7:Q7)</f>
        <v/>
      </c>
    </row>
    <row r="8">
      <c r="A8" s="12" t="inlineStr">
        <is>
          <t>F  Controls / service</t>
        </is>
      </c>
      <c r="B8" s="17">
        <f>SUMIFS('Cable Schedule'!$W$2:$W$5688,'Cable Schedule'!$B$2:$B$5688,"F",'Cable Schedule'!$I$2:$I$5688,"MV 15 kV")</f>
        <v/>
      </c>
      <c r="C8" s="17">
        <f>SUMIFS('Cable Schedule'!$W$2:$W$5688,'Cable Schedule'!$B$2:$B$5688,"F",'Cable Schedule'!$I$2:$I$5688,"MV 5 kV")</f>
        <v/>
      </c>
      <c r="D8" s="17">
        <f>SUMIFS('Cable Schedule'!$W$2:$W$5688,'Cable Schedule'!$B$2:$B$5688,"F",'Cable Schedule'!$I$2:$I$5688,"MV 25 kV")</f>
        <v/>
      </c>
      <c r="E8" s="17">
        <f>SUMIFS('Cable Schedule'!$W$2:$W$5688,'Cable Schedule'!$B$2:$B$5688,"F",'Cable Schedule'!$I$2:$I$5688,"MV 35 kV")</f>
        <v/>
      </c>
      <c r="F8" s="17">
        <f>SUMIFS('Cable Schedule'!$W$2:$W$5688,'Cable Schedule'!$B$2:$B$5688,"F",'Cable Schedule'!$I$2:$I$5688,"HV 230 kV")</f>
        <v/>
      </c>
      <c r="G8" s="17">
        <f>SUMIFS('Cable Schedule'!$W$2:$W$5688,'Cable Schedule'!$B$2:$B$5688,"F",'Cable Schedule'!$I$2:$I$5688,"LV 600 V")</f>
        <v/>
      </c>
      <c r="H8" s="17">
        <f>SUMIFS('Cable Schedule'!$W$2:$W$5688,'Cable Schedule'!$B$2:$B$5688,"F",'Cable Schedule'!$I$2:$I$5688,"Control")</f>
        <v/>
      </c>
      <c r="I8" s="17">
        <f>SUMIFS('Cable Schedule'!$W$2:$W$5688,'Cable Schedule'!$B$2:$B$5688,"F",'Cable Schedule'!$I$2:$I$5688,"Instrumentation")</f>
        <v/>
      </c>
      <c r="J8" s="17">
        <f>SUMIFS('Cable Schedule'!$W$2:$W$5688,'Cable Schedule'!$B$2:$B$5688,"F",'Cable Schedule'!$I$2:$I$5688,"Fire alarm")</f>
        <v/>
      </c>
      <c r="K8" s="17">
        <f>SUMIFS('Cable Schedule'!$W$2:$W$5688,'Cable Schedule'!$B$2:$B$5688,"F",'Cable Schedule'!$I$2:$I$5688,"Fibre / data")</f>
        <v/>
      </c>
      <c r="L8" s="17">
        <f>SUMIFS('Cable Schedule'!$W$2:$W$5688,'Cable Schedule'!$B$2:$B$5688,"F",'Cable Schedule'!$I$2:$I$5688,"DC 2 kV")</f>
        <v/>
      </c>
      <c r="M8" s="17">
        <f>SUMIFS('Cable Schedule'!$W$2:$W$5688,'Cable Schedule'!$B$2:$B$5688,"F",'Cable Schedule'!$I$2:$I$5688,"Portable MV")</f>
        <v/>
      </c>
      <c r="N8" s="17">
        <f>SUMIFS('Cable Schedule'!$W$2:$W$5688,'Cable Schedule'!$B$2:$B$5688,"F",'Cable Schedule'!$I$2:$I$5688,"Portable LV")</f>
        <v/>
      </c>
      <c r="O8" s="17">
        <f>SUMIFS('Cable Schedule'!$W$2:$W$5688,'Cable Schedule'!$B$2:$B$5688,"F",'Cable Schedule'!$I$2:$I$5688,"Building wire")</f>
        <v/>
      </c>
      <c r="P8" s="17">
        <f>SUMIFS('Cable Schedule'!$W$2:$W$5688,'Cable Schedule'!$B$2:$B$5688,"F",'Cable Schedule'!$I$2:$I$5688,"Grounding")</f>
        <v/>
      </c>
      <c r="Q8" s="17">
        <f>SUMIFS('Cable Schedule'!$W$2:$W$5688,'Cable Schedule'!$B$2:$B$5688,"F",'Cable Schedule'!$I$2:$I$5688,"Overhead")</f>
        <v/>
      </c>
      <c r="R8" s="27">
        <f>SUM(B8:Q8)</f>
        <v/>
      </c>
    </row>
    <row r="9">
      <c r="A9" s="12" t="inlineStr">
        <is>
          <t>G  Carbon capture</t>
        </is>
      </c>
      <c r="B9" s="17">
        <f>SUMIFS('Cable Schedule'!$W$2:$W$5688,'Cable Schedule'!$B$2:$B$5688,"G",'Cable Schedule'!$I$2:$I$5688,"MV 15 kV")</f>
        <v/>
      </c>
      <c r="C9" s="17">
        <f>SUMIFS('Cable Schedule'!$W$2:$W$5688,'Cable Schedule'!$B$2:$B$5688,"G",'Cable Schedule'!$I$2:$I$5688,"MV 5 kV")</f>
        <v/>
      </c>
      <c r="D9" s="17">
        <f>SUMIFS('Cable Schedule'!$W$2:$W$5688,'Cable Schedule'!$B$2:$B$5688,"G",'Cable Schedule'!$I$2:$I$5688,"MV 25 kV")</f>
        <v/>
      </c>
      <c r="E9" s="17">
        <f>SUMIFS('Cable Schedule'!$W$2:$W$5688,'Cable Schedule'!$B$2:$B$5688,"G",'Cable Schedule'!$I$2:$I$5688,"MV 35 kV")</f>
        <v/>
      </c>
      <c r="F9" s="17">
        <f>SUMIFS('Cable Schedule'!$W$2:$W$5688,'Cable Schedule'!$B$2:$B$5688,"G",'Cable Schedule'!$I$2:$I$5688,"HV 230 kV")</f>
        <v/>
      </c>
      <c r="G9" s="17">
        <f>SUMIFS('Cable Schedule'!$W$2:$W$5688,'Cable Schedule'!$B$2:$B$5688,"G",'Cable Schedule'!$I$2:$I$5688,"LV 600 V")</f>
        <v/>
      </c>
      <c r="H9" s="17">
        <f>SUMIFS('Cable Schedule'!$W$2:$W$5688,'Cable Schedule'!$B$2:$B$5688,"G",'Cable Schedule'!$I$2:$I$5688,"Control")</f>
        <v/>
      </c>
      <c r="I9" s="17">
        <f>SUMIFS('Cable Schedule'!$W$2:$W$5688,'Cable Schedule'!$B$2:$B$5688,"G",'Cable Schedule'!$I$2:$I$5688,"Instrumentation")</f>
        <v/>
      </c>
      <c r="J9" s="17">
        <f>SUMIFS('Cable Schedule'!$W$2:$W$5688,'Cable Schedule'!$B$2:$B$5688,"G",'Cable Schedule'!$I$2:$I$5688,"Fire alarm")</f>
        <v/>
      </c>
      <c r="K9" s="17">
        <f>SUMIFS('Cable Schedule'!$W$2:$W$5688,'Cable Schedule'!$B$2:$B$5688,"G",'Cable Schedule'!$I$2:$I$5688,"Fibre / data")</f>
        <v/>
      </c>
      <c r="L9" s="17">
        <f>SUMIFS('Cable Schedule'!$W$2:$W$5688,'Cable Schedule'!$B$2:$B$5688,"G",'Cable Schedule'!$I$2:$I$5688,"DC 2 kV")</f>
        <v/>
      </c>
      <c r="M9" s="17">
        <f>SUMIFS('Cable Schedule'!$W$2:$W$5688,'Cable Schedule'!$B$2:$B$5688,"G",'Cable Schedule'!$I$2:$I$5688,"Portable MV")</f>
        <v/>
      </c>
      <c r="N9" s="17">
        <f>SUMIFS('Cable Schedule'!$W$2:$W$5688,'Cable Schedule'!$B$2:$B$5688,"G",'Cable Schedule'!$I$2:$I$5688,"Portable LV")</f>
        <v/>
      </c>
      <c r="O9" s="17">
        <f>SUMIFS('Cable Schedule'!$W$2:$W$5688,'Cable Schedule'!$B$2:$B$5688,"G",'Cable Schedule'!$I$2:$I$5688,"Building wire")</f>
        <v/>
      </c>
      <c r="P9" s="17">
        <f>SUMIFS('Cable Schedule'!$W$2:$W$5688,'Cable Schedule'!$B$2:$B$5688,"G",'Cable Schedule'!$I$2:$I$5688,"Grounding")</f>
        <v/>
      </c>
      <c r="Q9" s="17">
        <f>SUMIFS('Cable Schedule'!$W$2:$W$5688,'Cable Schedule'!$B$2:$B$5688,"G",'Cable Schedule'!$I$2:$I$5688,"Overhead")</f>
        <v/>
      </c>
      <c r="R9" s="27">
        <f>SUM(B9:Q9)</f>
        <v/>
      </c>
    </row>
    <row r="10">
      <c r="A10" s="12" t="inlineStr">
        <is>
          <t>H  BESS</t>
        </is>
      </c>
      <c r="B10" s="17">
        <f>SUMIFS('Cable Schedule'!$W$2:$W$5688,'Cable Schedule'!$B$2:$B$5688,"H",'Cable Schedule'!$I$2:$I$5688,"MV 15 kV")</f>
        <v/>
      </c>
      <c r="C10" s="17">
        <f>SUMIFS('Cable Schedule'!$W$2:$W$5688,'Cable Schedule'!$B$2:$B$5688,"H",'Cable Schedule'!$I$2:$I$5688,"MV 5 kV")</f>
        <v/>
      </c>
      <c r="D10" s="17">
        <f>SUMIFS('Cable Schedule'!$W$2:$W$5688,'Cable Schedule'!$B$2:$B$5688,"H",'Cable Schedule'!$I$2:$I$5688,"MV 25 kV")</f>
        <v/>
      </c>
      <c r="E10" s="17">
        <f>SUMIFS('Cable Schedule'!$W$2:$W$5688,'Cable Schedule'!$B$2:$B$5688,"H",'Cable Schedule'!$I$2:$I$5688,"MV 35 kV")</f>
        <v/>
      </c>
      <c r="F10" s="17">
        <f>SUMIFS('Cable Schedule'!$W$2:$W$5688,'Cable Schedule'!$B$2:$B$5688,"H",'Cable Schedule'!$I$2:$I$5688,"HV 230 kV")</f>
        <v/>
      </c>
      <c r="G10" s="17">
        <f>SUMIFS('Cable Schedule'!$W$2:$W$5688,'Cable Schedule'!$B$2:$B$5688,"H",'Cable Schedule'!$I$2:$I$5688,"LV 600 V")</f>
        <v/>
      </c>
      <c r="H10" s="17">
        <f>SUMIFS('Cable Schedule'!$W$2:$W$5688,'Cable Schedule'!$B$2:$B$5688,"H",'Cable Schedule'!$I$2:$I$5688,"Control")</f>
        <v/>
      </c>
      <c r="I10" s="17">
        <f>SUMIFS('Cable Schedule'!$W$2:$W$5688,'Cable Schedule'!$B$2:$B$5688,"H",'Cable Schedule'!$I$2:$I$5688,"Instrumentation")</f>
        <v/>
      </c>
      <c r="J10" s="17">
        <f>SUMIFS('Cable Schedule'!$W$2:$W$5688,'Cable Schedule'!$B$2:$B$5688,"H",'Cable Schedule'!$I$2:$I$5688,"Fire alarm")</f>
        <v/>
      </c>
      <c r="K10" s="17">
        <f>SUMIFS('Cable Schedule'!$W$2:$W$5688,'Cable Schedule'!$B$2:$B$5688,"H",'Cable Schedule'!$I$2:$I$5688,"Fibre / data")</f>
        <v/>
      </c>
      <c r="L10" s="17">
        <f>SUMIFS('Cable Schedule'!$W$2:$W$5688,'Cable Schedule'!$B$2:$B$5688,"H",'Cable Schedule'!$I$2:$I$5688,"DC 2 kV")</f>
        <v/>
      </c>
      <c r="M10" s="17">
        <f>SUMIFS('Cable Schedule'!$W$2:$W$5688,'Cable Schedule'!$B$2:$B$5688,"H",'Cable Schedule'!$I$2:$I$5688,"Portable MV")</f>
        <v/>
      </c>
      <c r="N10" s="17">
        <f>SUMIFS('Cable Schedule'!$W$2:$W$5688,'Cable Schedule'!$B$2:$B$5688,"H",'Cable Schedule'!$I$2:$I$5688,"Portable LV")</f>
        <v/>
      </c>
      <c r="O10" s="17">
        <f>SUMIFS('Cable Schedule'!$W$2:$W$5688,'Cable Schedule'!$B$2:$B$5688,"H",'Cable Schedule'!$I$2:$I$5688,"Building wire")</f>
        <v/>
      </c>
      <c r="P10" s="17">
        <f>SUMIFS('Cable Schedule'!$W$2:$W$5688,'Cable Schedule'!$B$2:$B$5688,"H",'Cable Schedule'!$I$2:$I$5688,"Grounding")</f>
        <v/>
      </c>
      <c r="Q10" s="17">
        <f>SUMIFS('Cable Schedule'!$W$2:$W$5688,'Cable Schedule'!$B$2:$B$5688,"H",'Cable Schedule'!$I$2:$I$5688,"Overhead")</f>
        <v/>
      </c>
      <c r="R10" s="27">
        <f>SUM(B10:Q10)</f>
        <v/>
      </c>
    </row>
    <row r="11">
      <c r="A11" s="12" t="inlineStr">
        <is>
          <t>I  Modular / portable power</t>
        </is>
      </c>
      <c r="B11" s="17">
        <f>SUMIFS('Cable Schedule'!$W$2:$W$5688,'Cable Schedule'!$B$2:$B$5688,"I",'Cable Schedule'!$I$2:$I$5688,"MV 15 kV")</f>
        <v/>
      </c>
      <c r="C11" s="17">
        <f>SUMIFS('Cable Schedule'!$W$2:$W$5688,'Cable Schedule'!$B$2:$B$5688,"I",'Cable Schedule'!$I$2:$I$5688,"MV 5 kV")</f>
        <v/>
      </c>
      <c r="D11" s="17">
        <f>SUMIFS('Cable Schedule'!$W$2:$W$5688,'Cable Schedule'!$B$2:$B$5688,"I",'Cable Schedule'!$I$2:$I$5688,"MV 25 kV")</f>
        <v/>
      </c>
      <c r="E11" s="17">
        <f>SUMIFS('Cable Schedule'!$W$2:$W$5688,'Cable Schedule'!$B$2:$B$5688,"I",'Cable Schedule'!$I$2:$I$5688,"MV 35 kV")</f>
        <v/>
      </c>
      <c r="F11" s="17">
        <f>SUMIFS('Cable Schedule'!$W$2:$W$5688,'Cable Schedule'!$B$2:$B$5688,"I",'Cable Schedule'!$I$2:$I$5688,"HV 230 kV")</f>
        <v/>
      </c>
      <c r="G11" s="17">
        <f>SUMIFS('Cable Schedule'!$W$2:$W$5688,'Cable Schedule'!$B$2:$B$5688,"I",'Cable Schedule'!$I$2:$I$5688,"LV 600 V")</f>
        <v/>
      </c>
      <c r="H11" s="17">
        <f>SUMIFS('Cable Schedule'!$W$2:$W$5688,'Cable Schedule'!$B$2:$B$5688,"I",'Cable Schedule'!$I$2:$I$5688,"Control")</f>
        <v/>
      </c>
      <c r="I11" s="17">
        <f>SUMIFS('Cable Schedule'!$W$2:$W$5688,'Cable Schedule'!$B$2:$B$5688,"I",'Cable Schedule'!$I$2:$I$5688,"Instrumentation")</f>
        <v/>
      </c>
      <c r="J11" s="17">
        <f>SUMIFS('Cable Schedule'!$W$2:$W$5688,'Cable Schedule'!$B$2:$B$5688,"I",'Cable Schedule'!$I$2:$I$5688,"Fire alarm")</f>
        <v/>
      </c>
      <c r="K11" s="17">
        <f>SUMIFS('Cable Schedule'!$W$2:$W$5688,'Cable Schedule'!$B$2:$B$5688,"I",'Cable Schedule'!$I$2:$I$5688,"Fibre / data")</f>
        <v/>
      </c>
      <c r="L11" s="17">
        <f>SUMIFS('Cable Schedule'!$W$2:$W$5688,'Cable Schedule'!$B$2:$B$5688,"I",'Cable Schedule'!$I$2:$I$5688,"DC 2 kV")</f>
        <v/>
      </c>
      <c r="M11" s="17">
        <f>SUMIFS('Cable Schedule'!$W$2:$W$5688,'Cable Schedule'!$B$2:$B$5688,"I",'Cable Schedule'!$I$2:$I$5688,"Portable MV")</f>
        <v/>
      </c>
      <c r="N11" s="17">
        <f>SUMIFS('Cable Schedule'!$W$2:$W$5688,'Cable Schedule'!$B$2:$B$5688,"I",'Cable Schedule'!$I$2:$I$5688,"Portable LV")</f>
        <v/>
      </c>
      <c r="O11" s="17">
        <f>SUMIFS('Cable Schedule'!$W$2:$W$5688,'Cable Schedule'!$B$2:$B$5688,"I",'Cable Schedule'!$I$2:$I$5688,"Building wire")</f>
        <v/>
      </c>
      <c r="P11" s="17">
        <f>SUMIFS('Cable Schedule'!$W$2:$W$5688,'Cable Schedule'!$B$2:$B$5688,"I",'Cable Schedule'!$I$2:$I$5688,"Grounding")</f>
        <v/>
      </c>
      <c r="Q11" s="17">
        <f>SUMIFS('Cable Schedule'!$W$2:$W$5688,'Cable Schedule'!$B$2:$B$5688,"I",'Cable Schedule'!$I$2:$I$5688,"Overhead")</f>
        <v/>
      </c>
      <c r="R11" s="27">
        <f>SUM(B11:Q11)</f>
        <v/>
      </c>
    </row>
    <row r="12">
      <c r="A12" s="12" t="inlineStr">
        <is>
          <t>J  GT inlet chilling</t>
        </is>
      </c>
      <c r="B12" s="17">
        <f>SUMIFS('Cable Schedule'!$W$2:$W$5688,'Cable Schedule'!$B$2:$B$5688,"J",'Cable Schedule'!$I$2:$I$5688,"MV 15 kV")</f>
        <v/>
      </c>
      <c r="C12" s="17">
        <f>SUMIFS('Cable Schedule'!$W$2:$W$5688,'Cable Schedule'!$B$2:$B$5688,"J",'Cable Schedule'!$I$2:$I$5688,"MV 5 kV")</f>
        <v/>
      </c>
      <c r="D12" s="17">
        <f>SUMIFS('Cable Schedule'!$W$2:$W$5688,'Cable Schedule'!$B$2:$B$5688,"J",'Cable Schedule'!$I$2:$I$5688,"MV 25 kV")</f>
        <v/>
      </c>
      <c r="E12" s="17">
        <f>SUMIFS('Cable Schedule'!$W$2:$W$5688,'Cable Schedule'!$B$2:$B$5688,"J",'Cable Schedule'!$I$2:$I$5688,"MV 35 kV")</f>
        <v/>
      </c>
      <c r="F12" s="17">
        <f>SUMIFS('Cable Schedule'!$W$2:$W$5688,'Cable Schedule'!$B$2:$B$5688,"J",'Cable Schedule'!$I$2:$I$5688,"HV 230 kV")</f>
        <v/>
      </c>
      <c r="G12" s="17">
        <f>SUMIFS('Cable Schedule'!$W$2:$W$5688,'Cable Schedule'!$B$2:$B$5688,"J",'Cable Schedule'!$I$2:$I$5688,"LV 600 V")</f>
        <v/>
      </c>
      <c r="H12" s="17">
        <f>SUMIFS('Cable Schedule'!$W$2:$W$5688,'Cable Schedule'!$B$2:$B$5688,"J",'Cable Schedule'!$I$2:$I$5688,"Control")</f>
        <v/>
      </c>
      <c r="I12" s="17">
        <f>SUMIFS('Cable Schedule'!$W$2:$W$5688,'Cable Schedule'!$B$2:$B$5688,"J",'Cable Schedule'!$I$2:$I$5688,"Instrumentation")</f>
        <v/>
      </c>
      <c r="J12" s="17">
        <f>SUMIFS('Cable Schedule'!$W$2:$W$5688,'Cable Schedule'!$B$2:$B$5688,"J",'Cable Schedule'!$I$2:$I$5688,"Fire alarm")</f>
        <v/>
      </c>
      <c r="K12" s="17">
        <f>SUMIFS('Cable Schedule'!$W$2:$W$5688,'Cable Schedule'!$B$2:$B$5688,"J",'Cable Schedule'!$I$2:$I$5688,"Fibre / data")</f>
        <v/>
      </c>
      <c r="L12" s="17">
        <f>SUMIFS('Cable Schedule'!$W$2:$W$5688,'Cable Schedule'!$B$2:$B$5688,"J",'Cable Schedule'!$I$2:$I$5688,"DC 2 kV")</f>
        <v/>
      </c>
      <c r="M12" s="17">
        <f>SUMIFS('Cable Schedule'!$W$2:$W$5688,'Cable Schedule'!$B$2:$B$5688,"J",'Cable Schedule'!$I$2:$I$5688,"Portable MV")</f>
        <v/>
      </c>
      <c r="N12" s="17">
        <f>SUMIFS('Cable Schedule'!$W$2:$W$5688,'Cable Schedule'!$B$2:$B$5688,"J",'Cable Schedule'!$I$2:$I$5688,"Portable LV")</f>
        <v/>
      </c>
      <c r="O12" s="17">
        <f>SUMIFS('Cable Schedule'!$W$2:$W$5688,'Cable Schedule'!$B$2:$B$5688,"J",'Cable Schedule'!$I$2:$I$5688,"Building wire")</f>
        <v/>
      </c>
      <c r="P12" s="17">
        <f>SUMIFS('Cable Schedule'!$W$2:$W$5688,'Cable Schedule'!$B$2:$B$5688,"J",'Cable Schedule'!$I$2:$I$5688,"Grounding")</f>
        <v/>
      </c>
      <c r="Q12" s="17">
        <f>SUMIFS('Cable Schedule'!$W$2:$W$5688,'Cable Schedule'!$B$2:$B$5688,"J",'Cable Schedule'!$I$2:$I$5688,"Overhead")</f>
        <v/>
      </c>
      <c r="R12" s="27">
        <f>SUM(B12:Q12)</f>
        <v/>
      </c>
    </row>
    <row r="13">
      <c r="A13" s="12" t="inlineStr">
        <is>
          <t>K  Fuel supply (adjacent market)</t>
        </is>
      </c>
      <c r="B13" s="17">
        <f>SUMIFS('Cable Schedule'!$W$2:$W$5688,'Cable Schedule'!$B$2:$B$5688,"K",'Cable Schedule'!$I$2:$I$5688,"MV 15 kV")</f>
        <v/>
      </c>
      <c r="C13" s="17">
        <f>SUMIFS('Cable Schedule'!$W$2:$W$5688,'Cable Schedule'!$B$2:$B$5688,"K",'Cable Schedule'!$I$2:$I$5688,"MV 5 kV")</f>
        <v/>
      </c>
      <c r="D13" s="17">
        <f>SUMIFS('Cable Schedule'!$W$2:$W$5688,'Cable Schedule'!$B$2:$B$5688,"K",'Cable Schedule'!$I$2:$I$5688,"MV 25 kV")</f>
        <v/>
      </c>
      <c r="E13" s="17">
        <f>SUMIFS('Cable Schedule'!$W$2:$W$5688,'Cable Schedule'!$B$2:$B$5688,"K",'Cable Schedule'!$I$2:$I$5688,"MV 35 kV")</f>
        <v/>
      </c>
      <c r="F13" s="17">
        <f>SUMIFS('Cable Schedule'!$W$2:$W$5688,'Cable Schedule'!$B$2:$B$5688,"K",'Cable Schedule'!$I$2:$I$5688,"HV 230 kV")</f>
        <v/>
      </c>
      <c r="G13" s="17">
        <f>SUMIFS('Cable Schedule'!$W$2:$W$5688,'Cable Schedule'!$B$2:$B$5688,"K",'Cable Schedule'!$I$2:$I$5688,"LV 600 V")</f>
        <v/>
      </c>
      <c r="H13" s="17">
        <f>SUMIFS('Cable Schedule'!$W$2:$W$5688,'Cable Schedule'!$B$2:$B$5688,"K",'Cable Schedule'!$I$2:$I$5688,"Control")</f>
        <v/>
      </c>
      <c r="I13" s="17">
        <f>SUMIFS('Cable Schedule'!$W$2:$W$5688,'Cable Schedule'!$B$2:$B$5688,"K",'Cable Schedule'!$I$2:$I$5688,"Instrumentation")</f>
        <v/>
      </c>
      <c r="J13" s="17">
        <f>SUMIFS('Cable Schedule'!$W$2:$W$5688,'Cable Schedule'!$B$2:$B$5688,"K",'Cable Schedule'!$I$2:$I$5688,"Fire alarm")</f>
        <v/>
      </c>
      <c r="K13" s="17">
        <f>SUMIFS('Cable Schedule'!$W$2:$W$5688,'Cable Schedule'!$B$2:$B$5688,"K",'Cable Schedule'!$I$2:$I$5688,"Fibre / data")</f>
        <v/>
      </c>
      <c r="L13" s="17">
        <f>SUMIFS('Cable Schedule'!$W$2:$W$5688,'Cable Schedule'!$B$2:$B$5688,"K",'Cable Schedule'!$I$2:$I$5688,"DC 2 kV")</f>
        <v/>
      </c>
      <c r="M13" s="17">
        <f>SUMIFS('Cable Schedule'!$W$2:$W$5688,'Cable Schedule'!$B$2:$B$5688,"K",'Cable Schedule'!$I$2:$I$5688,"Portable MV")</f>
        <v/>
      </c>
      <c r="N13" s="17">
        <f>SUMIFS('Cable Schedule'!$W$2:$W$5688,'Cable Schedule'!$B$2:$B$5688,"K",'Cable Schedule'!$I$2:$I$5688,"Portable LV")</f>
        <v/>
      </c>
      <c r="O13" s="17">
        <f>SUMIFS('Cable Schedule'!$W$2:$W$5688,'Cable Schedule'!$B$2:$B$5688,"K",'Cable Schedule'!$I$2:$I$5688,"Building wire")</f>
        <v/>
      </c>
      <c r="P13" s="17">
        <f>SUMIFS('Cable Schedule'!$W$2:$W$5688,'Cable Schedule'!$B$2:$B$5688,"K",'Cable Schedule'!$I$2:$I$5688,"Grounding")</f>
        <v/>
      </c>
      <c r="Q13" s="17">
        <f>SUMIFS('Cable Schedule'!$W$2:$W$5688,'Cable Schedule'!$B$2:$B$5688,"K",'Cable Schedule'!$I$2:$I$5688,"Overhead")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Schedule'!B2:B5688,"?")</f>
        <v/>
      </c>
    </row>
    <row r="18">
      <c r="A18" s="21" t="inlineStr">
        <is>
          <t>Cables (count)</t>
        </is>
      </c>
      <c r="B18" s="17">
        <f>SUM('Cable Schedule'!AA2:AA5688)</f>
        <v/>
      </c>
    </row>
    <row r="20">
      <c r="A20" s="21" t="inlineStr">
        <is>
          <t>Device count behind the schedule (typical for each equipment class)</t>
        </is>
      </c>
    </row>
    <row r="21">
      <c r="A21" s="12" t="inlineStr">
        <is>
          <t>Analog instruments</t>
        </is>
      </c>
      <c r="B21" s="29" t="n">
        <v>5967</v>
      </c>
    </row>
    <row r="22">
      <c r="A22" s="12" t="inlineStr">
        <is>
          <t>Discrete devices</t>
        </is>
      </c>
      <c r="B22" s="29" t="n">
        <v>6271</v>
      </c>
    </row>
    <row r="23">
      <c r="A23" s="12" t="inlineStr">
        <is>
          <t>Thermocouples</t>
        </is>
      </c>
      <c r="B23" s="29" t="n">
        <v>832</v>
      </c>
    </row>
    <row r="24">
      <c r="A24" s="12" t="inlineStr">
        <is>
          <t>RTDs</t>
        </is>
      </c>
      <c r="B24" s="29" t="n">
        <v>450</v>
      </c>
    </row>
    <row r="25">
      <c r="A25" s="12" t="inlineStr">
        <is>
          <t>Solenoids</t>
        </is>
      </c>
      <c r="B25" s="29" t="n">
        <v>544</v>
      </c>
    </row>
    <row r="26">
      <c r="A26" s="12" t="inlineStr">
        <is>
          <t>LV motors</t>
        </is>
      </c>
      <c r="B26" s="29" t="n">
        <v>720</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4"/>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R2B: unit / HRSG electrical e-house (32 x 40 ft)</t>
        </is>
      </c>
      <c r="I5" s="12" t="inlineStr">
        <is>
          <t>LV 600 V</t>
        </is>
      </c>
      <c r="J5" s="12" t="inlineStr">
        <is>
          <t>10</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R2B: unit / HRSG electrical e-house (32 x 40 ft)</t>
        </is>
      </c>
      <c r="I6" s="12" t="inlineStr">
        <is>
          <t>LV 600 V</t>
        </is>
      </c>
      <c r="J6" s="12" t="inlineStr">
        <is>
          <t>10</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R2B: unit / HRSG electrical e-house (32 x 40 ft)</t>
        </is>
      </c>
      <c r="I7" s="12" t="inlineStr">
        <is>
          <t>LV 600 V</t>
        </is>
      </c>
      <c r="J7" s="12" t="inlineStr">
        <is>
          <t>10</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R2B: unit / HRSG electrical e-house (32 x 40 ft)</t>
        </is>
      </c>
      <c r="I8" s="12" t="inlineStr">
        <is>
          <t>LV 600 V</t>
        </is>
      </c>
      <c r="J8" s="12" t="inlineStr">
        <is>
          <t>10</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R2C: unit / HRSG electrical e-house (32 x 40 ft)</t>
        </is>
      </c>
      <c r="I9" s="12" t="inlineStr">
        <is>
          <t>LV 600 V</t>
        </is>
      </c>
      <c r="J9" s="12" t="inlineStr">
        <is>
          <t>10</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R2C: unit / HRSG electrical e-house (32 x 40 ft)</t>
        </is>
      </c>
      <c r="I10" s="12" t="inlineStr">
        <is>
          <t>LV 600 V</t>
        </is>
      </c>
      <c r="J10" s="12" t="inlineStr">
        <is>
          <t>10</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R2C: unit / HRSG electrical e-house (32 x 40 ft)</t>
        </is>
      </c>
      <c r="I11" s="12" t="inlineStr">
        <is>
          <t>LV 600 V</t>
        </is>
      </c>
      <c r="J11" s="12" t="inlineStr">
        <is>
          <t>10</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R2C: unit / HRSG electrical e-house (32 x 40 ft)</t>
        </is>
      </c>
      <c r="I12" s="12" t="inlineStr">
        <is>
          <t>LV 600 V</t>
        </is>
      </c>
      <c r="J12" s="12" t="inlineStr">
        <is>
          <t>10</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R3: ST auxiliary electrical e-house (40 x 65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R3: ST auxiliary electrical e-house (40 x 65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R3: ST auxiliary electrical e-house (40 x 65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R3: ST auxiliary electrical e-house (40 x 65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R2B: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R2B: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R2C: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R2C: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10</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6</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R3: ST auxiliary electrical e-house (40 x 65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R3: ST auxiliary electrical e-house (40 x 65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R3: ST auxiliary electrical e-house (40 x 65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R3: ST auxiliary electrical e-house (40 x 65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R3: ST auxiliary electrical e-house (40 x 65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R3: ST auxiliary electrical e-house (40 x 65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R3: ST auxiliary electrical e-house (40 x 65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R3: ST auxiliary electrical e-house (40 x 65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R3: ST auxiliary electrical e-house (40 x 65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R3: ST auxiliary electrical e-house (40 x 65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R3: ST auxiliary electrical e-house (40 x 65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R3: ST auxiliary electrical e-house (40 x 65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R2B: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R2B: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R2B: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R2B: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R2B: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R2B: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R2C: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R2C: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R2C: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R2C: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R2C: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R2C: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R3: ST auxiliary electrical e-house (40 x 65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R3: ST auxiliary electrical e-house (40 x 65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R3: ST auxiliary electrical e-house (40 x 65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R3: ST auxiliary electrical e-house (40 x 65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R3: ST auxiliary electrical e-house (40 x 65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R3: ST auxiliary electrical e-house (40 x 65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R2B: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R2B: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R2C: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R2C: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R3: ST auxiliary electrical e-house (40 x 65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R3: ST auxiliary electrical e-house (40 x 65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6</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6</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6</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6</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R2B: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R2B: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R2B: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R2B: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R2B: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R2B: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R2C: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R2C: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R2C: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R2C: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R2C: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R2C: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R3: ST auxiliary electrical e-house (40 x 65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R3: ST auxiliary electrical e-house (40 x 65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R3: ST auxiliary electrical e-house (40 x 65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R3: ST auxiliary electrical e-house (40 x 65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R3: ST auxiliary electrical e-house (40 x 65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R3: ST auxiliary electrical e-house (40 x 65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4</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4</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6</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6</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1/0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1/0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1/0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6</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6</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2</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2</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2</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500 kcmil</t>
        </is>
      </c>
      <c r="K792" s="12" t="n">
        <v>1</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6</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4</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4</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4</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4</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4</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4</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4</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4</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3/0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1</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1</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1</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1</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4</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4</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6</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6</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8</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350 kcmil</t>
        </is>
      </c>
      <c r="K1289" s="12" t="n">
        <v>3</v>
      </c>
    </row>
    <row r="1290">
      <c r="A1290" s="12" t="inlineStr">
        <is>
          <t>CONT paralleling switchgear e-house</t>
        </is>
      </c>
      <c r="B1290" s="12" t="inlineStr">
        <is>
          <t>CONT-EH</t>
        </is>
      </c>
      <c r="C1290" s="12" t="inlineStr">
        <is>
          <t>I</t>
        </is>
      </c>
      <c r="D1290" s="12" t="inlineStr">
        <is>
          <t>LV panel / distribution feeder</t>
        </is>
      </c>
      <c r="E1290" s="12" t="n">
        <v>480</v>
      </c>
      <c r="F1290" s="12" t="n">
        <v>30</v>
      </c>
      <c r="G1290" s="12" t="n">
        <v>42.5</v>
      </c>
      <c r="H1290" s="12" t="inlineStr">
        <is>
          <t>PAD-LV 480 V paralleling switchboard</t>
        </is>
      </c>
      <c r="I1290" s="12" t="inlineStr">
        <is>
          <t>LV 600 V</t>
        </is>
      </c>
      <c r="J1290" s="12" t="inlineStr">
        <is>
          <t>6</t>
        </is>
      </c>
      <c r="K1290" s="12" t="n">
        <v>1</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FC-1 SOFC output to inverter / AC cabinet</t>
        </is>
      </c>
      <c r="E1299" s="12" t="n">
        <v>480</v>
      </c>
      <c r="F1299" s="12" t="n">
        <v>250</v>
      </c>
      <c r="G1299" s="12" t="n">
        <v>316.5</v>
      </c>
      <c r="H1299" s="12" t="inlineStr">
        <is>
          <t>FC-1: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FC-2 SOFC output to inverter / AC cabinet</t>
        </is>
      </c>
      <c r="E1300" s="12" t="n">
        <v>480</v>
      </c>
      <c r="F1300" s="12" t="n">
        <v>250</v>
      </c>
      <c r="G1300" s="12" t="n">
        <v>316.5</v>
      </c>
      <c r="H1300" s="12" t="inlineStr">
        <is>
          <t>FC-2: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FC-3 SOFC output to inverter / AC cabinet</t>
        </is>
      </c>
      <c r="E1301" s="12" t="n">
        <v>480</v>
      </c>
      <c r="F1301" s="12" t="n">
        <v>250</v>
      </c>
      <c r="G1301" s="12" t="n">
        <v>316.5</v>
      </c>
      <c r="H1301" s="12" t="inlineStr">
        <is>
          <t>FC-3: SOFC module (Bloom ES5 class, 200-300 kW)</t>
        </is>
      </c>
      <c r="I1301" s="12" t="inlineStr">
        <is>
          <t>LV 600 V</t>
        </is>
      </c>
      <c r="J1301" s="12" t="inlineStr">
        <is>
          <t>3/0</t>
        </is>
      </c>
      <c r="K1301" s="12" t="n">
        <v>2</v>
      </c>
    </row>
    <row r="1302">
      <c r="A1302" s="12" t="inlineStr">
        <is>
          <t>Fuel-cell inverter / AC cabinet / desulfurizer</t>
        </is>
      </c>
      <c r="B1302" s="12" t="inlineStr"/>
      <c r="C1302" s="12" t="inlineStr">
        <is>
          <t>I</t>
        </is>
      </c>
      <c r="D1302" s="12" t="inlineStr">
        <is>
          <t>FC-4 SOFC output to inverter / AC cabinet</t>
        </is>
      </c>
      <c r="E1302" s="12" t="n">
        <v>480</v>
      </c>
      <c r="F1302" s="12" t="n">
        <v>250</v>
      </c>
      <c r="G1302" s="12" t="n">
        <v>316.5</v>
      </c>
      <c r="H1302" s="12" t="inlineStr">
        <is>
          <t>FC-4: SOFC module (Bloom ES5 class, 200-300 kW)</t>
        </is>
      </c>
      <c r="I1302" s="12" t="inlineStr">
        <is>
          <t>LV 600 V</t>
        </is>
      </c>
      <c r="J1302" s="12" t="inlineStr">
        <is>
          <t>3/0</t>
        </is>
      </c>
      <c r="K1302" s="12" t="n">
        <v>2</v>
      </c>
    </row>
    <row r="1303">
      <c r="A1303" s="12" t="inlineStr">
        <is>
          <t>Fuel-gas compressors 3 x 100% electric</t>
        </is>
      </c>
      <c r="B1303" s="12" t="inlineStr"/>
      <c r="C1303" s="12" t="inlineStr">
        <is>
          <t>I</t>
        </is>
      </c>
      <c r="D1303" s="12" t="inlineStr">
        <is>
          <t>Motor 1 of 6, 15 kW</t>
        </is>
      </c>
      <c r="E1303" s="12" t="n">
        <v>480</v>
      </c>
      <c r="F1303" s="12" t="n">
        <v>15</v>
      </c>
      <c r="G1303" s="12" t="n">
        <v>21.2</v>
      </c>
      <c r="H1303" s="12" t="inlineStr">
        <is>
          <t>MOD-LV 480 V board + 480 V : 13.8 kV step-up</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2 of 6, 15 kW</t>
        </is>
      </c>
      <c r="E1304" s="12" t="n">
        <v>480</v>
      </c>
      <c r="F1304" s="12" t="n">
        <v>15</v>
      </c>
      <c r="G1304" s="12" t="n">
        <v>21.2</v>
      </c>
      <c r="H1304" s="12" t="inlineStr">
        <is>
          <t>MOD-LV 480 V board + 480 V : 13.8 kV step-up</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3 of 6, 15 kW</t>
        </is>
      </c>
      <c r="E1305" s="12" t="n">
        <v>480</v>
      </c>
      <c r="F1305" s="12" t="n">
        <v>15</v>
      </c>
      <c r="G1305" s="12" t="n">
        <v>21.2</v>
      </c>
      <c r="H1305" s="12" t="inlineStr">
        <is>
          <t>MOD-LV 480 V board + 480 V : 13.8 kV step-up</t>
        </is>
      </c>
      <c r="I1305" s="12" t="inlineStr">
        <is>
          <t>LV 600 V</t>
        </is>
      </c>
      <c r="J1305" s="12" t="inlineStr">
        <is>
          <t>10</t>
        </is>
      </c>
      <c r="K1305" s="12" t="n">
        <v>1</v>
      </c>
    </row>
    <row r="1306">
      <c r="A1306" s="12" t="inlineStr">
        <is>
          <t>Fuel-gas compressors 3 x 100% electric</t>
        </is>
      </c>
      <c r="B1306" s="12" t="inlineStr"/>
      <c r="C1306" s="12" t="inlineStr">
        <is>
          <t>I</t>
        </is>
      </c>
      <c r="D1306" s="12" t="inlineStr">
        <is>
          <t>Motor 4 of 6, 15 kW</t>
        </is>
      </c>
      <c r="E1306" s="12" t="n">
        <v>480</v>
      </c>
      <c r="F1306" s="12" t="n">
        <v>15</v>
      </c>
      <c r="G1306" s="12" t="n">
        <v>21.2</v>
      </c>
      <c r="H1306" s="12" t="inlineStr">
        <is>
          <t>MOD-LV 480 V board + 480 V : 13.8 kV step-up</t>
        </is>
      </c>
      <c r="I1306" s="12" t="inlineStr">
        <is>
          <t>LV 600 V</t>
        </is>
      </c>
      <c r="J1306" s="12" t="inlineStr">
        <is>
          <t>10</t>
        </is>
      </c>
      <c r="K1306" s="12" t="n">
        <v>1</v>
      </c>
    </row>
    <row r="1307">
      <c r="A1307" s="12" t="inlineStr">
        <is>
          <t>Fuel-gas compressors 3 x 100% electric</t>
        </is>
      </c>
      <c r="B1307" s="12" t="inlineStr"/>
      <c r="C1307" s="12" t="inlineStr">
        <is>
          <t>I</t>
        </is>
      </c>
      <c r="D1307" s="12" t="inlineStr">
        <is>
          <t>Motor 5 of 6, 15 kW</t>
        </is>
      </c>
      <c r="E1307" s="12" t="n">
        <v>480</v>
      </c>
      <c r="F1307" s="12" t="n">
        <v>15</v>
      </c>
      <c r="G1307" s="12" t="n">
        <v>21.2</v>
      </c>
      <c r="H1307" s="12" t="inlineStr">
        <is>
          <t>MOD-LV 480 V board + 480 V : 13.8 kV step-up</t>
        </is>
      </c>
      <c r="I1307" s="12" t="inlineStr">
        <is>
          <t>LV 600 V</t>
        </is>
      </c>
      <c r="J1307" s="12" t="inlineStr">
        <is>
          <t>10</t>
        </is>
      </c>
      <c r="K1307" s="12" t="n">
        <v>1</v>
      </c>
    </row>
    <row r="1308">
      <c r="A1308" s="12" t="inlineStr">
        <is>
          <t>Fuel-gas compressors 3 x 100% electric</t>
        </is>
      </c>
      <c r="B1308" s="12" t="inlineStr"/>
      <c r="C1308" s="12" t="inlineStr">
        <is>
          <t>I</t>
        </is>
      </c>
      <c r="D1308" s="12" t="inlineStr">
        <is>
          <t>Motor 6 of 6, 15 kW</t>
        </is>
      </c>
      <c r="E1308" s="12" t="n">
        <v>480</v>
      </c>
      <c r="F1308" s="12" t="n">
        <v>15</v>
      </c>
      <c r="G1308" s="12" t="n">
        <v>21.2</v>
      </c>
      <c r="H1308" s="12" t="inlineStr">
        <is>
          <t>MOD-LV 480 V board + 480 V : 13.8 kV step-up</t>
        </is>
      </c>
      <c r="I1308" s="12" t="inlineStr">
        <is>
          <t>LV 600 V</t>
        </is>
      </c>
      <c r="J1308" s="12" t="inlineStr">
        <is>
          <t>10</t>
        </is>
      </c>
      <c r="K1308" s="12" t="n">
        <v>1</v>
      </c>
    </row>
    <row r="1309">
      <c r="A1309" s="12" t="inlineStr">
        <is>
          <t>Gas conditioning skid</t>
        </is>
      </c>
      <c r="B1309" s="12" t="inlineStr"/>
      <c r="C1309" s="12" t="inlineStr">
        <is>
          <t>I</t>
        </is>
      </c>
      <c r="D1309" s="12" t="inlineStr">
        <is>
          <t>LV power feeder</t>
        </is>
      </c>
      <c r="E1309" s="12" t="n">
        <v>480</v>
      </c>
      <c r="F1309" s="12" t="n">
        <v>30</v>
      </c>
      <c r="G1309" s="12" t="n">
        <v>42.5</v>
      </c>
      <c r="H1309" s="12" t="inlineStr">
        <is>
          <t>PCM: power control module</t>
        </is>
      </c>
      <c r="I1309" s="12" t="inlineStr">
        <is>
          <t>LV 600 V</t>
        </is>
      </c>
      <c r="J1309" s="12" t="inlineStr">
        <is>
          <t>6</t>
        </is>
      </c>
      <c r="K1309" s="12" t="n">
        <v>1</v>
      </c>
    </row>
    <row r="1310">
      <c r="A1310" s="12" t="inlineStr">
        <is>
          <t>Lube oil / starting air / oily water building</t>
        </is>
      </c>
      <c r="B1310" s="12" t="inlineStr"/>
      <c r="C1310" s="12" t="inlineStr">
        <is>
          <t>I</t>
        </is>
      </c>
      <c r="D1310" s="12" t="inlineStr">
        <is>
          <t>LV panel / distribution feeder</t>
        </is>
      </c>
      <c r="E1310" s="12" t="n">
        <v>480</v>
      </c>
      <c r="F1310" s="12" t="n">
        <v>79</v>
      </c>
      <c r="G1310" s="12" t="n">
        <v>111.8</v>
      </c>
      <c r="H1310" s="12" t="inlineStr">
        <is>
          <t>PCM: power control module</t>
        </is>
      </c>
      <c r="I1310" s="12" t="inlineStr">
        <is>
          <t>LV 600 V</t>
        </is>
      </c>
      <c r="J1310" s="12" t="inlineStr">
        <is>
          <t>1/0</t>
        </is>
      </c>
      <c r="K1310" s="12" t="n">
        <v>1</v>
      </c>
    </row>
    <row r="1311">
      <c r="A1311" s="12" t="inlineStr">
        <is>
          <t>MOD-EH: 13.8 kV modular collector e-house</t>
        </is>
      </c>
      <c r="B1311" s="12" t="inlineStr">
        <is>
          <t>MOD-EH</t>
        </is>
      </c>
      <c r="C1311" s="12" t="inlineStr">
        <is>
          <t>I</t>
        </is>
      </c>
      <c r="D1311" s="12" t="inlineStr">
        <is>
          <t>LV panel / distribution feeder</t>
        </is>
      </c>
      <c r="E1311" s="12" t="n">
        <v>480</v>
      </c>
      <c r="F1311" s="12" t="n">
        <v>30</v>
      </c>
      <c r="G1311" s="12" t="n">
        <v>42.5</v>
      </c>
      <c r="H1311" s="12" t="inlineStr">
        <is>
          <t>MOD-LV 480 V board + 480 V : 13.8 kV step-up</t>
        </is>
      </c>
      <c r="I1311" s="12" t="inlineStr">
        <is>
          <t>LV 600 V</t>
        </is>
      </c>
      <c r="J1311" s="12" t="inlineStr">
        <is>
          <t>4</t>
        </is>
      </c>
      <c r="K1311" s="12" t="n">
        <v>1</v>
      </c>
    </row>
    <row r="1312">
      <c r="A1312" s="12" t="inlineStr">
        <is>
          <t>MOD-LV 480 V board + 480 V : 13.8 kV step-up</t>
        </is>
      </c>
      <c r="B1312" s="12" t="inlineStr"/>
      <c r="C1312" s="12" t="inlineStr">
        <is>
          <t>I</t>
        </is>
      </c>
      <c r="D1312" s="12" t="inlineStr">
        <is>
          <t>Fuel-cell AC cabinet to MOD-LV</t>
        </is>
      </c>
      <c r="E1312" s="12" t="n">
        <v>480</v>
      </c>
      <c r="F1312" s="12" t="n">
        <v>1000</v>
      </c>
      <c r="G1312" s="12" t="n">
        <v>1266.2</v>
      </c>
      <c r="H1312" s="12" t="inlineStr">
        <is>
          <t>Fuel-cell inverter / AC cabinet / desulfurizer</t>
        </is>
      </c>
      <c r="I1312" s="12" t="inlineStr">
        <is>
          <t>LV 600 V</t>
        </is>
      </c>
      <c r="J1312" s="12" t="inlineStr">
        <is>
          <t>350 kcmil</t>
        </is>
      </c>
      <c r="K1312" s="12" t="n">
        <v>6</v>
      </c>
    </row>
    <row r="1313">
      <c r="A1313" s="12" t="inlineStr">
        <is>
          <t>MOD-LV 480 V board + 480 V : 13.8 kV step-up</t>
        </is>
      </c>
      <c r="B1313" s="12" t="inlineStr"/>
      <c r="C1313" s="12" t="inlineStr">
        <is>
          <t>I</t>
        </is>
      </c>
      <c r="D1313" s="12" t="inlineStr">
        <is>
          <t>Fuel-cell AC cabinet to MOD-LV</t>
        </is>
      </c>
      <c r="E1313" s="12" t="n">
        <v>480</v>
      </c>
      <c r="F1313" s="12" t="n">
        <v>2000</v>
      </c>
      <c r="G1313" s="12" t="n">
        <v>2532.3</v>
      </c>
      <c r="H1313" s="12" t="inlineStr">
        <is>
          <t>FC-5..12 inverter / AC cabinet / desulfurizer</t>
        </is>
      </c>
      <c r="I1313" s="12" t="inlineStr">
        <is>
          <t>LV 600 V</t>
        </is>
      </c>
      <c r="J1313" s="12" t="inlineStr">
        <is>
          <t>500 kcmil</t>
        </is>
      </c>
      <c r="K1313" s="12" t="n">
        <v>10</v>
      </c>
    </row>
    <row r="1314">
      <c r="A1314" s="12" t="inlineStr">
        <is>
          <t>MOD-LV 480 V board + 480 V : 13.8 kV step-up</t>
        </is>
      </c>
      <c r="B1314" s="12" t="inlineStr"/>
      <c r="C1314" s="12" t="inlineStr">
        <is>
          <t>I</t>
        </is>
      </c>
      <c r="D1314" s="12" t="inlineStr">
        <is>
          <t>MT-1 microturbine output</t>
        </is>
      </c>
      <c r="E1314" s="12" t="n">
        <v>480</v>
      </c>
      <c r="F1314" s="12" t="n">
        <v>1000</v>
      </c>
      <c r="G1314" s="12" t="n">
        <v>1266.2</v>
      </c>
      <c r="H1314" s="12" t="inlineStr">
        <is>
          <t>MT-1: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MT-2 microturbine output</t>
        </is>
      </c>
      <c r="E1315" s="12" t="n">
        <v>480</v>
      </c>
      <c r="F1315" s="12" t="n">
        <v>1000</v>
      </c>
      <c r="G1315" s="12" t="n">
        <v>1266.2</v>
      </c>
      <c r="H1315" s="12" t="inlineStr">
        <is>
          <t>MT-2: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MT-3 microturbine output</t>
        </is>
      </c>
      <c r="E1316" s="12" t="n">
        <v>480</v>
      </c>
      <c r="F1316" s="12" t="n">
        <v>1000</v>
      </c>
      <c r="G1316" s="12" t="n">
        <v>1266.2</v>
      </c>
      <c r="H1316" s="12" t="inlineStr">
        <is>
          <t>MT-3: microturbine 1 MW (Capstone C1000 class)</t>
        </is>
      </c>
      <c r="I1316" s="12" t="inlineStr">
        <is>
          <t>LV 600 V</t>
        </is>
      </c>
      <c r="J1316" s="12" t="inlineStr">
        <is>
          <t>350 kcmil</t>
        </is>
      </c>
      <c r="K1316" s="12" t="n">
        <v>6</v>
      </c>
    </row>
    <row r="1317">
      <c r="A1317" s="12" t="inlineStr">
        <is>
          <t>MOD-LV 480 V board + 480 V : 13.8 kV step-up</t>
        </is>
      </c>
      <c r="B1317" s="12" t="inlineStr"/>
      <c r="C1317" s="12" t="inlineStr">
        <is>
          <t>I</t>
        </is>
      </c>
      <c r="D1317" s="12" t="inlineStr">
        <is>
          <t>MT-4 microturbine output</t>
        </is>
      </c>
      <c r="E1317" s="12" t="n">
        <v>480</v>
      </c>
      <c r="F1317" s="12" t="n">
        <v>1000</v>
      </c>
      <c r="G1317" s="12" t="n">
        <v>1266.2</v>
      </c>
      <c r="H1317" s="12" t="inlineStr">
        <is>
          <t>MT-4: microturbine 1 MW (Capstone C1000 class)</t>
        </is>
      </c>
      <c r="I1317" s="12" t="inlineStr">
        <is>
          <t>LV 600 V</t>
        </is>
      </c>
      <c r="J1317" s="12" t="inlineStr">
        <is>
          <t>350 kcmil</t>
        </is>
      </c>
      <c r="K1317" s="12" t="n">
        <v>6</v>
      </c>
    </row>
    <row r="1318">
      <c r="A1318" s="12" t="inlineStr">
        <is>
          <t>MOD-LV 480 V board + 480 V : 13.8 kV step-up</t>
        </is>
      </c>
      <c r="B1318" s="12" t="inlineStr"/>
      <c r="C1318" s="12" t="inlineStr">
        <is>
          <t>I</t>
        </is>
      </c>
      <c r="D1318" s="12" t="inlineStr">
        <is>
          <t>MT-5 microturbine output</t>
        </is>
      </c>
      <c r="E1318" s="12" t="n">
        <v>480</v>
      </c>
      <c r="F1318" s="12" t="n">
        <v>1000</v>
      </c>
      <c r="G1318" s="12" t="n">
        <v>1266.2</v>
      </c>
      <c r="H1318" s="12" t="inlineStr">
        <is>
          <t>MT-5: microturbine 1 MW (Capstone C1000 class)</t>
        </is>
      </c>
      <c r="I1318" s="12" t="inlineStr">
        <is>
          <t>LV 600 V</t>
        </is>
      </c>
      <c r="J1318" s="12" t="inlineStr">
        <is>
          <t>350 kcmil</t>
        </is>
      </c>
      <c r="K1318" s="12" t="n">
        <v>6</v>
      </c>
    </row>
    <row r="1319">
      <c r="A1319" s="12" t="inlineStr">
        <is>
          <t>MOD-LV 480 V board + 480 V : 13.8 kV step-up</t>
        </is>
      </c>
      <c r="B1319" s="12" t="inlineStr"/>
      <c r="C1319" s="12" t="inlineStr">
        <is>
          <t>I</t>
        </is>
      </c>
      <c r="D1319" s="12" t="inlineStr">
        <is>
          <t>MT-6 microturbine output</t>
        </is>
      </c>
      <c r="E1319" s="12" t="n">
        <v>480</v>
      </c>
      <c r="F1319" s="12" t="n">
        <v>1000</v>
      </c>
      <c r="G1319" s="12" t="n">
        <v>1266.2</v>
      </c>
      <c r="H1319" s="12" t="inlineStr">
        <is>
          <t>MT-6: microturbine 1 MW (Capstone C1000 class)</t>
        </is>
      </c>
      <c r="I1319" s="12" t="inlineStr">
        <is>
          <t>LV 600 V</t>
        </is>
      </c>
      <c r="J1319" s="12" t="inlineStr">
        <is>
          <t>350 kcmil</t>
        </is>
      </c>
      <c r="K1319" s="12" t="n">
        <v>6</v>
      </c>
    </row>
    <row r="1320">
      <c r="A1320" s="12" t="inlineStr">
        <is>
          <t>PAD-TX 480 V : 13.8 kV</t>
        </is>
      </c>
      <c r="B1320" s="12" t="inlineStr">
        <is>
          <t>PAD-TX</t>
        </is>
      </c>
      <c r="C1320" s="12" t="inlineStr">
        <is>
          <t>I</t>
        </is>
      </c>
      <c r="D1320" s="12" t="inlineStr">
        <is>
          <t>PAD-LV to PAD-TX</t>
        </is>
      </c>
      <c r="E1320" s="12" t="n">
        <v>480</v>
      </c>
      <c r="F1320" s="12" t="n">
        <v>3000</v>
      </c>
      <c r="G1320" s="12" t="n">
        <v>3600</v>
      </c>
      <c r="H1320" s="12" t="inlineStr">
        <is>
          <t>PAD-LV 480 V paralleling switchboard</t>
        </is>
      </c>
      <c r="I1320" s="12" t="inlineStr">
        <is>
          <t>LV 600 V</t>
        </is>
      </c>
      <c r="J1320" s="12" t="inlineStr">
        <is>
          <t>500 kcmil</t>
        </is>
      </c>
      <c r="K1320" s="12" t="n">
        <v>12</v>
      </c>
    </row>
    <row r="1321">
      <c r="A1321" s="12" t="inlineStr">
        <is>
          <t>PCM: power control module</t>
        </is>
      </c>
      <c r="B1321" s="12" t="inlineStr"/>
      <c r="C1321" s="12" t="inlineStr">
        <is>
          <t>I</t>
        </is>
      </c>
      <c r="D1321" s="12" t="inlineStr">
        <is>
          <t>LV panel / distribution feeder</t>
        </is>
      </c>
      <c r="E1321" s="12" t="n">
        <v>480</v>
      </c>
      <c r="F1321" s="12" t="n">
        <v>38</v>
      </c>
      <c r="G1321" s="12" t="n">
        <v>53.8</v>
      </c>
      <c r="H1321" s="12" t="inlineStr">
        <is>
          <t>PCM: power control module</t>
        </is>
      </c>
      <c r="I1321" s="12" t="inlineStr">
        <is>
          <t>LV 600 V</t>
        </is>
      </c>
      <c r="J1321" s="12" t="inlineStr">
        <is>
          <t>4</t>
        </is>
      </c>
      <c r="K1321" s="12" t="n">
        <v>1</v>
      </c>
    </row>
    <row r="1322">
      <c r="A1322" s="12" t="inlineStr">
        <is>
          <t>RICE 1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1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1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1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1</t>
        </is>
      </c>
      <c r="K1328" s="12" t="n">
        <v>1</v>
      </c>
    </row>
    <row r="1329">
      <c r="A1329" s="12" t="inlineStr">
        <is>
          <t>RICE 2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2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2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2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2</t>
        </is>
      </c>
      <c r="K1335" s="12" t="n">
        <v>1</v>
      </c>
    </row>
    <row r="1336">
      <c r="A1336" s="12" t="inlineStr">
        <is>
          <t>RICE 3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3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3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3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4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4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4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5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5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5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6</t>
        </is>
      </c>
      <c r="K1357" s="12" t="n">
        <v>1</v>
      </c>
    </row>
    <row r="1358">
      <c r="A1358" s="12" t="inlineStr">
        <is>
          <t>RICE 6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6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6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7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7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7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7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8 SCR + oxidation catalyst and stack</t>
        </is>
      </c>
      <c r="B1371" s="12" t="inlineStr"/>
      <c r="C1371" s="12" t="inlineStr">
        <is>
          <t>I</t>
        </is>
      </c>
      <c r="D1371" s="12" t="inlineStr">
        <is>
          <t>Motor 1 of 1, 15 kW</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8 SCR + oxidation catalyst and stack</t>
        </is>
      </c>
      <c r="B1372" s="12" t="inlineStr"/>
      <c r="C1372" s="12" t="inlineStr">
        <is>
          <t>I</t>
        </is>
      </c>
      <c r="D1372" s="12" t="inlineStr">
        <is>
          <t>Area / platform lighting circuit 1 (6 fixtures)</t>
        </is>
      </c>
      <c r="E1372" s="12" t="n">
        <v>480</v>
      </c>
      <c r="F1372" s="12" t="n">
        <v>3</v>
      </c>
      <c r="G1372" s="12" t="n">
        <v>5</v>
      </c>
      <c r="H1372" s="12" t="inlineStr">
        <is>
          <t>PCM: power control module</t>
        </is>
      </c>
      <c r="I1372" s="12" t="inlineStr">
        <is>
          <t>LV 600 V</t>
        </is>
      </c>
      <c r="J1372" s="12" t="inlineStr">
        <is>
          <t>10</t>
        </is>
      </c>
      <c r="K1372" s="12" t="n">
        <v>1</v>
      </c>
    </row>
    <row r="1373">
      <c r="A1373" s="12" t="inlineStr">
        <is>
          <t>RICE 8 radiators (5)</t>
        </is>
      </c>
      <c r="B1373" s="12" t="inlineStr"/>
      <c r="C1373" s="12" t="inlineStr">
        <is>
          <t>I</t>
        </is>
      </c>
      <c r="D1373" s="12" t="inlineStr">
        <is>
          <t>Motor 1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2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3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4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8 radiators (5)</t>
        </is>
      </c>
      <c r="B1377" s="12" t="inlineStr"/>
      <c r="C1377" s="12" t="inlineStr">
        <is>
          <t>I</t>
        </is>
      </c>
      <c r="D1377" s="12" t="inlineStr">
        <is>
          <t>Motor 5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CEMS</t>
        </is>
      </c>
      <c r="B1378" s="12" t="inlineStr"/>
      <c r="C1378" s="12" t="inlineStr">
        <is>
          <t>I</t>
        </is>
      </c>
      <c r="D1378" s="12" t="inlineStr">
        <is>
          <t>LV panel / distribution feeder</t>
        </is>
      </c>
      <c r="E1378" s="12" t="n">
        <v>480</v>
      </c>
      <c r="F1378" s="12" t="n">
        <v>30</v>
      </c>
      <c r="G1378" s="12" t="n">
        <v>42.5</v>
      </c>
      <c r="H1378" s="12" t="inlineStr">
        <is>
          <t>PCM: power control module</t>
        </is>
      </c>
      <c r="I1378" s="12" t="inlineStr">
        <is>
          <t>LV 600 V</t>
        </is>
      </c>
      <c r="J1378" s="12" t="inlineStr">
        <is>
          <t>4</t>
        </is>
      </c>
      <c r="K1378" s="12" t="n">
        <v>1</v>
      </c>
    </row>
    <row r="1379">
      <c r="A1379" s="12" t="inlineStr">
        <is>
          <t>RICE engine hall (8 engines)</t>
        </is>
      </c>
      <c r="B1379" s="12" t="inlineStr">
        <is>
          <t>RICE</t>
        </is>
      </c>
      <c r="C1379" s="12" t="inlineStr">
        <is>
          <t>I</t>
        </is>
      </c>
      <c r="D1379" s="12" t="inlineStr">
        <is>
          <t>LV power feeder</t>
        </is>
      </c>
      <c r="E1379" s="12" t="n">
        <v>480</v>
      </c>
      <c r="F1379" s="12" t="n">
        <v>15</v>
      </c>
      <c r="G1379" s="12" t="n">
        <v>21.2</v>
      </c>
      <c r="H1379" s="12" t="inlineStr">
        <is>
          <t>PCM: power control module</t>
        </is>
      </c>
      <c r="I1379" s="12" t="inlineStr">
        <is>
          <t>LV 600 V</t>
        </is>
      </c>
      <c r="J1379" s="12" t="inlineStr">
        <is>
          <t>8</t>
        </is>
      </c>
      <c r="K1379" s="12" t="n">
        <v>1</v>
      </c>
    </row>
    <row r="1380">
      <c r="A1380" s="12" t="inlineStr">
        <is>
          <t>RICE engine-generator 1</t>
        </is>
      </c>
      <c r="B1380" s="12" t="inlineStr">
        <is>
          <t>RICE-1</t>
        </is>
      </c>
      <c r="C1380" s="12" t="inlineStr">
        <is>
          <t>I</t>
        </is>
      </c>
      <c r="D1380" s="12" t="inlineStr">
        <is>
          <t>Motor 1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2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3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4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5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Motor 6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1</t>
        </is>
      </c>
      <c r="B1386" s="12" t="inlineStr">
        <is>
          <t>RICE-1</t>
        </is>
      </c>
      <c r="C1386" s="12" t="inlineStr">
        <is>
          <t>I</t>
        </is>
      </c>
      <c r="D1386" s="12" t="inlineStr">
        <is>
          <t>480 V welding receptacle 1</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2</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3</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1</t>
        </is>
      </c>
      <c r="B1389" s="12" t="inlineStr">
        <is>
          <t>RICE-1</t>
        </is>
      </c>
      <c r="C1389" s="12" t="inlineStr">
        <is>
          <t>I</t>
        </is>
      </c>
      <c r="D1389" s="12" t="inlineStr">
        <is>
          <t>480 V welding receptacle 4</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Motor 1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2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3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4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5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Motor 6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2</t>
        </is>
      </c>
      <c r="B1396" s="12" t="inlineStr">
        <is>
          <t>RICE-2</t>
        </is>
      </c>
      <c r="C1396" s="12" t="inlineStr">
        <is>
          <t>I</t>
        </is>
      </c>
      <c r="D1396" s="12" t="inlineStr">
        <is>
          <t>480 V welding receptacle 1</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2</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3</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2</t>
        </is>
      </c>
      <c r="B1399" s="12" t="inlineStr">
        <is>
          <t>RICE-2</t>
        </is>
      </c>
      <c r="C1399" s="12" t="inlineStr">
        <is>
          <t>I</t>
        </is>
      </c>
      <c r="D1399" s="12" t="inlineStr">
        <is>
          <t>480 V welding receptacle 4</t>
        </is>
      </c>
      <c r="E1399" s="12" t="n">
        <v>480</v>
      </c>
      <c r="F1399" s="12" t="n">
        <v>60</v>
      </c>
      <c r="G1399" s="12" t="n">
        <v>76</v>
      </c>
      <c r="H1399" s="12" t="inlineStr">
        <is>
          <t>PCM: power control module</t>
        </is>
      </c>
      <c r="I1399" s="12" t="inlineStr">
        <is>
          <t>LV 600 V</t>
        </is>
      </c>
      <c r="J1399" s="12" t="inlineStr">
        <is>
          <t>1/0</t>
        </is>
      </c>
      <c r="K1399" s="12" t="n">
        <v>1</v>
      </c>
    </row>
    <row r="1400">
      <c r="A1400" s="12" t="inlineStr">
        <is>
          <t>RICE engine-generator 3</t>
        </is>
      </c>
      <c r="B1400" s="12" t="inlineStr">
        <is>
          <t>RICE-3</t>
        </is>
      </c>
      <c r="C1400" s="12" t="inlineStr">
        <is>
          <t>I</t>
        </is>
      </c>
      <c r="D1400" s="12" t="inlineStr">
        <is>
          <t>Motor 1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2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3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4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5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Motor 6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3</t>
        </is>
      </c>
      <c r="B1406" s="12" t="inlineStr">
        <is>
          <t>RICE-3</t>
        </is>
      </c>
      <c r="C1406" s="12" t="inlineStr">
        <is>
          <t>I</t>
        </is>
      </c>
      <c r="D1406" s="12" t="inlineStr">
        <is>
          <t>480 V welding receptacle 1</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2</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3</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3</t>
        </is>
      </c>
      <c r="B1409" s="12" t="inlineStr">
        <is>
          <t>RICE-3</t>
        </is>
      </c>
      <c r="C1409" s="12" t="inlineStr">
        <is>
          <t>I</t>
        </is>
      </c>
      <c r="D1409" s="12" t="inlineStr">
        <is>
          <t>480 V welding receptacle 4</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Motor 1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2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3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4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5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Motor 6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4</t>
        </is>
      </c>
      <c r="B1416" s="12" t="inlineStr">
        <is>
          <t>RICE-4</t>
        </is>
      </c>
      <c r="C1416" s="12" t="inlineStr">
        <is>
          <t>I</t>
        </is>
      </c>
      <c r="D1416" s="12" t="inlineStr">
        <is>
          <t>480 V welding receptacle 1</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2</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3</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4</t>
        </is>
      </c>
      <c r="B1419" s="12" t="inlineStr">
        <is>
          <t>RICE-4</t>
        </is>
      </c>
      <c r="C1419" s="12" t="inlineStr">
        <is>
          <t>I</t>
        </is>
      </c>
      <c r="D1419" s="12" t="inlineStr">
        <is>
          <t>480 V welding receptacle 4</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Motor 1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2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3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4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5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Motor 6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5</t>
        </is>
      </c>
      <c r="B1426" s="12" t="inlineStr">
        <is>
          <t>RICE-5</t>
        </is>
      </c>
      <c r="C1426" s="12" t="inlineStr">
        <is>
          <t>I</t>
        </is>
      </c>
      <c r="D1426" s="12" t="inlineStr">
        <is>
          <t>480 V welding receptacle 1</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2</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3</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5</t>
        </is>
      </c>
      <c r="B1429" s="12" t="inlineStr">
        <is>
          <t>RICE-5</t>
        </is>
      </c>
      <c r="C1429" s="12" t="inlineStr">
        <is>
          <t>I</t>
        </is>
      </c>
      <c r="D1429" s="12" t="inlineStr">
        <is>
          <t>480 V welding receptacle 4</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Motor 1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2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3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4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5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Motor 6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6</t>
        </is>
      </c>
      <c r="B1436" s="12" t="inlineStr">
        <is>
          <t>RICE-6</t>
        </is>
      </c>
      <c r="C1436" s="12" t="inlineStr">
        <is>
          <t>I</t>
        </is>
      </c>
      <c r="D1436" s="12" t="inlineStr">
        <is>
          <t>480 V welding receptacle 1</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2</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3</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6</t>
        </is>
      </c>
      <c r="B1439" s="12" t="inlineStr">
        <is>
          <t>RICE-6</t>
        </is>
      </c>
      <c r="C1439" s="12" t="inlineStr">
        <is>
          <t>I</t>
        </is>
      </c>
      <c r="D1439" s="12" t="inlineStr">
        <is>
          <t>480 V welding receptacle 4</t>
        </is>
      </c>
      <c r="E1439" s="12" t="n">
        <v>480</v>
      </c>
      <c r="F1439" s="12" t="n">
        <v>60</v>
      </c>
      <c r="G1439" s="12" t="n">
        <v>76</v>
      </c>
      <c r="H1439" s="12" t="inlineStr">
        <is>
          <t>PCM: power control module</t>
        </is>
      </c>
      <c r="I1439" s="12" t="inlineStr">
        <is>
          <t>LV 600 V</t>
        </is>
      </c>
      <c r="J1439" s="12" t="inlineStr">
        <is>
          <t>1</t>
        </is>
      </c>
      <c r="K1439" s="12" t="n">
        <v>1</v>
      </c>
    </row>
    <row r="1440">
      <c r="A1440" s="12" t="inlineStr">
        <is>
          <t>RICE engine-generator 7</t>
        </is>
      </c>
      <c r="B1440" s="12" t="inlineStr">
        <is>
          <t>RICE-7</t>
        </is>
      </c>
      <c r="C1440" s="12" t="inlineStr">
        <is>
          <t>I</t>
        </is>
      </c>
      <c r="D1440" s="12" t="inlineStr">
        <is>
          <t>Motor 1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2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3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4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5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Motor 6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7</t>
        </is>
      </c>
      <c r="B1446" s="12" t="inlineStr">
        <is>
          <t>RICE-7</t>
        </is>
      </c>
      <c r="C1446" s="12" t="inlineStr">
        <is>
          <t>I</t>
        </is>
      </c>
      <c r="D1446" s="12" t="inlineStr">
        <is>
          <t>480 V welding receptacle 1</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2</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3</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7</t>
        </is>
      </c>
      <c r="B1449" s="12" t="inlineStr">
        <is>
          <t>RICE-7</t>
        </is>
      </c>
      <c r="C1449" s="12" t="inlineStr">
        <is>
          <t>I</t>
        </is>
      </c>
      <c r="D1449" s="12" t="inlineStr">
        <is>
          <t>480 V welding receptacle 4</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Motor 1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2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3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4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5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Motor 6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8</t>
        </is>
      </c>
      <c r="B1456" s="12" t="inlineStr">
        <is>
          <t>RICE-8</t>
        </is>
      </c>
      <c r="C1456" s="12" t="inlineStr">
        <is>
          <t>I</t>
        </is>
      </c>
      <c r="D1456" s="12" t="inlineStr">
        <is>
          <t>480 V welding receptacle 1</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2</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3</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RICE engine-generator 8</t>
        </is>
      </c>
      <c r="B1459" s="12" t="inlineStr">
        <is>
          <t>RICE-8</t>
        </is>
      </c>
      <c r="C1459" s="12" t="inlineStr">
        <is>
          <t>I</t>
        </is>
      </c>
      <c r="D1459" s="12" t="inlineStr">
        <is>
          <t>480 V welding receptacle 4</t>
        </is>
      </c>
      <c r="E1459" s="12" t="n">
        <v>480</v>
      </c>
      <c r="F1459" s="12" t="n">
        <v>60</v>
      </c>
      <c r="G1459" s="12" t="n">
        <v>76</v>
      </c>
      <c r="H1459" s="12" t="inlineStr">
        <is>
          <t>PCM: power control module</t>
        </is>
      </c>
      <c r="I1459" s="12" t="inlineStr">
        <is>
          <t>LV 600 V</t>
        </is>
      </c>
      <c r="J1459" s="12" t="inlineStr">
        <is>
          <t>2</t>
        </is>
      </c>
      <c r="K1459" s="12" t="n">
        <v>1</v>
      </c>
    </row>
    <row r="1460">
      <c r="A1460" s="12" t="inlineStr">
        <is>
          <t>Reagent storage</t>
        </is>
      </c>
      <c r="B1460" s="12" t="inlineStr"/>
      <c r="C1460" s="12" t="inlineStr">
        <is>
          <t>I</t>
        </is>
      </c>
      <c r="D1460" s="12" t="inlineStr">
        <is>
          <t>LV power feeder</t>
        </is>
      </c>
      <c r="E1460" s="12" t="n">
        <v>480</v>
      </c>
      <c r="F1460" s="12" t="n">
        <v>15</v>
      </c>
      <c r="G1460" s="12" t="n">
        <v>21.2</v>
      </c>
      <c r="H1460" s="12" t="inlineStr">
        <is>
          <t>PCM: power control module</t>
        </is>
      </c>
      <c r="I1460" s="12" t="inlineStr">
        <is>
          <t>LV 600 V</t>
        </is>
      </c>
      <c r="J1460" s="12" t="inlineStr">
        <is>
          <t>10</t>
        </is>
      </c>
      <c r="K1460" s="12" t="n">
        <v>1</v>
      </c>
    </row>
    <row r="1461">
      <c r="A1461" s="12" t="inlineStr">
        <is>
          <t>SC-1 SCR / CO catalyst</t>
        </is>
      </c>
      <c r="B1461" s="12" t="inlineStr"/>
      <c r="C1461" s="12" t="inlineStr">
        <is>
          <t>I</t>
        </is>
      </c>
      <c r="D1461" s="12" t="inlineStr">
        <is>
          <t>Motor 1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SCR / CO catalyst</t>
        </is>
      </c>
      <c r="B1462" s="12" t="inlineStr"/>
      <c r="C1462" s="12" t="inlineStr">
        <is>
          <t>I</t>
        </is>
      </c>
      <c r="D1462" s="12" t="inlineStr">
        <is>
          <t>Motor 2 of 2,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lube-oil fin-fan cooler</t>
        </is>
      </c>
      <c r="B1463" s="12" t="inlineStr"/>
      <c r="C1463" s="12" t="inlineStr">
        <is>
          <t>I</t>
        </is>
      </c>
      <c r="D1463" s="12" t="inlineStr">
        <is>
          <t>Motor 1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2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3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lube-oil fin-fan cooler</t>
        </is>
      </c>
      <c r="B1466" s="12" t="inlineStr"/>
      <c r="C1466" s="12" t="inlineStr">
        <is>
          <t>I</t>
        </is>
      </c>
      <c r="D1466" s="12" t="inlineStr">
        <is>
          <t>Motor 4 of 4, 15 kW</t>
        </is>
      </c>
      <c r="E1466" s="12" t="n">
        <v>480</v>
      </c>
      <c r="F1466" s="12" t="n">
        <v>15</v>
      </c>
      <c r="G1466" s="12" t="n">
        <v>21.2</v>
      </c>
      <c r="H1466" s="12" t="inlineStr">
        <is>
          <t>PCM: power control module</t>
        </is>
      </c>
      <c r="I1466" s="12" t="inlineStr">
        <is>
          <t>LV 600 V</t>
        </is>
      </c>
      <c r="J1466" s="12" t="inlineStr">
        <is>
          <t>10</t>
        </is>
      </c>
      <c r="K1466" s="12" t="n">
        <v>1</v>
      </c>
    </row>
    <row r="1467">
      <c r="A1467" s="12" t="inlineStr">
        <is>
          <t>SC-1 stack (80 ft)</t>
        </is>
      </c>
      <c r="B1467" s="12" t="inlineStr"/>
      <c r="C1467" s="12" t="inlineStr">
        <is>
          <t>I</t>
        </is>
      </c>
      <c r="D1467" s="12" t="inlineStr">
        <is>
          <t>Area / platform lighting circuit 1 (4 fixtures)</t>
        </is>
      </c>
      <c r="E1467" s="12" t="n">
        <v>480</v>
      </c>
      <c r="F1467" s="12" t="n">
        <v>3</v>
      </c>
      <c r="G1467" s="12" t="n">
        <v>5</v>
      </c>
      <c r="H1467" s="12" t="inlineStr">
        <is>
          <t>PCM: power control module</t>
        </is>
      </c>
      <c r="I1467" s="12" t="inlineStr">
        <is>
          <t>LV 600 V</t>
        </is>
      </c>
      <c r="J1467" s="12" t="inlineStr">
        <is>
          <t>10</t>
        </is>
      </c>
      <c r="K1467" s="12" t="n">
        <v>1</v>
      </c>
    </row>
    <row r="1468">
      <c r="A1468" s="12" t="inlineStr">
        <is>
          <t>SC-1: aeroderivative simple-cycle unit (LM6000 class)</t>
        </is>
      </c>
      <c r="B1468" s="12" t="inlineStr">
        <is>
          <t>SC-1</t>
        </is>
      </c>
      <c r="C1468" s="12" t="inlineStr">
        <is>
          <t>I</t>
        </is>
      </c>
      <c r="D1468" s="12" t="inlineStr">
        <is>
          <t>Motor 1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2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3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4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5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6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7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8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9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SC-1: aeroderivative simple-cycle unit (LM6000 class)</t>
        </is>
      </c>
      <c r="B1477" s="12" t="inlineStr">
        <is>
          <t>SC-1</t>
        </is>
      </c>
      <c r="C1477" s="12" t="inlineStr">
        <is>
          <t>I</t>
        </is>
      </c>
      <c r="D1477" s="12" t="inlineStr">
        <is>
          <t>Motor 10 of 10, 30 kW</t>
        </is>
      </c>
      <c r="E1477" s="12" t="n">
        <v>480</v>
      </c>
      <c r="F1477" s="12" t="n">
        <v>30</v>
      </c>
      <c r="G1477" s="12" t="n">
        <v>42.5</v>
      </c>
      <c r="H1477" s="12" t="inlineStr">
        <is>
          <t>PCM: power control module</t>
        </is>
      </c>
      <c r="I1477" s="12" t="inlineStr">
        <is>
          <t>LV 600 V</t>
        </is>
      </c>
      <c r="J1477" s="12" t="inlineStr">
        <is>
          <t>6</t>
        </is>
      </c>
      <c r="K1477" s="12" t="n">
        <v>1</v>
      </c>
    </row>
    <row r="1478">
      <c r="A1478" s="12" t="inlineStr">
        <is>
          <t>SC-2 SCR / CO catalyst</t>
        </is>
      </c>
      <c r="B1478" s="12" t="inlineStr"/>
      <c r="C1478" s="12" t="inlineStr">
        <is>
          <t>I</t>
        </is>
      </c>
      <c r="D1478" s="12" t="inlineStr">
        <is>
          <t>Motor 1 of 2, 30 kW</t>
        </is>
      </c>
      <c r="E1478" s="12" t="n">
        <v>480</v>
      </c>
      <c r="F1478" s="12" t="n">
        <v>30</v>
      </c>
      <c r="G1478" s="12" t="n">
        <v>42.5</v>
      </c>
      <c r="H1478" s="12" t="inlineStr">
        <is>
          <t>MOD-LV 480 V board + 480 V : 13.8 kV step-up</t>
        </is>
      </c>
      <c r="I1478" s="12" t="inlineStr">
        <is>
          <t>LV 600 V</t>
        </is>
      </c>
      <c r="J1478" s="12" t="inlineStr">
        <is>
          <t>4</t>
        </is>
      </c>
      <c r="K1478" s="12" t="n">
        <v>1</v>
      </c>
    </row>
    <row r="1479">
      <c r="A1479" s="12" t="inlineStr">
        <is>
          <t>SC-2 SCR / CO catalyst</t>
        </is>
      </c>
      <c r="B1479" s="12" t="inlineStr"/>
      <c r="C1479" s="12" t="inlineStr">
        <is>
          <t>I</t>
        </is>
      </c>
      <c r="D1479" s="12" t="inlineStr">
        <is>
          <t>Motor 2 of 2, 30 kW</t>
        </is>
      </c>
      <c r="E1479" s="12" t="n">
        <v>480</v>
      </c>
      <c r="F1479" s="12" t="n">
        <v>30</v>
      </c>
      <c r="G1479" s="12" t="n">
        <v>42.5</v>
      </c>
      <c r="H1479" s="12" t="inlineStr">
        <is>
          <t>MOD-LV 480 V board + 480 V : 13.8 kV step-up</t>
        </is>
      </c>
      <c r="I1479" s="12" t="inlineStr">
        <is>
          <t>LV 600 V</t>
        </is>
      </c>
      <c r="J1479" s="12" t="inlineStr">
        <is>
          <t>4</t>
        </is>
      </c>
      <c r="K1479" s="12" t="n">
        <v>1</v>
      </c>
    </row>
    <row r="1480">
      <c r="A1480" s="12" t="inlineStr">
        <is>
          <t>SC-2 lube-oil fin-fan cooler</t>
        </is>
      </c>
      <c r="B1480" s="12" t="inlineStr"/>
      <c r="C1480" s="12" t="inlineStr">
        <is>
          <t>I</t>
        </is>
      </c>
      <c r="D1480" s="12" t="inlineStr">
        <is>
          <t>Motor 1 of 4, 15 kW</t>
        </is>
      </c>
      <c r="E1480" s="12" t="n">
        <v>480</v>
      </c>
      <c r="F1480" s="12" t="n">
        <v>15</v>
      </c>
      <c r="G1480" s="12" t="n">
        <v>21.2</v>
      </c>
      <c r="H1480" s="12" t="inlineStr">
        <is>
          <t>MOD-LV 480 V board + 480 V : 13.8 kV step-up</t>
        </is>
      </c>
      <c r="I1480" s="12" t="inlineStr">
        <is>
          <t>LV 600 V</t>
        </is>
      </c>
      <c r="J1480" s="12" t="inlineStr">
        <is>
          <t>6</t>
        </is>
      </c>
      <c r="K1480" s="12" t="n">
        <v>1</v>
      </c>
    </row>
    <row r="1481">
      <c r="A1481" s="12" t="inlineStr">
        <is>
          <t>SC-2 lube-oil fin-fan cooler</t>
        </is>
      </c>
      <c r="B1481" s="12" t="inlineStr"/>
      <c r="C1481" s="12" t="inlineStr">
        <is>
          <t>I</t>
        </is>
      </c>
      <c r="D1481" s="12" t="inlineStr">
        <is>
          <t>Motor 2 of 4, 15 kW</t>
        </is>
      </c>
      <c r="E1481" s="12" t="n">
        <v>480</v>
      </c>
      <c r="F1481" s="12" t="n">
        <v>15</v>
      </c>
      <c r="G1481" s="12" t="n">
        <v>21.2</v>
      </c>
      <c r="H1481" s="12" t="inlineStr">
        <is>
          <t>MOD-LV 480 V board + 480 V : 13.8 kV step-up</t>
        </is>
      </c>
      <c r="I1481" s="12" t="inlineStr">
        <is>
          <t>LV 600 V</t>
        </is>
      </c>
      <c r="J1481" s="12" t="inlineStr">
        <is>
          <t>6</t>
        </is>
      </c>
      <c r="K1481" s="12" t="n">
        <v>1</v>
      </c>
    </row>
    <row r="1482">
      <c r="A1482" s="12" t="inlineStr">
        <is>
          <t>SC-2 lube-oil fin-fan cooler</t>
        </is>
      </c>
      <c r="B1482" s="12" t="inlineStr"/>
      <c r="C1482" s="12" t="inlineStr">
        <is>
          <t>I</t>
        </is>
      </c>
      <c r="D1482" s="12" t="inlineStr">
        <is>
          <t>Motor 3 of 4, 15 kW</t>
        </is>
      </c>
      <c r="E1482" s="12" t="n">
        <v>480</v>
      </c>
      <c r="F1482" s="12" t="n">
        <v>15</v>
      </c>
      <c r="G1482" s="12" t="n">
        <v>21.2</v>
      </c>
      <c r="H1482" s="12" t="inlineStr">
        <is>
          <t>MOD-LV 480 V board + 480 V : 13.8 kV step-up</t>
        </is>
      </c>
      <c r="I1482" s="12" t="inlineStr">
        <is>
          <t>LV 600 V</t>
        </is>
      </c>
      <c r="J1482" s="12" t="inlineStr">
        <is>
          <t>6</t>
        </is>
      </c>
      <c r="K1482" s="12" t="n">
        <v>1</v>
      </c>
    </row>
    <row r="1483">
      <c r="A1483" s="12" t="inlineStr">
        <is>
          <t>SC-2 lube-oil fin-fan cooler</t>
        </is>
      </c>
      <c r="B1483" s="12" t="inlineStr"/>
      <c r="C1483" s="12" t="inlineStr">
        <is>
          <t>I</t>
        </is>
      </c>
      <c r="D1483" s="12" t="inlineStr">
        <is>
          <t>Motor 4 of 4, 15 kW</t>
        </is>
      </c>
      <c r="E1483" s="12" t="n">
        <v>480</v>
      </c>
      <c r="F1483" s="12" t="n">
        <v>15</v>
      </c>
      <c r="G1483" s="12" t="n">
        <v>21.2</v>
      </c>
      <c r="H1483" s="12" t="inlineStr">
        <is>
          <t>MOD-LV 480 V board + 480 V : 13.8 kV step-up</t>
        </is>
      </c>
      <c r="I1483" s="12" t="inlineStr">
        <is>
          <t>LV 600 V</t>
        </is>
      </c>
      <c r="J1483" s="12" t="inlineStr">
        <is>
          <t>6</t>
        </is>
      </c>
      <c r="K1483" s="12" t="n">
        <v>1</v>
      </c>
    </row>
    <row r="1484">
      <c r="A1484" s="12" t="inlineStr">
        <is>
          <t>SC-2 stack (80 ft)</t>
        </is>
      </c>
      <c r="B1484" s="12" t="inlineStr"/>
      <c r="C1484" s="12" t="inlineStr">
        <is>
          <t>I</t>
        </is>
      </c>
      <c r="D1484" s="12" t="inlineStr">
        <is>
          <t>Area / platform lighting circuit 1 (4 fixtures)</t>
        </is>
      </c>
      <c r="E1484" s="12" t="n">
        <v>480</v>
      </c>
      <c r="F1484" s="12" t="n">
        <v>3</v>
      </c>
      <c r="G1484" s="12" t="n">
        <v>5</v>
      </c>
      <c r="H1484" s="12" t="inlineStr">
        <is>
          <t>MOD-LV 480 V board + 480 V : 13.8 kV step-up</t>
        </is>
      </c>
      <c r="I1484" s="12" t="inlineStr">
        <is>
          <t>LV 600 V</t>
        </is>
      </c>
      <c r="J1484" s="12" t="inlineStr">
        <is>
          <t>10</t>
        </is>
      </c>
      <c r="K1484" s="12" t="n">
        <v>1</v>
      </c>
    </row>
    <row r="1485">
      <c r="A1485" s="12" t="inlineStr">
        <is>
          <t>SC-2: aeroderivative simple-cycle unit (LM6000 class)</t>
        </is>
      </c>
      <c r="B1485" s="12" t="inlineStr">
        <is>
          <t>SC-2</t>
        </is>
      </c>
      <c r="C1485" s="12" t="inlineStr">
        <is>
          <t>I</t>
        </is>
      </c>
      <c r="D1485" s="12" t="inlineStr">
        <is>
          <t>Motor 1 of 10, 30 kW</t>
        </is>
      </c>
      <c r="E1485" s="12" t="n">
        <v>480</v>
      </c>
      <c r="F1485" s="12" t="n">
        <v>30</v>
      </c>
      <c r="G1485" s="12" t="n">
        <v>42.5</v>
      </c>
      <c r="H1485" s="12" t="inlineStr">
        <is>
          <t>MOD-LV 480 V board + 480 V : 13.8 kV step-up</t>
        </is>
      </c>
      <c r="I1485" s="12" t="inlineStr">
        <is>
          <t>LV 600 V</t>
        </is>
      </c>
      <c r="J1485" s="12" t="inlineStr">
        <is>
          <t>4</t>
        </is>
      </c>
      <c r="K1485" s="12" t="n">
        <v>1</v>
      </c>
    </row>
    <row r="1486">
      <c r="A1486" s="12" t="inlineStr">
        <is>
          <t>SC-2: aeroderivative simple-cycle unit (LM6000 class)</t>
        </is>
      </c>
      <c r="B1486" s="12" t="inlineStr">
        <is>
          <t>SC-2</t>
        </is>
      </c>
      <c r="C1486" s="12" t="inlineStr">
        <is>
          <t>I</t>
        </is>
      </c>
      <c r="D1486" s="12" t="inlineStr">
        <is>
          <t>Motor 2 of 10, 30 kW</t>
        </is>
      </c>
      <c r="E1486" s="12" t="n">
        <v>480</v>
      </c>
      <c r="F1486" s="12" t="n">
        <v>30</v>
      </c>
      <c r="G1486" s="12" t="n">
        <v>42.5</v>
      </c>
      <c r="H1486" s="12" t="inlineStr">
        <is>
          <t>MOD-LV 480 V board + 480 V : 13.8 kV step-up</t>
        </is>
      </c>
      <c r="I1486" s="12" t="inlineStr">
        <is>
          <t>LV 600 V</t>
        </is>
      </c>
      <c r="J1486" s="12" t="inlineStr">
        <is>
          <t>4</t>
        </is>
      </c>
      <c r="K1486" s="12" t="n">
        <v>1</v>
      </c>
    </row>
    <row r="1487">
      <c r="A1487" s="12" t="inlineStr">
        <is>
          <t>SC-2: aeroderivative simple-cycle unit (LM6000 class)</t>
        </is>
      </c>
      <c r="B1487" s="12" t="inlineStr">
        <is>
          <t>SC-2</t>
        </is>
      </c>
      <c r="C1487" s="12" t="inlineStr">
        <is>
          <t>I</t>
        </is>
      </c>
      <c r="D1487" s="12" t="inlineStr">
        <is>
          <t>Motor 3 of 10, 30 kW</t>
        </is>
      </c>
      <c r="E1487" s="12" t="n">
        <v>480</v>
      </c>
      <c r="F1487" s="12" t="n">
        <v>30</v>
      </c>
      <c r="G1487" s="12" t="n">
        <v>42.5</v>
      </c>
      <c r="H1487" s="12" t="inlineStr">
        <is>
          <t>MOD-LV 480 V board + 480 V : 13.8 kV step-up</t>
        </is>
      </c>
      <c r="I1487" s="12" t="inlineStr">
        <is>
          <t>LV 600 V</t>
        </is>
      </c>
      <c r="J1487" s="12" t="inlineStr">
        <is>
          <t>4</t>
        </is>
      </c>
      <c r="K1487" s="12" t="n">
        <v>1</v>
      </c>
    </row>
    <row r="1488">
      <c r="A1488" s="12" t="inlineStr">
        <is>
          <t>SC-2: aeroderivative simple-cycle unit (LM6000 class)</t>
        </is>
      </c>
      <c r="B1488" s="12" t="inlineStr">
        <is>
          <t>SC-2</t>
        </is>
      </c>
      <c r="C1488" s="12" t="inlineStr">
        <is>
          <t>I</t>
        </is>
      </c>
      <c r="D1488" s="12" t="inlineStr">
        <is>
          <t>Motor 4 of 10, 30 kW</t>
        </is>
      </c>
      <c r="E1488" s="12" t="n">
        <v>480</v>
      </c>
      <c r="F1488" s="12" t="n">
        <v>30</v>
      </c>
      <c r="G1488" s="12" t="n">
        <v>42.5</v>
      </c>
      <c r="H1488" s="12" t="inlineStr">
        <is>
          <t>MOD-LV 480 V board + 480 V : 13.8 kV step-up</t>
        </is>
      </c>
      <c r="I1488" s="12" t="inlineStr">
        <is>
          <t>LV 600 V</t>
        </is>
      </c>
      <c r="J1488" s="12" t="inlineStr">
        <is>
          <t>4</t>
        </is>
      </c>
      <c r="K1488" s="12" t="n">
        <v>1</v>
      </c>
    </row>
    <row r="1489">
      <c r="A1489" s="12" t="inlineStr">
        <is>
          <t>SC-2: aeroderivative simple-cycle unit (LM6000 class)</t>
        </is>
      </c>
      <c r="B1489" s="12" t="inlineStr">
        <is>
          <t>SC-2</t>
        </is>
      </c>
      <c r="C1489" s="12" t="inlineStr">
        <is>
          <t>I</t>
        </is>
      </c>
      <c r="D1489" s="12" t="inlineStr">
        <is>
          <t>Motor 5 of 10, 30 kW</t>
        </is>
      </c>
      <c r="E1489" s="12" t="n">
        <v>480</v>
      </c>
      <c r="F1489" s="12" t="n">
        <v>30</v>
      </c>
      <c r="G1489" s="12" t="n">
        <v>42.5</v>
      </c>
      <c r="H1489" s="12" t="inlineStr">
        <is>
          <t>MOD-LV 480 V board + 480 V : 13.8 kV step-up</t>
        </is>
      </c>
      <c r="I1489" s="12" t="inlineStr">
        <is>
          <t>LV 600 V</t>
        </is>
      </c>
      <c r="J1489" s="12" t="inlineStr">
        <is>
          <t>4</t>
        </is>
      </c>
      <c r="K1489" s="12" t="n">
        <v>1</v>
      </c>
    </row>
    <row r="1490">
      <c r="A1490" s="12" t="inlineStr">
        <is>
          <t>SC-2: aeroderivative simple-cycle unit (LM6000 class)</t>
        </is>
      </c>
      <c r="B1490" s="12" t="inlineStr">
        <is>
          <t>SC-2</t>
        </is>
      </c>
      <c r="C1490" s="12" t="inlineStr">
        <is>
          <t>I</t>
        </is>
      </c>
      <c r="D1490" s="12" t="inlineStr">
        <is>
          <t>Motor 6 of 10, 30 kW</t>
        </is>
      </c>
      <c r="E1490" s="12" t="n">
        <v>480</v>
      </c>
      <c r="F1490" s="12" t="n">
        <v>30</v>
      </c>
      <c r="G1490" s="12" t="n">
        <v>42.5</v>
      </c>
      <c r="H1490" s="12" t="inlineStr">
        <is>
          <t>MOD-LV 480 V board + 480 V : 13.8 kV step-up</t>
        </is>
      </c>
      <c r="I1490" s="12" t="inlineStr">
        <is>
          <t>LV 600 V</t>
        </is>
      </c>
      <c r="J1490" s="12" t="inlineStr">
        <is>
          <t>4</t>
        </is>
      </c>
      <c r="K1490" s="12" t="n">
        <v>1</v>
      </c>
    </row>
    <row r="1491">
      <c r="A1491" s="12" t="inlineStr">
        <is>
          <t>SC-2: aeroderivative simple-cycle unit (LM6000 class)</t>
        </is>
      </c>
      <c r="B1491" s="12" t="inlineStr">
        <is>
          <t>SC-2</t>
        </is>
      </c>
      <c r="C1491" s="12" t="inlineStr">
        <is>
          <t>I</t>
        </is>
      </c>
      <c r="D1491" s="12" t="inlineStr">
        <is>
          <t>Motor 7 of 10, 30 kW</t>
        </is>
      </c>
      <c r="E1491" s="12" t="n">
        <v>480</v>
      </c>
      <c r="F1491" s="12" t="n">
        <v>30</v>
      </c>
      <c r="G1491" s="12" t="n">
        <v>42.5</v>
      </c>
      <c r="H1491" s="12" t="inlineStr">
        <is>
          <t>MOD-LV 480 V board + 480 V : 13.8 kV step-up</t>
        </is>
      </c>
      <c r="I1491" s="12" t="inlineStr">
        <is>
          <t>LV 600 V</t>
        </is>
      </c>
      <c r="J1491" s="12" t="inlineStr">
        <is>
          <t>4</t>
        </is>
      </c>
      <c r="K1491" s="12" t="n">
        <v>1</v>
      </c>
    </row>
    <row r="1492">
      <c r="A1492" s="12" t="inlineStr">
        <is>
          <t>SC-2: aeroderivative simple-cycle unit (LM6000 class)</t>
        </is>
      </c>
      <c r="B1492" s="12" t="inlineStr">
        <is>
          <t>SC-2</t>
        </is>
      </c>
      <c r="C1492" s="12" t="inlineStr">
        <is>
          <t>I</t>
        </is>
      </c>
      <c r="D1492" s="12" t="inlineStr">
        <is>
          <t>Motor 8 of 10, 30 kW</t>
        </is>
      </c>
      <c r="E1492" s="12" t="n">
        <v>480</v>
      </c>
      <c r="F1492" s="12" t="n">
        <v>30</v>
      </c>
      <c r="G1492" s="12" t="n">
        <v>42.5</v>
      </c>
      <c r="H1492" s="12" t="inlineStr">
        <is>
          <t>MOD-LV 480 V board + 480 V : 13.8 kV step-up</t>
        </is>
      </c>
      <c r="I1492" s="12" t="inlineStr">
        <is>
          <t>LV 600 V</t>
        </is>
      </c>
      <c r="J1492" s="12" t="inlineStr">
        <is>
          <t>4</t>
        </is>
      </c>
      <c r="K1492" s="12" t="n">
        <v>1</v>
      </c>
    </row>
    <row r="1493">
      <c r="A1493" s="12" t="inlineStr">
        <is>
          <t>SC-2: aeroderivative simple-cycle unit (LM6000 class)</t>
        </is>
      </c>
      <c r="B1493" s="12" t="inlineStr">
        <is>
          <t>SC-2</t>
        </is>
      </c>
      <c r="C1493" s="12" t="inlineStr">
        <is>
          <t>I</t>
        </is>
      </c>
      <c r="D1493" s="12" t="inlineStr">
        <is>
          <t>Motor 9 of 10, 30 kW</t>
        </is>
      </c>
      <c r="E1493" s="12" t="n">
        <v>480</v>
      </c>
      <c r="F1493" s="12" t="n">
        <v>30</v>
      </c>
      <c r="G1493" s="12" t="n">
        <v>42.5</v>
      </c>
      <c r="H1493" s="12" t="inlineStr">
        <is>
          <t>MOD-LV 480 V board + 480 V : 13.8 kV step-up</t>
        </is>
      </c>
      <c r="I1493" s="12" t="inlineStr">
        <is>
          <t>LV 600 V</t>
        </is>
      </c>
      <c r="J1493" s="12" t="inlineStr">
        <is>
          <t>4</t>
        </is>
      </c>
      <c r="K1493" s="12" t="n">
        <v>1</v>
      </c>
    </row>
    <row r="1494">
      <c r="A1494" s="12" t="inlineStr">
        <is>
          <t>SC-2: aeroderivative simple-cycle unit (LM6000 class)</t>
        </is>
      </c>
      <c r="B1494" s="12" t="inlineStr">
        <is>
          <t>SC-2</t>
        </is>
      </c>
      <c r="C1494" s="12" t="inlineStr">
        <is>
          <t>I</t>
        </is>
      </c>
      <c r="D1494" s="12" t="inlineStr">
        <is>
          <t>Motor 10 of 10, 30 kW</t>
        </is>
      </c>
      <c r="E1494" s="12" t="n">
        <v>480</v>
      </c>
      <c r="F1494" s="12" t="n">
        <v>30</v>
      </c>
      <c r="G1494" s="12" t="n">
        <v>42.5</v>
      </c>
      <c r="H1494" s="12" t="inlineStr">
        <is>
          <t>MOD-LV 480 V board + 480 V : 13.8 kV step-up</t>
        </is>
      </c>
      <c r="I1494" s="12" t="inlineStr">
        <is>
          <t>LV 600 V</t>
        </is>
      </c>
      <c r="J1494" s="12" t="inlineStr">
        <is>
          <t>4</t>
        </is>
      </c>
      <c r="K1494" s="12" t="n">
        <v>1</v>
      </c>
    </row>
    <row r="1495">
      <c r="A1495" s="12" t="inlineStr">
        <is>
          <t>T-MOD 230 kV take-off gantry with arresters</t>
        </is>
      </c>
      <c r="B1495" s="12" t="inlineStr"/>
      <c r="C1495" s="12" t="inlineStr">
        <is>
          <t>I</t>
        </is>
      </c>
      <c r="D1495" s="12" t="inlineStr">
        <is>
          <t>Motor 1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2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3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4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5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 230 kV take-off gantry with arresters</t>
        </is>
      </c>
      <c r="B1500" s="12" t="inlineStr"/>
      <c r="C1500" s="12" t="inlineStr">
        <is>
          <t>I</t>
        </is>
      </c>
      <c r="D1500" s="12" t="inlineStr">
        <is>
          <t>Motor 6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1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2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3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4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5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 T-MOD-2 firewall</t>
        </is>
      </c>
      <c r="B1506" s="12" t="inlineStr"/>
      <c r="C1506" s="12" t="inlineStr">
        <is>
          <t>I</t>
        </is>
      </c>
      <c r="D1506" s="12" t="inlineStr">
        <is>
          <t>Motor 6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1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2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3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4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5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T-MOD-1: 13.8/230 kV</t>
        </is>
      </c>
      <c r="B1512" s="12" t="inlineStr">
        <is>
          <t>T-MOD-1</t>
        </is>
      </c>
      <c r="C1512" s="12" t="inlineStr">
        <is>
          <t>I</t>
        </is>
      </c>
      <c r="D1512" s="12" t="inlineStr">
        <is>
          <t>Motor 6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1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2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3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4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5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T-MOD-2: 13.8/230 kV</t>
        </is>
      </c>
      <c r="B1518" s="12" t="inlineStr">
        <is>
          <t>T-MOD-2</t>
        </is>
      </c>
      <c r="C1518" s="12" t="inlineStr">
        <is>
          <t>I</t>
        </is>
      </c>
      <c r="D1518" s="12" t="inlineStr">
        <is>
          <t>Motor 6 of 6, 2 kW</t>
        </is>
      </c>
      <c r="E1518" s="12" t="n">
        <v>480</v>
      </c>
      <c r="F1518" s="12" t="n">
        <v>2</v>
      </c>
      <c r="G1518" s="12" t="n">
        <v>2.8</v>
      </c>
      <c r="H1518" s="12" t="inlineStr">
        <is>
          <t>MOD-LV 480 V board + 480 V : 13.8 kV step-up</t>
        </is>
      </c>
      <c r="I1518" s="12" t="inlineStr">
        <is>
          <t>LV 600 V</t>
        </is>
      </c>
      <c r="J1518" s="12" t="inlineStr">
        <is>
          <t>10</t>
        </is>
      </c>
      <c r="K1518" s="12" t="n">
        <v>1</v>
      </c>
    </row>
    <row r="1519">
      <c r="A1519" s="12" t="inlineStr">
        <is>
          <t>TM-1: trailer-mounted aeroderivative GT (TM2500 class, ~35 MW)</t>
        </is>
      </c>
      <c r="B1519" s="12" t="inlineStr">
        <is>
          <t>TM-1</t>
        </is>
      </c>
      <c r="C1519" s="12" t="inlineStr">
        <is>
          <t>I</t>
        </is>
      </c>
      <c r="D1519" s="12" t="inlineStr">
        <is>
          <t>Motor 1 of 6, 22 kW</t>
        </is>
      </c>
      <c r="E1519" s="12" t="n">
        <v>480</v>
      </c>
      <c r="F1519" s="12" t="n">
        <v>22</v>
      </c>
      <c r="G1519" s="12" t="n">
        <v>31.1</v>
      </c>
      <c r="H1519" s="12" t="inlineStr">
        <is>
          <t>PAD-LV 480 V paralleling switchboard</t>
        </is>
      </c>
      <c r="I1519" s="12" t="inlineStr">
        <is>
          <t>LV 600 V</t>
        </is>
      </c>
      <c r="J1519" s="12" t="inlineStr">
        <is>
          <t>8</t>
        </is>
      </c>
      <c r="K1519" s="12" t="n">
        <v>1</v>
      </c>
    </row>
    <row r="1520">
      <c r="A1520" s="12" t="inlineStr">
        <is>
          <t>TM-1: trailer-mounted aeroderivative GT (TM2500 class, ~35 MW)</t>
        </is>
      </c>
      <c r="B1520" s="12" t="inlineStr">
        <is>
          <t>TM-1</t>
        </is>
      </c>
      <c r="C1520" s="12" t="inlineStr">
        <is>
          <t>I</t>
        </is>
      </c>
      <c r="D1520" s="12" t="inlineStr">
        <is>
          <t>Motor 2 of 6, 22 kW</t>
        </is>
      </c>
      <c r="E1520" s="12" t="n">
        <v>480</v>
      </c>
      <c r="F1520" s="12" t="n">
        <v>22</v>
      </c>
      <c r="G1520" s="12" t="n">
        <v>31.1</v>
      </c>
      <c r="H1520" s="12" t="inlineStr">
        <is>
          <t>PAD-LV 480 V paralleling switchboard</t>
        </is>
      </c>
      <c r="I1520" s="12" t="inlineStr">
        <is>
          <t>LV 600 V</t>
        </is>
      </c>
      <c r="J1520" s="12" t="inlineStr">
        <is>
          <t>8</t>
        </is>
      </c>
      <c r="K1520" s="12" t="n">
        <v>1</v>
      </c>
    </row>
    <row r="1521">
      <c r="A1521" s="12" t="inlineStr">
        <is>
          <t>TM-1: trailer-mounted aeroderivative GT (TM2500 class, ~35 MW)</t>
        </is>
      </c>
      <c r="B1521" s="12" t="inlineStr">
        <is>
          <t>TM-1</t>
        </is>
      </c>
      <c r="C1521" s="12" t="inlineStr">
        <is>
          <t>I</t>
        </is>
      </c>
      <c r="D1521" s="12" t="inlineStr">
        <is>
          <t>Motor 3 of 6, 22 kW</t>
        </is>
      </c>
      <c r="E1521" s="12" t="n">
        <v>480</v>
      </c>
      <c r="F1521" s="12" t="n">
        <v>22</v>
      </c>
      <c r="G1521" s="12" t="n">
        <v>31.1</v>
      </c>
      <c r="H1521" s="12" t="inlineStr">
        <is>
          <t>PAD-LV 480 V paralleling switchboard</t>
        </is>
      </c>
      <c r="I1521" s="12" t="inlineStr">
        <is>
          <t>LV 600 V</t>
        </is>
      </c>
      <c r="J1521" s="12" t="inlineStr">
        <is>
          <t>8</t>
        </is>
      </c>
      <c r="K1521" s="12" t="n">
        <v>1</v>
      </c>
    </row>
    <row r="1522">
      <c r="A1522" s="12" t="inlineStr">
        <is>
          <t>TM-1: trailer-mounted aeroderivative GT (TM2500 class, ~35 MW)</t>
        </is>
      </c>
      <c r="B1522" s="12" t="inlineStr">
        <is>
          <t>TM-1</t>
        </is>
      </c>
      <c r="C1522" s="12" t="inlineStr">
        <is>
          <t>I</t>
        </is>
      </c>
      <c r="D1522" s="12" t="inlineStr">
        <is>
          <t>Motor 4 of 6, 22 kW</t>
        </is>
      </c>
      <c r="E1522" s="12" t="n">
        <v>480</v>
      </c>
      <c r="F1522" s="12" t="n">
        <v>22</v>
      </c>
      <c r="G1522" s="12" t="n">
        <v>31.1</v>
      </c>
      <c r="H1522" s="12" t="inlineStr">
        <is>
          <t>PAD-LV 480 V paralleling switchboard</t>
        </is>
      </c>
      <c r="I1522" s="12" t="inlineStr">
        <is>
          <t>LV 600 V</t>
        </is>
      </c>
      <c r="J1522" s="12" t="inlineStr">
        <is>
          <t>8</t>
        </is>
      </c>
      <c r="K1522" s="12" t="n">
        <v>1</v>
      </c>
    </row>
    <row r="1523">
      <c r="A1523" s="12" t="inlineStr">
        <is>
          <t>TM-1: trailer-mounted aeroderivative GT (TM2500 class, ~35 MW)</t>
        </is>
      </c>
      <c r="B1523" s="12" t="inlineStr">
        <is>
          <t>TM-1</t>
        </is>
      </c>
      <c r="C1523" s="12" t="inlineStr">
        <is>
          <t>I</t>
        </is>
      </c>
      <c r="D1523" s="12" t="inlineStr">
        <is>
          <t>Motor 5 of 6, 22 kW</t>
        </is>
      </c>
      <c r="E1523" s="12" t="n">
        <v>480</v>
      </c>
      <c r="F1523" s="12" t="n">
        <v>22</v>
      </c>
      <c r="G1523" s="12" t="n">
        <v>31.1</v>
      </c>
      <c r="H1523" s="12" t="inlineStr">
        <is>
          <t>PAD-LV 480 V paralleling switchboard</t>
        </is>
      </c>
      <c r="I1523" s="12" t="inlineStr">
        <is>
          <t>LV 600 V</t>
        </is>
      </c>
      <c r="J1523" s="12" t="inlineStr">
        <is>
          <t>8</t>
        </is>
      </c>
      <c r="K1523" s="12" t="n">
        <v>1</v>
      </c>
    </row>
    <row r="1524">
      <c r="A1524" s="12" t="inlineStr">
        <is>
          <t>TM-1: trailer-mounted aeroderivative GT (TM2500 class, ~35 MW)</t>
        </is>
      </c>
      <c r="B1524" s="12" t="inlineStr">
        <is>
          <t>TM-1</t>
        </is>
      </c>
      <c r="C1524" s="12" t="inlineStr">
        <is>
          <t>I</t>
        </is>
      </c>
      <c r="D1524" s="12" t="inlineStr">
        <is>
          <t>Motor 6 of 6, 22 kW</t>
        </is>
      </c>
      <c r="E1524" s="12" t="n">
        <v>480</v>
      </c>
      <c r="F1524" s="12" t="n">
        <v>22</v>
      </c>
      <c r="G1524" s="12" t="n">
        <v>31.1</v>
      </c>
      <c r="H1524" s="12" t="inlineStr">
        <is>
          <t>PAD-LV 480 V paralleling switchboard</t>
        </is>
      </c>
      <c r="I1524" s="12" t="inlineStr">
        <is>
          <t>LV 600 V</t>
        </is>
      </c>
      <c r="J1524" s="12" t="inlineStr">
        <is>
          <t>8</t>
        </is>
      </c>
      <c r="K1524" s="12" t="n">
        <v>1</v>
      </c>
    </row>
    <row r="1525">
      <c r="A1525" s="12" t="inlineStr">
        <is>
          <t>TM-2: trailer-mounted aeroderivative GT (TM2500 class, ~35 MW)</t>
        </is>
      </c>
      <c r="B1525" s="12" t="inlineStr">
        <is>
          <t>TM-2</t>
        </is>
      </c>
      <c r="C1525" s="12" t="inlineStr">
        <is>
          <t>I</t>
        </is>
      </c>
      <c r="D1525" s="12" t="inlineStr">
        <is>
          <t>Motor 1 of 6, 22 kW</t>
        </is>
      </c>
      <c r="E1525" s="12" t="n">
        <v>480</v>
      </c>
      <c r="F1525" s="12" t="n">
        <v>22</v>
      </c>
      <c r="G1525" s="12" t="n">
        <v>31.1</v>
      </c>
      <c r="H1525" s="12" t="inlineStr">
        <is>
          <t>PAD-LV 480 V paralleling switchboard</t>
        </is>
      </c>
      <c r="I1525" s="12" t="inlineStr">
        <is>
          <t>LV 600 V</t>
        </is>
      </c>
      <c r="J1525" s="12" t="inlineStr">
        <is>
          <t>8</t>
        </is>
      </c>
      <c r="K1525" s="12" t="n">
        <v>1</v>
      </c>
    </row>
    <row r="1526">
      <c r="A1526" s="12" t="inlineStr">
        <is>
          <t>TM-2: trailer-mounted aeroderivative GT (TM2500 class, ~35 MW)</t>
        </is>
      </c>
      <c r="B1526" s="12" t="inlineStr">
        <is>
          <t>TM-2</t>
        </is>
      </c>
      <c r="C1526" s="12" t="inlineStr">
        <is>
          <t>I</t>
        </is>
      </c>
      <c r="D1526" s="12" t="inlineStr">
        <is>
          <t>Motor 2 of 6, 22 kW</t>
        </is>
      </c>
      <c r="E1526" s="12" t="n">
        <v>480</v>
      </c>
      <c r="F1526" s="12" t="n">
        <v>22</v>
      </c>
      <c r="G1526" s="12" t="n">
        <v>31.1</v>
      </c>
      <c r="H1526" s="12" t="inlineStr">
        <is>
          <t>PAD-LV 480 V paralleling switchboard</t>
        </is>
      </c>
      <c r="I1526" s="12" t="inlineStr">
        <is>
          <t>LV 600 V</t>
        </is>
      </c>
      <c r="J1526" s="12" t="inlineStr">
        <is>
          <t>8</t>
        </is>
      </c>
      <c r="K1526" s="12" t="n">
        <v>1</v>
      </c>
    </row>
    <row r="1527">
      <c r="A1527" s="12" t="inlineStr">
        <is>
          <t>TM-2: trailer-mounted aeroderivative GT (TM2500 class, ~35 MW)</t>
        </is>
      </c>
      <c r="B1527" s="12" t="inlineStr">
        <is>
          <t>TM-2</t>
        </is>
      </c>
      <c r="C1527" s="12" t="inlineStr">
        <is>
          <t>I</t>
        </is>
      </c>
      <c r="D1527" s="12" t="inlineStr">
        <is>
          <t>Motor 3 of 6, 22 kW</t>
        </is>
      </c>
      <c r="E1527" s="12" t="n">
        <v>480</v>
      </c>
      <c r="F1527" s="12" t="n">
        <v>22</v>
      </c>
      <c r="G1527" s="12" t="n">
        <v>31.1</v>
      </c>
      <c r="H1527" s="12" t="inlineStr">
        <is>
          <t>PAD-LV 480 V paralleling switchboard</t>
        </is>
      </c>
      <c r="I1527" s="12" t="inlineStr">
        <is>
          <t>LV 600 V</t>
        </is>
      </c>
      <c r="J1527" s="12" t="inlineStr">
        <is>
          <t>8</t>
        </is>
      </c>
      <c r="K1527" s="12" t="n">
        <v>1</v>
      </c>
    </row>
    <row r="1528">
      <c r="A1528" s="12" t="inlineStr">
        <is>
          <t>TM-2: trailer-mounted aeroderivative GT (TM2500 class, ~35 MW)</t>
        </is>
      </c>
      <c r="B1528" s="12" t="inlineStr">
        <is>
          <t>TM-2</t>
        </is>
      </c>
      <c r="C1528" s="12" t="inlineStr">
        <is>
          <t>I</t>
        </is>
      </c>
      <c r="D1528" s="12" t="inlineStr">
        <is>
          <t>Motor 4 of 6, 22 kW</t>
        </is>
      </c>
      <c r="E1528" s="12" t="n">
        <v>480</v>
      </c>
      <c r="F1528" s="12" t="n">
        <v>22</v>
      </c>
      <c r="G1528" s="12" t="n">
        <v>31.1</v>
      </c>
      <c r="H1528" s="12" t="inlineStr">
        <is>
          <t>PAD-LV 480 V paralleling switchboard</t>
        </is>
      </c>
      <c r="I1528" s="12" t="inlineStr">
        <is>
          <t>LV 600 V</t>
        </is>
      </c>
      <c r="J1528" s="12" t="inlineStr">
        <is>
          <t>8</t>
        </is>
      </c>
      <c r="K1528" s="12" t="n">
        <v>1</v>
      </c>
    </row>
    <row r="1529">
      <c r="A1529" s="12" t="inlineStr">
        <is>
          <t>TM-2: trailer-mounted aeroderivative GT (TM2500 class, ~35 MW)</t>
        </is>
      </c>
      <c r="B1529" s="12" t="inlineStr">
        <is>
          <t>TM-2</t>
        </is>
      </c>
      <c r="C1529" s="12" t="inlineStr">
        <is>
          <t>I</t>
        </is>
      </c>
      <c r="D1529" s="12" t="inlineStr">
        <is>
          <t>Motor 5 of 6, 22 kW</t>
        </is>
      </c>
      <c r="E1529" s="12" t="n">
        <v>480</v>
      </c>
      <c r="F1529" s="12" t="n">
        <v>22</v>
      </c>
      <c r="G1529" s="12" t="n">
        <v>31.1</v>
      </c>
      <c r="H1529" s="12" t="inlineStr">
        <is>
          <t>PAD-LV 480 V paralleling switchboard</t>
        </is>
      </c>
      <c r="I1529" s="12" t="inlineStr">
        <is>
          <t>LV 600 V</t>
        </is>
      </c>
      <c r="J1529" s="12" t="inlineStr">
        <is>
          <t>8</t>
        </is>
      </c>
      <c r="K1529" s="12" t="n">
        <v>1</v>
      </c>
    </row>
    <row r="1530">
      <c r="A1530" s="12" t="inlineStr">
        <is>
          <t>TM-2: trailer-mounted aeroderivative GT (TM2500 class, ~35 MW)</t>
        </is>
      </c>
      <c r="B1530" s="12" t="inlineStr">
        <is>
          <t>TM-2</t>
        </is>
      </c>
      <c r="C1530" s="12" t="inlineStr">
        <is>
          <t>I</t>
        </is>
      </c>
      <c r="D1530" s="12" t="inlineStr">
        <is>
          <t>Motor 6 of 6, 22 kW</t>
        </is>
      </c>
      <c r="E1530" s="12" t="n">
        <v>480</v>
      </c>
      <c r="F1530" s="12" t="n">
        <v>22</v>
      </c>
      <c r="G1530" s="12" t="n">
        <v>31.1</v>
      </c>
      <c r="H1530" s="12" t="inlineStr">
        <is>
          <t>PAD-LV 480 V paralleling switchboard</t>
        </is>
      </c>
      <c r="I1530" s="12" t="inlineStr">
        <is>
          <t>LV 600 V</t>
        </is>
      </c>
      <c r="J1530" s="12" t="inlineStr">
        <is>
          <t>8</t>
        </is>
      </c>
      <c r="K1530" s="12" t="n">
        <v>1</v>
      </c>
    </row>
    <row r="1531">
      <c r="A1531" s="12" t="inlineStr">
        <is>
          <t>Water-injection skid</t>
        </is>
      </c>
      <c r="B1531" s="12" t="inlineStr"/>
      <c r="C1531" s="12" t="inlineStr">
        <is>
          <t>I</t>
        </is>
      </c>
      <c r="D1531" s="12" t="inlineStr">
        <is>
          <t>LV power feeder</t>
        </is>
      </c>
      <c r="E1531" s="12" t="n">
        <v>480</v>
      </c>
      <c r="F1531" s="12" t="n">
        <v>15</v>
      </c>
      <c r="G1531" s="12" t="n">
        <v>21.2</v>
      </c>
      <c r="H1531" s="12" t="inlineStr">
        <is>
          <t>MOD-LV 480 V board + 480 V : 13.8 kV step-up</t>
        </is>
      </c>
      <c r="I1531" s="12" t="inlineStr">
        <is>
          <t>LV 600 V</t>
        </is>
      </c>
      <c r="J1531" s="12" t="inlineStr">
        <is>
          <t>8</t>
        </is>
      </c>
      <c r="K1531" s="12" t="n">
        <v>1</v>
      </c>
    </row>
    <row r="1532">
      <c r="A1532" s="12" t="inlineStr">
        <is>
          <t>CONT paralleling switchgear e-house</t>
        </is>
      </c>
      <c r="B1532" s="12" t="inlineStr">
        <is>
          <t>CONT-EH</t>
        </is>
      </c>
      <c r="C1532" s="12" t="inlineStr">
        <is>
          <t>I</t>
        </is>
      </c>
      <c r="D1532" s="12" t="inlineStr">
        <is>
          <t>CONT-3 13.8 kV to CONT-EH (ground tray)</t>
        </is>
      </c>
      <c r="E1532" s="12" t="n">
        <v>13800</v>
      </c>
      <c r="F1532" s="12" t="n">
        <v>2000</v>
      </c>
      <c r="G1532" s="12" t="n">
        <v>93</v>
      </c>
      <c r="H1532" s="12" t="inlineStr">
        <is>
          <t>CONT-3: containerized gas genset 13.8 kV (40 ft)</t>
        </is>
      </c>
      <c r="I1532" s="12" t="inlineStr">
        <is>
          <t>MV 15 kV</t>
        </is>
      </c>
      <c r="J1532" s="12" t="inlineStr">
        <is>
          <t>2</t>
        </is>
      </c>
      <c r="K1532" s="12" t="n">
        <v>1</v>
      </c>
    </row>
    <row r="1533">
      <c r="A1533" s="12" t="inlineStr">
        <is>
          <t>CONT paralleling switchgear e-house</t>
        </is>
      </c>
      <c r="B1533" s="12" t="inlineStr">
        <is>
          <t>CONT-EH</t>
        </is>
      </c>
      <c r="C1533" s="12" t="inlineStr">
        <is>
          <t>I</t>
        </is>
      </c>
      <c r="D1533" s="12" t="inlineStr">
        <is>
          <t>CONT-4 13.8 kV to CONT-EH (ground tray)</t>
        </is>
      </c>
      <c r="E1533" s="12" t="n">
        <v>13800</v>
      </c>
      <c r="F1533" s="12" t="n">
        <v>2000</v>
      </c>
      <c r="G1533" s="12" t="n">
        <v>93</v>
      </c>
      <c r="H1533" s="12" t="inlineStr">
        <is>
          <t>CONT-4: containerized gas genset 13.8 kV (40 ft)</t>
        </is>
      </c>
      <c r="I1533" s="12" t="inlineStr">
        <is>
          <t>MV 15 kV</t>
        </is>
      </c>
      <c r="J1533" s="12" t="inlineStr">
        <is>
          <t>2</t>
        </is>
      </c>
      <c r="K1533" s="12" t="n">
        <v>1</v>
      </c>
    </row>
    <row r="1534">
      <c r="A1534" s="12" t="inlineStr">
        <is>
          <t>CONT paralleling switchgear e-house</t>
        </is>
      </c>
      <c r="B1534" s="12" t="inlineStr">
        <is>
          <t>CONT-EH</t>
        </is>
      </c>
      <c r="C1534" s="12" t="inlineStr">
        <is>
          <t>I</t>
        </is>
      </c>
      <c r="D1534" s="12" t="inlineStr">
        <is>
          <t>CONT-5 13.8 kV to CONT-EH (ground tray)</t>
        </is>
      </c>
      <c r="E1534" s="12" t="n">
        <v>13800</v>
      </c>
      <c r="F1534" s="12" t="n">
        <v>2000</v>
      </c>
      <c r="G1534" s="12" t="n">
        <v>93</v>
      </c>
      <c r="H1534" s="12" t="inlineStr">
        <is>
          <t>CONT-5: containerized gas genset 13.8 kV (40 ft)</t>
        </is>
      </c>
      <c r="I1534" s="12" t="inlineStr">
        <is>
          <t>MV 15 kV</t>
        </is>
      </c>
      <c r="J1534" s="12" t="inlineStr">
        <is>
          <t>2</t>
        </is>
      </c>
      <c r="K1534" s="12" t="n">
        <v>1</v>
      </c>
    </row>
    <row r="1535">
      <c r="A1535" s="12" t="inlineStr">
        <is>
          <t>CONT paralleling switchgear e-house</t>
        </is>
      </c>
      <c r="B1535" s="12" t="inlineStr">
        <is>
          <t>CONT-EH</t>
        </is>
      </c>
      <c r="C1535" s="12" t="inlineStr">
        <is>
          <t>I</t>
        </is>
      </c>
      <c r="D1535" s="12" t="inlineStr">
        <is>
          <t>CONT-6 13.8 kV to CONT-EH (ground tray)</t>
        </is>
      </c>
      <c r="E1535" s="12" t="n">
        <v>13800</v>
      </c>
      <c r="F1535" s="12" t="n">
        <v>2000</v>
      </c>
      <c r="G1535" s="12" t="n">
        <v>93</v>
      </c>
      <c r="H1535" s="12" t="inlineStr">
        <is>
          <t>CONT-6: containerized gas genset 13.8 kV (40 ft)</t>
        </is>
      </c>
      <c r="I1535" s="12" t="inlineStr">
        <is>
          <t>MV 15 kV</t>
        </is>
      </c>
      <c r="J1535" s="12" t="inlineStr">
        <is>
          <t>2</t>
        </is>
      </c>
      <c r="K1535" s="12" t="n">
        <v>1</v>
      </c>
    </row>
    <row r="1536">
      <c r="A1536" s="12" t="inlineStr">
        <is>
          <t>CONT paralleling switchgear e-house</t>
        </is>
      </c>
      <c r="B1536" s="12" t="inlineStr">
        <is>
          <t>CONT-EH</t>
        </is>
      </c>
      <c r="C1536" s="12" t="inlineStr">
        <is>
          <t>I</t>
        </is>
      </c>
      <c r="D1536" s="12" t="inlineStr">
        <is>
          <t>CONT-7 13.8 kV to CONT-EH (ground tray)</t>
        </is>
      </c>
      <c r="E1536" s="12" t="n">
        <v>13800</v>
      </c>
      <c r="F1536" s="12" t="n">
        <v>2000</v>
      </c>
      <c r="G1536" s="12" t="n">
        <v>93</v>
      </c>
      <c r="H1536" s="12" t="inlineStr">
        <is>
          <t>CONT-7: containerized gas genset 13.8 kV (40 ft)</t>
        </is>
      </c>
      <c r="I1536" s="12" t="inlineStr">
        <is>
          <t>MV 15 kV</t>
        </is>
      </c>
      <c r="J1536" s="12" t="inlineStr">
        <is>
          <t>2</t>
        </is>
      </c>
      <c r="K1536" s="12" t="n">
        <v>1</v>
      </c>
    </row>
    <row r="1537">
      <c r="A1537" s="12" t="inlineStr">
        <is>
          <t>CONT paralleling switchgear e-house</t>
        </is>
      </c>
      <c r="B1537" s="12" t="inlineStr">
        <is>
          <t>CONT-EH</t>
        </is>
      </c>
      <c r="C1537" s="12" t="inlineStr">
        <is>
          <t>I</t>
        </is>
      </c>
      <c r="D1537" s="12" t="inlineStr">
        <is>
          <t>CONT-8 13.8 kV to CONT-EH (ground tray)</t>
        </is>
      </c>
      <c r="E1537" s="12" t="n">
        <v>13800</v>
      </c>
      <c r="F1537" s="12" t="n">
        <v>2000</v>
      </c>
      <c r="G1537" s="12" t="n">
        <v>93</v>
      </c>
      <c r="H1537" s="12" t="inlineStr">
        <is>
          <t>CONT-8: containerized gas genset 13.8 kV (40 ft)</t>
        </is>
      </c>
      <c r="I1537" s="12" t="inlineStr">
        <is>
          <t>MV 15 kV</t>
        </is>
      </c>
      <c r="J1537" s="12" t="inlineStr">
        <is>
          <t>2</t>
        </is>
      </c>
      <c r="K1537" s="12" t="n">
        <v>1</v>
      </c>
    </row>
    <row r="1538">
      <c r="A1538" s="12" t="inlineStr">
        <is>
          <t>Fuel-gas compressors 3 x 100% electric</t>
        </is>
      </c>
      <c r="B1538" s="12" t="inlineStr"/>
      <c r="C1538" s="12" t="inlineStr">
        <is>
          <t>I</t>
        </is>
      </c>
      <c r="D1538" s="12" t="inlineStr">
        <is>
          <t>Modular-yard fuel-gas compressor</t>
        </is>
      </c>
      <c r="E1538" s="12" t="n">
        <v>13800</v>
      </c>
      <c r="F1538" s="12" t="n">
        <v>1500</v>
      </c>
      <c r="G1538" s="12" t="n">
        <v>70</v>
      </c>
      <c r="H1538" s="12" t="inlineStr">
        <is>
          <t>MOD-EH: 13.8 kV modular collector e-house</t>
        </is>
      </c>
      <c r="I1538" s="12" t="inlineStr">
        <is>
          <t>MV 15 kV</t>
        </is>
      </c>
      <c r="J1538" s="12" t="inlineStr">
        <is>
          <t>2</t>
        </is>
      </c>
      <c r="K1538" s="12" t="n">
        <v>1</v>
      </c>
    </row>
    <row r="1539">
      <c r="A1539" s="12" t="inlineStr">
        <is>
          <t>Fuel-gas compressors 3 x 100% electric</t>
        </is>
      </c>
      <c r="B1539" s="12" t="inlineStr"/>
      <c r="C1539" s="12" t="inlineStr">
        <is>
          <t>I</t>
        </is>
      </c>
      <c r="D1539" s="12" t="inlineStr">
        <is>
          <t>Modular-yard fuel-gas compressor</t>
        </is>
      </c>
      <c r="E1539" s="12" t="n">
        <v>13800</v>
      </c>
      <c r="F1539" s="12" t="n">
        <v>1500</v>
      </c>
      <c r="G1539" s="12" t="n">
        <v>70</v>
      </c>
      <c r="H1539" s="12" t="inlineStr">
        <is>
          <t>MOD-EH: 13.8 kV modular collector e-house</t>
        </is>
      </c>
      <c r="I1539" s="12" t="inlineStr">
        <is>
          <t>MV 15 kV</t>
        </is>
      </c>
      <c r="J1539" s="12" t="inlineStr">
        <is>
          <t>2</t>
        </is>
      </c>
      <c r="K1539" s="12" t="n">
        <v>1</v>
      </c>
    </row>
    <row r="1540">
      <c r="A1540" s="12" t="inlineStr">
        <is>
          <t>Fuel-gas compressors 3 x 100% electric</t>
        </is>
      </c>
      <c r="B1540" s="12" t="inlineStr"/>
      <c r="C1540" s="12" t="inlineStr">
        <is>
          <t>I</t>
        </is>
      </c>
      <c r="D1540" s="12" t="inlineStr">
        <is>
          <t>Modular-yard fuel-gas compressor</t>
        </is>
      </c>
      <c r="E1540" s="12" t="n">
        <v>13800</v>
      </c>
      <c r="F1540" s="12" t="n">
        <v>1500</v>
      </c>
      <c r="G1540" s="12" t="n">
        <v>70</v>
      </c>
      <c r="H1540" s="12" t="inlineStr">
        <is>
          <t>MOD-EH: 13.8 kV modular collector e-house</t>
        </is>
      </c>
      <c r="I1540" s="12" t="inlineStr">
        <is>
          <t>MV 15 kV</t>
        </is>
      </c>
      <c r="J1540" s="12" t="inlineStr">
        <is>
          <t>2</t>
        </is>
      </c>
      <c r="K1540" s="12" t="n">
        <v>1</v>
      </c>
    </row>
    <row r="1541">
      <c r="A1541" s="12" t="inlineStr">
        <is>
          <t>MOD-EH: 13.8 kV modular collector e-house</t>
        </is>
      </c>
      <c r="B1541" s="12" t="inlineStr">
        <is>
          <t>MOD-EH</t>
        </is>
      </c>
      <c r="C1541" s="12" t="inlineStr">
        <is>
          <t>I</t>
        </is>
      </c>
      <c r="D1541" s="12" t="inlineStr">
        <is>
          <t>SC-1 PCM to MOD-EH</t>
        </is>
      </c>
      <c r="E1541" s="12" t="n">
        <v>13800</v>
      </c>
      <c r="F1541" s="12" t="n">
        <v>50000</v>
      </c>
      <c r="G1541" s="12" t="n">
        <v>2092</v>
      </c>
      <c r="H1541" s="12" t="inlineStr">
        <is>
          <t>SC-1 PCM + 15 kV GCB</t>
        </is>
      </c>
      <c r="I1541" s="12" t="inlineStr">
        <is>
          <t>MV 15 kV</t>
        </is>
      </c>
      <c r="J1541" s="12" t="inlineStr">
        <is>
          <t>750 kcmil</t>
        </is>
      </c>
      <c r="K1541" s="12" t="n">
        <v>5</v>
      </c>
    </row>
    <row r="1542">
      <c r="A1542" s="12" t="inlineStr">
        <is>
          <t>MOD-EH: 13.8 kV modular collector e-house</t>
        </is>
      </c>
      <c r="B1542" s="12" t="inlineStr">
        <is>
          <t>MOD-EH</t>
        </is>
      </c>
      <c r="C1542" s="12" t="inlineStr">
        <is>
          <t>I</t>
        </is>
      </c>
      <c r="D1542" s="12" t="inlineStr">
        <is>
          <t>SC-2 PCM to MOD-EH</t>
        </is>
      </c>
      <c r="E1542" s="12" t="n">
        <v>13800</v>
      </c>
      <c r="F1542" s="12" t="n">
        <v>50000</v>
      </c>
      <c r="G1542" s="12" t="n">
        <v>2092</v>
      </c>
      <c r="H1542" s="12" t="inlineStr">
        <is>
          <t>SC-2 PCM + 15 kV GCB</t>
        </is>
      </c>
      <c r="I1542" s="12" t="inlineStr">
        <is>
          <t>MV 15 kV</t>
        </is>
      </c>
      <c r="J1542" s="12" t="inlineStr">
        <is>
          <t>750 kcmil</t>
        </is>
      </c>
      <c r="K1542" s="12" t="n">
        <v>5</v>
      </c>
    </row>
    <row r="1543">
      <c r="A1543" s="12" t="inlineStr">
        <is>
          <t>MOD-EH: 13.8 kV modular collector e-house</t>
        </is>
      </c>
      <c r="B1543" s="12" t="inlineStr">
        <is>
          <t>MOD-EH</t>
        </is>
      </c>
      <c r="C1543" s="12" t="inlineStr">
        <is>
          <t>I</t>
        </is>
      </c>
      <c r="D1543" s="12" t="inlineStr">
        <is>
          <t>MOD-LV step-up to MOD-EH</t>
        </is>
      </c>
      <c r="E1543" s="12" t="n">
        <v>13800</v>
      </c>
      <c r="F1543" s="12" t="n">
        <v>7500</v>
      </c>
      <c r="G1543" s="12" t="n">
        <v>314</v>
      </c>
      <c r="H1543" s="12" t="inlineStr">
        <is>
          <t>MOD-LV 480 V board + 480 V : 13.8 kV step-up</t>
        </is>
      </c>
      <c r="I1543" s="12" t="inlineStr">
        <is>
          <t>MV 15 kV</t>
        </is>
      </c>
      <c r="J1543" s="12" t="inlineStr">
        <is>
          <t>500 kcmil</t>
        </is>
      </c>
      <c r="K1543" s="12" t="n">
        <v>1</v>
      </c>
    </row>
    <row r="1544">
      <c r="A1544" s="12" t="inlineStr">
        <is>
          <t>PAD-EH 13.8 kV switchgear e-house</t>
        </is>
      </c>
      <c r="B1544" s="12" t="inlineStr">
        <is>
          <t>PAD-EH</t>
        </is>
      </c>
      <c r="C1544" s="12" t="inlineStr">
        <is>
          <t>I</t>
        </is>
      </c>
      <c r="D1544" s="12" t="inlineStr">
        <is>
          <t>CONT-EH to PAD-EH</t>
        </is>
      </c>
      <c r="E1544" s="12" t="n">
        <v>13800</v>
      </c>
      <c r="F1544" s="12" t="n">
        <v>12000</v>
      </c>
      <c r="G1544" s="12" t="n">
        <v>558</v>
      </c>
      <c r="H1544" s="12" t="inlineStr">
        <is>
          <t>CONT paralleling switchgear e-house</t>
        </is>
      </c>
      <c r="I1544" s="12" t="inlineStr">
        <is>
          <t>MV 15 kV</t>
        </is>
      </c>
      <c r="J1544" s="12" t="inlineStr">
        <is>
          <t>500 kcmil</t>
        </is>
      </c>
      <c r="K1544" s="12" t="n">
        <v>2</v>
      </c>
    </row>
    <row r="1545">
      <c r="A1545" s="12" t="inlineStr">
        <is>
          <t>PAD-EH 13.8 kV switchgear e-house</t>
        </is>
      </c>
      <c r="B1545" s="12" t="inlineStr">
        <is>
          <t>PAD-EH</t>
        </is>
      </c>
      <c r="C1545" s="12" t="inlineStr">
        <is>
          <t>I</t>
        </is>
      </c>
      <c r="D1545" s="12" t="inlineStr">
        <is>
          <t>TM-1 (TM2500) generator leads to PAD-EH</t>
        </is>
      </c>
      <c r="E1545" s="12" t="n">
        <v>13800</v>
      </c>
      <c r="F1545" s="12" t="n">
        <v>35000</v>
      </c>
      <c r="G1545" s="12" t="n">
        <v>1464</v>
      </c>
      <c r="H1545" s="12" t="inlineStr">
        <is>
          <t>TM-1: trailer-mounted aeroderivative GT (TM2500 class, ~35 M</t>
        </is>
      </c>
      <c r="I1545" s="12" t="inlineStr">
        <is>
          <t>MV 15 kV</t>
        </is>
      </c>
      <c r="J1545" s="12" t="inlineStr">
        <is>
          <t>1000 kcmil</t>
        </is>
      </c>
      <c r="K1545" s="12" t="n">
        <v>3</v>
      </c>
    </row>
    <row r="1546">
      <c r="A1546" s="12" t="inlineStr">
        <is>
          <t>PAD-EH 13.8 kV switchgear e-house</t>
        </is>
      </c>
      <c r="B1546" s="12" t="inlineStr">
        <is>
          <t>PAD-EH</t>
        </is>
      </c>
      <c r="C1546" s="12" t="inlineStr">
        <is>
          <t>I</t>
        </is>
      </c>
      <c r="D1546" s="12" t="inlineStr">
        <is>
          <t>TM-2 (TM2500) generator leads to PAD-EH</t>
        </is>
      </c>
      <c r="E1546" s="12" t="n">
        <v>13800</v>
      </c>
      <c r="F1546" s="12" t="n">
        <v>35000</v>
      </c>
      <c r="G1546" s="12" t="n">
        <v>1464</v>
      </c>
      <c r="H1546" s="12" t="inlineStr">
        <is>
          <t>TM-2: trailer-mounted aeroderivative GT (TM2500 class, ~35 M</t>
        </is>
      </c>
      <c r="I1546" s="12" t="inlineStr">
        <is>
          <t>MV 15 kV</t>
        </is>
      </c>
      <c r="J1546" s="12" t="inlineStr">
        <is>
          <t>1000 kcmil</t>
        </is>
      </c>
      <c r="K1546" s="12" t="n">
        <v>3</v>
      </c>
    </row>
    <row r="1547">
      <c r="A1547" s="12" t="inlineStr">
        <is>
          <t>PCM: power control module</t>
        </is>
      </c>
      <c r="B1547" s="12" t="inlineStr"/>
      <c r="C1547" s="12" t="inlineStr">
        <is>
          <t>I</t>
        </is>
      </c>
      <c r="D1547" s="12" t="inlineStr">
        <is>
          <t>RICE-1 generator leads to the PCM</t>
        </is>
      </c>
      <c r="E1547" s="12" t="n">
        <v>13800</v>
      </c>
      <c r="F1547" s="12" t="n">
        <v>18400</v>
      </c>
      <c r="G1547" s="12" t="n">
        <v>770</v>
      </c>
      <c r="H1547" s="12" t="inlineStr">
        <is>
          <t>RICE engine-generator 1</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RICE-2 generator leads to the PCM</t>
        </is>
      </c>
      <c r="E1548" s="12" t="n">
        <v>13800</v>
      </c>
      <c r="F1548" s="12" t="n">
        <v>18400</v>
      </c>
      <c r="G1548" s="12" t="n">
        <v>770</v>
      </c>
      <c r="H1548" s="12" t="inlineStr">
        <is>
          <t>RICE engine-generator 2</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RICE-3 generator leads to the PCM</t>
        </is>
      </c>
      <c r="E1549" s="12" t="n">
        <v>13800</v>
      </c>
      <c r="F1549" s="12" t="n">
        <v>18400</v>
      </c>
      <c r="G1549" s="12" t="n">
        <v>770</v>
      </c>
      <c r="H1549" s="12" t="inlineStr">
        <is>
          <t>RICE engine-generator 3</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RICE-4 generator leads to the PCM</t>
        </is>
      </c>
      <c r="E1550" s="12" t="n">
        <v>13800</v>
      </c>
      <c r="F1550" s="12" t="n">
        <v>18400</v>
      </c>
      <c r="G1550" s="12" t="n">
        <v>770</v>
      </c>
      <c r="H1550" s="12" t="inlineStr">
        <is>
          <t>RICE engine-generator 4</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RICE-5 generator leads to the PCM</t>
        </is>
      </c>
      <c r="E1551" s="12" t="n">
        <v>13800</v>
      </c>
      <c r="F1551" s="12" t="n">
        <v>18400</v>
      </c>
      <c r="G1551" s="12" t="n">
        <v>770</v>
      </c>
      <c r="H1551" s="12" t="inlineStr">
        <is>
          <t>RICE engine-generator 5</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RICE-6 generator leads to the PCM</t>
        </is>
      </c>
      <c r="E1552" s="12" t="n">
        <v>13800</v>
      </c>
      <c r="F1552" s="12" t="n">
        <v>18400</v>
      </c>
      <c r="G1552" s="12" t="n">
        <v>770</v>
      </c>
      <c r="H1552" s="12" t="inlineStr">
        <is>
          <t>RICE engine-generator 6</t>
        </is>
      </c>
      <c r="I1552" s="12" t="inlineStr">
        <is>
          <t>MV 15 kV</t>
        </is>
      </c>
      <c r="J1552" s="12" t="inlineStr">
        <is>
          <t>750 kcmil</t>
        </is>
      </c>
      <c r="K1552" s="12" t="n">
        <v>2</v>
      </c>
    </row>
    <row r="1553">
      <c r="A1553" s="12" t="inlineStr">
        <is>
          <t>PCM: power control module</t>
        </is>
      </c>
      <c r="B1553" s="12" t="inlineStr"/>
      <c r="C1553" s="12" t="inlineStr">
        <is>
          <t>I</t>
        </is>
      </c>
      <c r="D1553" s="12" t="inlineStr">
        <is>
          <t>RICE-7 generator leads to the PCM</t>
        </is>
      </c>
      <c r="E1553" s="12" t="n">
        <v>13800</v>
      </c>
      <c r="F1553" s="12" t="n">
        <v>18400</v>
      </c>
      <c r="G1553" s="12" t="n">
        <v>770</v>
      </c>
      <c r="H1553" s="12" t="inlineStr">
        <is>
          <t>RICE engine-generator 7</t>
        </is>
      </c>
      <c r="I1553" s="12" t="inlineStr">
        <is>
          <t>MV 15 kV</t>
        </is>
      </c>
      <c r="J1553" s="12" t="inlineStr">
        <is>
          <t>750 kcmil</t>
        </is>
      </c>
      <c r="K1553" s="12" t="n">
        <v>2</v>
      </c>
    </row>
    <row r="1554">
      <c r="A1554" s="12" t="inlineStr">
        <is>
          <t>PCM: power control module</t>
        </is>
      </c>
      <c r="B1554" s="12" t="inlineStr"/>
      <c r="C1554" s="12" t="inlineStr">
        <is>
          <t>I</t>
        </is>
      </c>
      <c r="D1554" s="12" t="inlineStr">
        <is>
          <t>RICE-8 generator leads to the PCM</t>
        </is>
      </c>
      <c r="E1554" s="12" t="n">
        <v>13800</v>
      </c>
      <c r="F1554" s="12" t="n">
        <v>18400</v>
      </c>
      <c r="G1554" s="12" t="n">
        <v>770</v>
      </c>
      <c r="H1554" s="12" t="inlineStr">
        <is>
          <t>RICE engine-generator 8</t>
        </is>
      </c>
      <c r="I1554" s="12" t="inlineStr">
        <is>
          <t>MV 15 kV</t>
        </is>
      </c>
      <c r="J1554" s="12" t="inlineStr">
        <is>
          <t>750 kcmil</t>
        </is>
      </c>
      <c r="K1554" s="12" t="n">
        <v>2</v>
      </c>
    </row>
    <row r="1555">
      <c r="A1555" s="12" t="inlineStr">
        <is>
          <t>SC-1 PCM + 15 kV GCB</t>
        </is>
      </c>
      <c r="B1555" s="12" t="inlineStr"/>
      <c r="C1555" s="12" t="inlineStr">
        <is>
          <t>I</t>
        </is>
      </c>
      <c r="D1555" s="12" t="inlineStr">
        <is>
          <t>SC-1 (LM6000 class) generator leads to its PCM / GCB</t>
        </is>
      </c>
      <c r="E1555" s="12" t="n">
        <v>13800</v>
      </c>
      <c r="F1555" s="12" t="n">
        <v>50000</v>
      </c>
      <c r="G1555" s="12" t="n">
        <v>2092</v>
      </c>
      <c r="H1555" s="12" t="inlineStr">
        <is>
          <t>SC-1: aeroderivative simple-cycle unit (LM6000 class)</t>
        </is>
      </c>
      <c r="I1555" s="12" t="inlineStr">
        <is>
          <t>MV 15 kV</t>
        </is>
      </c>
      <c r="J1555" s="12" t="inlineStr">
        <is>
          <t>750 kcmil</t>
        </is>
      </c>
      <c r="K1555" s="12" t="n">
        <v>5</v>
      </c>
    </row>
    <row r="1556">
      <c r="A1556" s="12" t="inlineStr">
        <is>
          <t>SC-2 PCM + 15 kV GCB</t>
        </is>
      </c>
      <c r="B1556" s="12" t="inlineStr"/>
      <c r="C1556" s="12" t="inlineStr">
        <is>
          <t>I</t>
        </is>
      </c>
      <c r="D1556" s="12" t="inlineStr">
        <is>
          <t>SC-2 (LM6000 class) generator leads to its PCM / GCB</t>
        </is>
      </c>
      <c r="E1556" s="12" t="n">
        <v>13800</v>
      </c>
      <c r="F1556" s="12" t="n">
        <v>50000</v>
      </c>
      <c r="G1556" s="12" t="n">
        <v>2092</v>
      </c>
      <c r="H1556" s="12" t="inlineStr">
        <is>
          <t>SC-2: aeroderivative simple-cycle unit (LM6000 class)</t>
        </is>
      </c>
      <c r="I1556" s="12" t="inlineStr">
        <is>
          <t>MV 15 kV</t>
        </is>
      </c>
      <c r="J1556" s="12" t="inlineStr">
        <is>
          <t>750 kcmil</t>
        </is>
      </c>
      <c r="K1556" s="12" t="n">
        <v>5</v>
      </c>
    </row>
    <row r="1557">
      <c r="A1557" s="12" t="inlineStr">
        <is>
          <t>PAD-LV 480 V paralleling switchboard</t>
        </is>
      </c>
      <c r="B1557" s="12" t="inlineStr">
        <is>
          <t>PAD-LV</t>
        </is>
      </c>
      <c r="C1557" s="12" t="inlineStr">
        <is>
          <t>I</t>
        </is>
      </c>
      <c r="D1557" s="12" t="inlineStr">
        <is>
          <t>GEN-E 480 V to PAD-LV (Type W sets, cam-lock)</t>
        </is>
      </c>
      <c r="E1557" s="12" t="n">
        <v>480</v>
      </c>
      <c r="F1557" s="12" t="n">
        <v>2000</v>
      </c>
      <c r="G1557" s="12" t="n">
        <v>2406</v>
      </c>
      <c r="H1557" s="12" t="inlineStr">
        <is>
          <t>GEN-E: enclosed industrial gas genset 2 MW</t>
        </is>
      </c>
      <c r="I1557" s="12" t="inlineStr">
        <is>
          <t>Portable LV</t>
        </is>
      </c>
      <c r="J1557" s="12" t="inlineStr">
        <is>
          <t>4/0</t>
        </is>
      </c>
      <c r="K1557" s="12" t="n">
        <v>8</v>
      </c>
    </row>
    <row r="1558">
      <c r="A1558" s="12" t="inlineStr">
        <is>
          <t>PAD-LV 480 V paralleling switchboard</t>
        </is>
      </c>
      <c r="B1558" s="12" t="inlineStr">
        <is>
          <t>PAD-LV</t>
        </is>
      </c>
      <c r="C1558" s="12" t="inlineStr">
        <is>
          <t>I</t>
        </is>
      </c>
      <c r="D1558" s="12" t="inlineStr">
        <is>
          <t>GEN-O 480 V to PAD-LV (Type W sets, cam-lock)</t>
        </is>
      </c>
      <c r="E1558" s="12" t="n">
        <v>480</v>
      </c>
      <c r="F1558" s="12" t="n">
        <v>1000</v>
      </c>
      <c r="G1558" s="12" t="n">
        <v>1203</v>
      </c>
      <c r="H1558" s="12" t="inlineStr">
        <is>
          <t>GEN-O: open engine-generator skid</t>
        </is>
      </c>
      <c r="I1558" s="12" t="inlineStr">
        <is>
          <t>Portable LV</t>
        </is>
      </c>
      <c r="J1558" s="12" t="inlineStr">
        <is>
          <t>4/0</t>
        </is>
      </c>
      <c r="K1558" s="12" t="n">
        <v>4</v>
      </c>
    </row>
    <row r="1559">
      <c r="A1559" s="12" t="inlineStr">
        <is>
          <t>GSP-1: generator breaker / protection</t>
        </is>
      </c>
      <c r="B1559" s="12" t="inlineStr">
        <is>
          <t>GSP-1</t>
        </is>
      </c>
      <c r="C1559" s="12" t="inlineStr">
        <is>
          <t>I</t>
        </is>
      </c>
      <c r="D1559" s="12" t="inlineStr">
        <is>
          <t>CONT-1 13.8 kV leads to GSP-1</t>
        </is>
      </c>
      <c r="E1559" s="12" t="n">
        <v>13800</v>
      </c>
      <c r="F1559" s="12" t="n">
        <v>2000</v>
      </c>
      <c r="G1559" s="12" t="n">
        <v>93</v>
      </c>
      <c r="H1559" s="12" t="inlineStr">
        <is>
          <t>CONT-1: containerized genset 13.8 kV (40 ft)</t>
        </is>
      </c>
      <c r="I1559" s="12" t="inlineStr">
        <is>
          <t>Portable MV</t>
        </is>
      </c>
      <c r="J1559" s="12" t="inlineStr">
        <is>
          <t>2</t>
        </is>
      </c>
      <c r="K1559" s="12" t="n">
        <v>1</v>
      </c>
    </row>
    <row r="1560">
      <c r="A1560" s="12" t="inlineStr">
        <is>
          <t>GSP-2: generator breaker / protection</t>
        </is>
      </c>
      <c r="B1560" s="12" t="inlineStr">
        <is>
          <t>GSP-2</t>
        </is>
      </c>
      <c r="C1560" s="12" t="inlineStr">
        <is>
          <t>I</t>
        </is>
      </c>
      <c r="D1560" s="12" t="inlineStr">
        <is>
          <t>CONT-2 13.8 kV leads to GSP-2</t>
        </is>
      </c>
      <c r="E1560" s="12" t="n">
        <v>13800</v>
      </c>
      <c r="F1560" s="12" t="n">
        <v>2000</v>
      </c>
      <c r="G1560" s="12" t="n">
        <v>93</v>
      </c>
      <c r="H1560" s="12" t="inlineStr">
        <is>
          <t>CONT-2: containerized genset 13.8 kV (40 ft)</t>
        </is>
      </c>
      <c r="I1560" s="12" t="inlineStr">
        <is>
          <t>Portable MV</t>
        </is>
      </c>
      <c r="J1560" s="12" t="inlineStr">
        <is>
          <t>2</t>
        </is>
      </c>
      <c r="K1560" s="12" t="n">
        <v>1</v>
      </c>
    </row>
    <row r="1561">
      <c r="A1561" s="12" t="inlineStr">
        <is>
          <t>LB: commissioning load bank (trailer)</t>
        </is>
      </c>
      <c r="B1561" s="12" t="inlineStr">
        <is>
          <t>LB</t>
        </is>
      </c>
      <c r="C1561" s="12" t="inlineStr">
        <is>
          <t>I</t>
        </is>
      </c>
      <c r="D1561" s="12" t="inlineStr">
        <is>
          <t>PIC to commissioning load bank</t>
        </is>
      </c>
      <c r="E1561" s="12" t="n">
        <v>13800</v>
      </c>
      <c r="F1561" s="12" t="n">
        <v>2000</v>
      </c>
      <c r="G1561" s="12" t="n">
        <v>93</v>
      </c>
      <c r="H1561" s="12" t="inlineStr">
        <is>
          <t>PIC: portable input cabinet</t>
        </is>
      </c>
      <c r="I1561" s="12" t="inlineStr">
        <is>
          <t>Portable MV</t>
        </is>
      </c>
      <c r="J1561" s="12" t="inlineStr">
        <is>
          <t>2</t>
        </is>
      </c>
      <c r="K1561" s="12" t="n">
        <v>1</v>
      </c>
    </row>
    <row r="1562">
      <c r="A1562" s="12" t="inlineStr">
        <is>
          <t>PAD-EH 13.8 kV switchgear e-house</t>
        </is>
      </c>
      <c r="B1562" s="12" t="inlineStr">
        <is>
          <t>PAD-EH</t>
        </is>
      </c>
      <c r="C1562" s="12" t="inlineStr">
        <is>
          <t>I</t>
        </is>
      </c>
      <c r="D1562" s="12" t="inlineStr">
        <is>
          <t>GSP-1 to PAD-EH</t>
        </is>
      </c>
      <c r="E1562" s="12" t="n">
        <v>13800</v>
      </c>
      <c r="F1562" s="12" t="n">
        <v>2000</v>
      </c>
      <c r="G1562" s="12" t="n">
        <v>93</v>
      </c>
      <c r="H1562" s="12" t="inlineStr">
        <is>
          <t>GSP-1: generator breaker / protection</t>
        </is>
      </c>
      <c r="I1562" s="12" t="inlineStr">
        <is>
          <t>Portable MV</t>
        </is>
      </c>
      <c r="J1562" s="12" t="inlineStr">
        <is>
          <t>2</t>
        </is>
      </c>
      <c r="K1562" s="12" t="n">
        <v>1</v>
      </c>
    </row>
    <row r="1563">
      <c r="A1563" s="12" t="inlineStr">
        <is>
          <t>PAD-EH 13.8 kV switchgear e-house</t>
        </is>
      </c>
      <c r="B1563" s="12" t="inlineStr">
        <is>
          <t>PAD-EH</t>
        </is>
      </c>
      <c r="C1563" s="12" t="inlineStr">
        <is>
          <t>I</t>
        </is>
      </c>
      <c r="D1563" s="12" t="inlineStr">
        <is>
          <t>GSP-2 to PAD-EH</t>
        </is>
      </c>
      <c r="E1563" s="12" t="n">
        <v>13800</v>
      </c>
      <c r="F1563" s="12" t="n">
        <v>2000</v>
      </c>
      <c r="G1563" s="12" t="n">
        <v>93</v>
      </c>
      <c r="H1563" s="12" t="inlineStr">
        <is>
          <t>GSP-2: generator breaker / protection</t>
        </is>
      </c>
      <c r="I1563" s="12" t="inlineStr">
        <is>
          <t>Portable MV</t>
        </is>
      </c>
      <c r="J1563" s="12" t="inlineStr">
        <is>
          <t>2</t>
        </is>
      </c>
      <c r="K1563" s="12" t="n">
        <v>1</v>
      </c>
    </row>
    <row r="1564">
      <c r="A1564" s="12" t="inlineStr">
        <is>
          <t>PIC: portable input cabinet</t>
        </is>
      </c>
      <c r="B1564" s="12" t="inlineStr">
        <is>
          <t>PIC</t>
        </is>
      </c>
      <c r="C1564" s="12" t="inlineStr">
        <is>
          <t>I</t>
        </is>
      </c>
      <c r="D1564" s="12" t="inlineStr">
        <is>
          <t>MOB-1 13.8 kV to PIC through the C-L01 ramp</t>
        </is>
      </c>
      <c r="E1564" s="12" t="n">
        <v>13800</v>
      </c>
      <c r="F1564" s="12" t="n">
        <v>2000</v>
      </c>
      <c r="G1564" s="12" t="n">
        <v>93</v>
      </c>
      <c r="H1564" s="12" t="inlineStr">
        <is>
          <t>MOB-1: trailer genset</t>
        </is>
      </c>
      <c r="I1564" s="12" t="inlineStr">
        <is>
          <t>Portable MV</t>
        </is>
      </c>
      <c r="J1564" s="12" t="inlineStr">
        <is>
          <t>2</t>
        </is>
      </c>
      <c r="K1564" s="12" t="n">
        <v>1</v>
      </c>
    </row>
    <row r="1565">
      <c r="A1565" s="12" t="inlineStr">
        <is>
          <t>CHW pumps</t>
        </is>
      </c>
      <c r="B1565" s="12" t="inlineStr"/>
      <c r="C1565" s="12" t="inlineStr">
        <is>
          <t>J</t>
        </is>
      </c>
      <c r="D1565" s="12" t="inlineStr">
        <is>
          <t>Motor 1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2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CHW pumps</t>
        </is>
      </c>
      <c r="B1567" s="12" t="inlineStr"/>
      <c r="C1567" s="12" t="inlineStr">
        <is>
          <t>J</t>
        </is>
      </c>
      <c r="D1567" s="12" t="inlineStr">
        <is>
          <t>Motor 3 of 4, 150 kW</t>
        </is>
      </c>
      <c r="E1567" s="12" t="n">
        <v>480</v>
      </c>
      <c r="F1567" s="12" t="n">
        <v>150</v>
      </c>
      <c r="G1567" s="12" t="n">
        <v>212.3</v>
      </c>
      <c r="H1567" s="12" t="inlineStr">
        <is>
          <t>Inlet-chilling e-house / transformer</t>
        </is>
      </c>
      <c r="I1567" s="12" t="inlineStr">
        <is>
          <t>LV 600 V</t>
        </is>
      </c>
      <c r="J1567" s="12" t="inlineStr">
        <is>
          <t>350 kcmil</t>
        </is>
      </c>
      <c r="K1567" s="12" t="n">
        <v>1</v>
      </c>
    </row>
    <row r="1568">
      <c r="A1568" s="12" t="inlineStr">
        <is>
          <t>CHW pumps</t>
        </is>
      </c>
      <c r="B1568" s="12" t="inlineStr"/>
      <c r="C1568" s="12" t="inlineStr">
        <is>
          <t>J</t>
        </is>
      </c>
      <c r="D1568" s="12" t="inlineStr">
        <is>
          <t>Motor 4 of 4, 150 kW</t>
        </is>
      </c>
      <c r="E1568" s="12" t="n">
        <v>480</v>
      </c>
      <c r="F1568" s="12" t="n">
        <v>150</v>
      </c>
      <c r="G1568" s="12" t="n">
        <v>212.3</v>
      </c>
      <c r="H1568" s="12" t="inlineStr">
        <is>
          <t>Inlet-chilling e-house / transformer</t>
        </is>
      </c>
      <c r="I1568" s="12" t="inlineStr">
        <is>
          <t>LV 600 V</t>
        </is>
      </c>
      <c r="J1568" s="12" t="inlineStr">
        <is>
          <t>350 kcmil</t>
        </is>
      </c>
      <c r="K1568" s="12" t="n">
        <v>1</v>
      </c>
    </row>
    <row r="1569">
      <c r="A1569" s="12" t="inlineStr">
        <is>
          <t>CONDITIONAL: TES chilled-water tank</t>
        </is>
      </c>
      <c r="B1569" s="12" t="inlineStr"/>
      <c r="C1569" s="12" t="inlineStr">
        <is>
          <t>J</t>
        </is>
      </c>
      <c r="D1569" s="12" t="inlineStr">
        <is>
          <t>LV power feeder</t>
        </is>
      </c>
      <c r="E1569" s="12" t="n">
        <v>480</v>
      </c>
      <c r="F1569" s="12" t="n">
        <v>10</v>
      </c>
      <c r="G1569" s="12" t="n">
        <v>14.2</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1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2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3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4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Chillers x6 (water-cooled)</t>
        </is>
      </c>
      <c r="B1574" s="12" t="inlineStr"/>
      <c r="C1574" s="12" t="inlineStr">
        <is>
          <t>J</t>
        </is>
      </c>
      <c r="D1574" s="12" t="inlineStr">
        <is>
          <t>Motor 5 of 6, 7 kW</t>
        </is>
      </c>
      <c r="E1574" s="12" t="n">
        <v>480</v>
      </c>
      <c r="F1574" s="12" t="n">
        <v>7</v>
      </c>
      <c r="G1574" s="12" t="n">
        <v>9.9</v>
      </c>
      <c r="H1574" s="12" t="inlineStr">
        <is>
          <t>Inlet-chilling e-house / transformer</t>
        </is>
      </c>
      <c r="I1574" s="12" t="inlineStr">
        <is>
          <t>LV 600 V</t>
        </is>
      </c>
      <c r="J1574" s="12" t="inlineStr">
        <is>
          <t>10</t>
        </is>
      </c>
      <c r="K1574" s="12" t="n">
        <v>1</v>
      </c>
    </row>
    <row r="1575">
      <c r="A1575" s="12" t="inlineStr">
        <is>
          <t>Chillers x6 (water-cooled)</t>
        </is>
      </c>
      <c r="B1575" s="12" t="inlineStr"/>
      <c r="C1575" s="12" t="inlineStr">
        <is>
          <t>J</t>
        </is>
      </c>
      <c r="D1575" s="12" t="inlineStr">
        <is>
          <t>Motor 6 of 6, 7 kW</t>
        </is>
      </c>
      <c r="E1575" s="12" t="n">
        <v>480</v>
      </c>
      <c r="F1575" s="12" t="n">
        <v>7</v>
      </c>
      <c r="G1575" s="12" t="n">
        <v>9.9</v>
      </c>
      <c r="H1575" s="12" t="inlineStr">
        <is>
          <t>Inlet-chilling e-house / transformer</t>
        </is>
      </c>
      <c r="I1575" s="12" t="inlineStr">
        <is>
          <t>LV 600 V</t>
        </is>
      </c>
      <c r="J1575" s="12" t="inlineStr">
        <is>
          <t>10</t>
        </is>
      </c>
      <c r="K1575" s="12" t="n">
        <v>1</v>
      </c>
    </row>
    <row r="1576">
      <c r="A1576" s="12" t="inlineStr">
        <is>
          <t>Inlet-chilling tower (12 cells): chiller heat rejection</t>
        </is>
      </c>
      <c r="B1576" s="12" t="inlineStr"/>
      <c r="C1576" s="12" t="inlineStr">
        <is>
          <t>J</t>
        </is>
      </c>
      <c r="D1576" s="12" t="inlineStr">
        <is>
          <t>Motor 1 of 12, 75 kW (VFD output)</t>
        </is>
      </c>
      <c r="E1576" s="12" t="n">
        <v>480</v>
      </c>
      <c r="F1576" s="12" t="n">
        <v>75</v>
      </c>
      <c r="G1576" s="12" t="n">
        <v>106</v>
      </c>
      <c r="H1576" s="12" t="inlineStr">
        <is>
          <t>Inlet-chilling e-house / transformer</t>
        </is>
      </c>
      <c r="I1576" s="12" t="inlineStr">
        <is>
          <t>LV 600 V</t>
        </is>
      </c>
      <c r="J1576" s="12" t="inlineStr">
        <is>
          <t>1/0</t>
        </is>
      </c>
      <c r="K1576" s="12" t="n">
        <v>1</v>
      </c>
    </row>
    <row r="1577">
      <c r="A1577" s="12" t="inlineStr">
        <is>
          <t>Inlet-chilling tower (12 cells): chiller heat rejection</t>
        </is>
      </c>
      <c r="B1577" s="12" t="inlineStr"/>
      <c r="C1577" s="12" t="inlineStr">
        <is>
          <t>J</t>
        </is>
      </c>
      <c r="D1577" s="12" t="inlineStr">
        <is>
          <t>Motor 2 of 12, 75 kW (VFD output)</t>
        </is>
      </c>
      <c r="E1577" s="12" t="n">
        <v>480</v>
      </c>
      <c r="F1577" s="12" t="n">
        <v>75</v>
      </c>
      <c r="G1577" s="12" t="n">
        <v>106</v>
      </c>
      <c r="H1577" s="12" t="inlineStr">
        <is>
          <t>Inlet-chilling e-house / transformer</t>
        </is>
      </c>
      <c r="I1577" s="12" t="inlineStr">
        <is>
          <t>LV 600 V</t>
        </is>
      </c>
      <c r="J1577" s="12" t="inlineStr">
        <is>
          <t>1/0</t>
        </is>
      </c>
      <c r="K1577" s="12" t="n">
        <v>1</v>
      </c>
    </row>
    <row r="1578">
      <c r="A1578" s="12" t="inlineStr">
        <is>
          <t>Inlet-chilling tower (12 cells): chiller heat rejection</t>
        </is>
      </c>
      <c r="B1578" s="12" t="inlineStr"/>
      <c r="C1578" s="12" t="inlineStr">
        <is>
          <t>J</t>
        </is>
      </c>
      <c r="D1578" s="12" t="inlineStr">
        <is>
          <t>Motor 3 of 12, 75 kW (VFD output)</t>
        </is>
      </c>
      <c r="E1578" s="12" t="n">
        <v>480</v>
      </c>
      <c r="F1578" s="12" t="n">
        <v>75</v>
      </c>
      <c r="G1578" s="12" t="n">
        <v>106</v>
      </c>
      <c r="H1578" s="12" t="inlineStr">
        <is>
          <t>Inlet-chilling e-house / transformer</t>
        </is>
      </c>
      <c r="I1578" s="12" t="inlineStr">
        <is>
          <t>LV 600 V</t>
        </is>
      </c>
      <c r="J1578" s="12" t="inlineStr">
        <is>
          <t>1/0</t>
        </is>
      </c>
      <c r="K1578" s="12" t="n">
        <v>1</v>
      </c>
    </row>
    <row r="1579">
      <c r="A1579" s="12" t="inlineStr">
        <is>
          <t>Inlet-chilling tower (12 cells): chiller heat rejection</t>
        </is>
      </c>
      <c r="B1579" s="12" t="inlineStr"/>
      <c r="C1579" s="12" t="inlineStr">
        <is>
          <t>J</t>
        </is>
      </c>
      <c r="D1579" s="12" t="inlineStr">
        <is>
          <t>Motor 4 of 12, 75 kW (VFD output)</t>
        </is>
      </c>
      <c r="E1579" s="12" t="n">
        <v>480</v>
      </c>
      <c r="F1579" s="12" t="n">
        <v>75</v>
      </c>
      <c r="G1579" s="12" t="n">
        <v>106</v>
      </c>
      <c r="H1579" s="12" t="inlineStr">
        <is>
          <t>Inlet-chilling e-house / transformer</t>
        </is>
      </c>
      <c r="I1579" s="12" t="inlineStr">
        <is>
          <t>LV 600 V</t>
        </is>
      </c>
      <c r="J1579" s="12" t="inlineStr">
        <is>
          <t>1/0</t>
        </is>
      </c>
      <c r="K1579" s="12" t="n">
        <v>1</v>
      </c>
    </row>
    <row r="1580">
      <c r="A1580" s="12" t="inlineStr">
        <is>
          <t>Inlet-chilling tower (12 cells): chiller heat rejection</t>
        </is>
      </c>
      <c r="B1580" s="12" t="inlineStr"/>
      <c r="C1580" s="12" t="inlineStr">
        <is>
          <t>J</t>
        </is>
      </c>
      <c r="D1580" s="12" t="inlineStr">
        <is>
          <t>Motor 5 of 12, 75 kW (VFD output)</t>
        </is>
      </c>
      <c r="E1580" s="12" t="n">
        <v>480</v>
      </c>
      <c r="F1580" s="12" t="n">
        <v>75</v>
      </c>
      <c r="G1580" s="12" t="n">
        <v>106</v>
      </c>
      <c r="H1580" s="12" t="inlineStr">
        <is>
          <t>Inlet-chilling e-house / transformer</t>
        </is>
      </c>
      <c r="I1580" s="12" t="inlineStr">
        <is>
          <t>LV 600 V</t>
        </is>
      </c>
      <c r="J1580" s="12" t="inlineStr">
        <is>
          <t>1/0</t>
        </is>
      </c>
      <c r="K1580" s="12" t="n">
        <v>1</v>
      </c>
    </row>
    <row r="1581">
      <c r="A1581" s="12" t="inlineStr">
        <is>
          <t>Inlet-chilling tower (12 cells): chiller heat rejection</t>
        </is>
      </c>
      <c r="B1581" s="12" t="inlineStr"/>
      <c r="C1581" s="12" t="inlineStr">
        <is>
          <t>J</t>
        </is>
      </c>
      <c r="D1581" s="12" t="inlineStr">
        <is>
          <t>Motor 6 of 12, 75 kW (VFD output)</t>
        </is>
      </c>
      <c r="E1581" s="12" t="n">
        <v>480</v>
      </c>
      <c r="F1581" s="12" t="n">
        <v>75</v>
      </c>
      <c r="G1581" s="12" t="n">
        <v>106</v>
      </c>
      <c r="H1581" s="12" t="inlineStr">
        <is>
          <t>Inlet-chilling e-house / transformer</t>
        </is>
      </c>
      <c r="I1581" s="12" t="inlineStr">
        <is>
          <t>LV 600 V</t>
        </is>
      </c>
      <c r="J1581" s="12" t="inlineStr">
        <is>
          <t>1/0</t>
        </is>
      </c>
      <c r="K1581" s="12" t="n">
        <v>1</v>
      </c>
    </row>
    <row r="1582">
      <c r="A1582" s="12" t="inlineStr">
        <is>
          <t>Inlet-chilling tower (12 cells): chiller heat rejection</t>
        </is>
      </c>
      <c r="B1582" s="12" t="inlineStr"/>
      <c r="C1582" s="12" t="inlineStr">
        <is>
          <t>J</t>
        </is>
      </c>
      <c r="D1582" s="12" t="inlineStr">
        <is>
          <t>Motor 7 of 12, 75 kW (VFD output)</t>
        </is>
      </c>
      <c r="E1582" s="12" t="n">
        <v>480</v>
      </c>
      <c r="F1582" s="12" t="n">
        <v>75</v>
      </c>
      <c r="G1582" s="12" t="n">
        <v>106</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8 of 12, 75 kW (VFD output)</t>
        </is>
      </c>
      <c r="E1583" s="12" t="n">
        <v>480</v>
      </c>
      <c r="F1583" s="12" t="n">
        <v>75</v>
      </c>
      <c r="G1583" s="12" t="n">
        <v>106</v>
      </c>
      <c r="H1583" s="12" t="inlineStr">
        <is>
          <t>Inlet-chilling e-house / transformer</t>
        </is>
      </c>
      <c r="I1583" s="12" t="inlineStr">
        <is>
          <t>LV 600 V</t>
        </is>
      </c>
      <c r="J1583" s="12" t="inlineStr">
        <is>
          <t>1/0</t>
        </is>
      </c>
      <c r="K1583" s="12" t="n">
        <v>1</v>
      </c>
    </row>
    <row r="1584">
      <c r="A1584" s="12" t="inlineStr">
        <is>
          <t>Inlet-chilling tower (12 cells): chiller heat rejection</t>
        </is>
      </c>
      <c r="B1584" s="12" t="inlineStr"/>
      <c r="C1584" s="12" t="inlineStr">
        <is>
          <t>J</t>
        </is>
      </c>
      <c r="D1584" s="12" t="inlineStr">
        <is>
          <t>Motor 9 of 12, 75 kW (VFD output)</t>
        </is>
      </c>
      <c r="E1584" s="12" t="n">
        <v>480</v>
      </c>
      <c r="F1584" s="12" t="n">
        <v>75</v>
      </c>
      <c r="G1584" s="12" t="n">
        <v>106</v>
      </c>
      <c r="H1584" s="12" t="inlineStr">
        <is>
          <t>Inlet-chilling e-house / transformer</t>
        </is>
      </c>
      <c r="I1584" s="12" t="inlineStr">
        <is>
          <t>LV 600 V</t>
        </is>
      </c>
      <c r="J1584" s="12" t="inlineStr">
        <is>
          <t>1/0</t>
        </is>
      </c>
      <c r="K1584" s="12" t="n">
        <v>1</v>
      </c>
    </row>
    <row r="1585">
      <c r="A1585" s="12" t="inlineStr">
        <is>
          <t>Inlet-chilling tower (12 cells): chiller heat rejection</t>
        </is>
      </c>
      <c r="B1585" s="12" t="inlineStr"/>
      <c r="C1585" s="12" t="inlineStr">
        <is>
          <t>J</t>
        </is>
      </c>
      <c r="D1585" s="12" t="inlineStr">
        <is>
          <t>Motor 10 of 12, 75 kW (VFD output)</t>
        </is>
      </c>
      <c r="E1585" s="12" t="n">
        <v>480</v>
      </c>
      <c r="F1585" s="12" t="n">
        <v>75</v>
      </c>
      <c r="G1585" s="12" t="n">
        <v>106</v>
      </c>
      <c r="H1585" s="12" t="inlineStr">
        <is>
          <t>Inlet-chilling e-house / transformer</t>
        </is>
      </c>
      <c r="I1585" s="12" t="inlineStr">
        <is>
          <t>LV 600 V</t>
        </is>
      </c>
      <c r="J1585" s="12" t="inlineStr">
        <is>
          <t>1/0</t>
        </is>
      </c>
      <c r="K1585" s="12" t="n">
        <v>1</v>
      </c>
    </row>
    <row r="1586">
      <c r="A1586" s="12" t="inlineStr">
        <is>
          <t>Inlet-chilling tower (12 cells): chiller heat rejection</t>
        </is>
      </c>
      <c r="B1586" s="12" t="inlineStr"/>
      <c r="C1586" s="12" t="inlineStr">
        <is>
          <t>J</t>
        </is>
      </c>
      <c r="D1586" s="12" t="inlineStr">
        <is>
          <t>Motor 11 of 12, 75 kW (VFD output)</t>
        </is>
      </c>
      <c r="E1586" s="12" t="n">
        <v>480</v>
      </c>
      <c r="F1586" s="12" t="n">
        <v>75</v>
      </c>
      <c r="G1586" s="12" t="n">
        <v>106</v>
      </c>
      <c r="H1586" s="12" t="inlineStr">
        <is>
          <t>Inlet-chilling e-house / transformer</t>
        </is>
      </c>
      <c r="I1586" s="12" t="inlineStr">
        <is>
          <t>LV 600 V</t>
        </is>
      </c>
      <c r="J1586" s="12" t="inlineStr">
        <is>
          <t>1/0</t>
        </is>
      </c>
      <c r="K1586" s="12" t="n">
        <v>1</v>
      </c>
    </row>
    <row r="1587">
      <c r="A1587" s="12" t="inlineStr">
        <is>
          <t>Inlet-chilling tower (12 cells): chiller heat rejection</t>
        </is>
      </c>
      <c r="B1587" s="12" t="inlineStr"/>
      <c r="C1587" s="12" t="inlineStr">
        <is>
          <t>J</t>
        </is>
      </c>
      <c r="D1587" s="12" t="inlineStr">
        <is>
          <t>Motor 12 of 12, 75 kW (VFD output)</t>
        </is>
      </c>
      <c r="E1587" s="12" t="n">
        <v>480</v>
      </c>
      <c r="F1587" s="12" t="n">
        <v>75</v>
      </c>
      <c r="G1587" s="12" t="n">
        <v>106</v>
      </c>
      <c r="H1587" s="12" t="inlineStr">
        <is>
          <t>Inlet-chilling e-house / transformer</t>
        </is>
      </c>
      <c r="I1587" s="12" t="inlineStr">
        <is>
          <t>LV 600 V</t>
        </is>
      </c>
      <c r="J1587" s="12" t="inlineStr">
        <is>
          <t>1/0</t>
        </is>
      </c>
      <c r="K1587" s="12" t="n">
        <v>1</v>
      </c>
    </row>
    <row r="1588">
      <c r="A1588" s="12" t="inlineStr">
        <is>
          <t>Inlet-chilling tower (12 cells): chiller heat rejection</t>
        </is>
      </c>
      <c r="B1588" s="12" t="inlineStr"/>
      <c r="C1588" s="12" t="inlineStr">
        <is>
          <t>J</t>
        </is>
      </c>
      <c r="D1588" s="12" t="inlineStr">
        <is>
          <t>Area / platform lighting circuit 1 (12 fixtures)</t>
        </is>
      </c>
      <c r="E1588" s="12" t="n">
        <v>480</v>
      </c>
      <c r="F1588" s="12" t="n">
        <v>3</v>
      </c>
      <c r="G1588" s="12" t="n">
        <v>5</v>
      </c>
      <c r="H1588" s="12" t="inlineStr">
        <is>
          <t>Inlet-chilling e-house / transformer</t>
        </is>
      </c>
      <c r="I1588" s="12" t="inlineStr">
        <is>
          <t>LV 600 V</t>
        </is>
      </c>
      <c r="J1588" s="12" t="inlineStr">
        <is>
          <t>10</t>
        </is>
      </c>
      <c r="K1588" s="12" t="n">
        <v>1</v>
      </c>
    </row>
    <row r="1589">
      <c r="A1589" s="12" t="inlineStr">
        <is>
          <t>Inlet-chilling e-house / transformer</t>
        </is>
      </c>
      <c r="B1589" s="12" t="inlineStr"/>
      <c r="C1589" s="12" t="inlineStr">
        <is>
          <t>J</t>
        </is>
      </c>
      <c r="D1589" s="12" t="inlineStr">
        <is>
          <t>Inlet-chilling e-house / transformer</t>
        </is>
      </c>
      <c r="E1589" s="12" t="n">
        <v>13800</v>
      </c>
      <c r="F1589" s="12" t="n">
        <v>12000</v>
      </c>
      <c r="G1589" s="12" t="n">
        <v>502</v>
      </c>
      <c r="H1589" s="12" t="inlineStr">
        <is>
          <t>R1 SWGR-13.8-1 (11 x 36 in cubicles, 15 kV metal-clad)</t>
        </is>
      </c>
      <c r="I1589" s="12" t="inlineStr">
        <is>
          <t>MV 15 kV</t>
        </is>
      </c>
      <c r="J1589" s="12" t="inlineStr">
        <is>
          <t>1000 kcmil</t>
        </is>
      </c>
      <c r="K1589" s="12" t="n">
        <v>1</v>
      </c>
    </row>
    <row r="1590">
      <c r="A1590" s="12" t="inlineStr">
        <is>
          <t>CW pumps (inlet chilling)</t>
        </is>
      </c>
      <c r="B1590" s="12" t="inlineStr"/>
      <c r="C1590" s="12" t="inlineStr">
        <is>
          <t>J</t>
        </is>
      </c>
      <c r="D1590" s="12" t="inlineStr">
        <is>
          <t>Inlet-chilling CW pump 1</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2</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CW pumps (inlet chilling)</t>
        </is>
      </c>
      <c r="B1592" s="12" t="inlineStr"/>
      <c r="C1592" s="12" t="inlineStr">
        <is>
          <t>J</t>
        </is>
      </c>
      <c r="D1592" s="12" t="inlineStr">
        <is>
          <t>Inlet-chilling CW pump 3</t>
        </is>
      </c>
      <c r="E1592" s="12" t="n">
        <v>4160</v>
      </c>
      <c r="F1592" s="12" t="n">
        <v>450</v>
      </c>
      <c r="G1592" s="12" t="n">
        <v>69</v>
      </c>
      <c r="H1592" s="12" t="inlineStr">
        <is>
          <t>Inlet-chilling e-house / transformer</t>
        </is>
      </c>
      <c r="I1592" s="12" t="inlineStr">
        <is>
          <t>MV 5 kV</t>
        </is>
      </c>
      <c r="J1592" s="12" t="inlineStr">
        <is>
          <t>2</t>
        </is>
      </c>
      <c r="K1592" s="12" t="n">
        <v>1</v>
      </c>
    </row>
    <row r="1593">
      <c r="A1593" s="12" t="inlineStr">
        <is>
          <t>CW pumps (inlet chilling)</t>
        </is>
      </c>
      <c r="B1593" s="12" t="inlineStr"/>
      <c r="C1593" s="12" t="inlineStr">
        <is>
          <t>J</t>
        </is>
      </c>
      <c r="D1593" s="12" t="inlineStr">
        <is>
          <t>Inlet-chilling CW pump 4</t>
        </is>
      </c>
      <c r="E1593" s="12" t="n">
        <v>4160</v>
      </c>
      <c r="F1593" s="12" t="n">
        <v>450</v>
      </c>
      <c r="G1593" s="12" t="n">
        <v>69</v>
      </c>
      <c r="H1593" s="12" t="inlineStr">
        <is>
          <t>Inlet-chilling e-house / transformer</t>
        </is>
      </c>
      <c r="I1593" s="12" t="inlineStr">
        <is>
          <t>MV 5 kV</t>
        </is>
      </c>
      <c r="J1593" s="12" t="inlineStr">
        <is>
          <t>2</t>
        </is>
      </c>
      <c r="K1593" s="12" t="n">
        <v>1</v>
      </c>
    </row>
    <row r="1594">
      <c r="A1594" s="12" t="inlineStr">
        <is>
          <t>Chillers x6 (water-cooled)</t>
        </is>
      </c>
      <c r="B1594" s="12" t="inlineStr"/>
      <c r="C1594" s="12" t="inlineStr">
        <is>
          <t>J</t>
        </is>
      </c>
      <c r="D1594" s="12" t="inlineStr">
        <is>
          <t>Water-cooled chiller CH-1</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CH-2</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CH-3</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CH-4</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Chillers x6 (water-cooled)</t>
        </is>
      </c>
      <c r="B1598" s="12" t="inlineStr"/>
      <c r="C1598" s="12" t="inlineStr">
        <is>
          <t>J</t>
        </is>
      </c>
      <c r="D1598" s="12" t="inlineStr">
        <is>
          <t>Water-cooled chiller CH-5</t>
        </is>
      </c>
      <c r="E1598" s="12" t="n">
        <v>4160</v>
      </c>
      <c r="F1598" s="12" t="n">
        <v>1500</v>
      </c>
      <c r="G1598" s="12" t="n">
        <v>231</v>
      </c>
      <c r="H1598" s="12" t="inlineStr">
        <is>
          <t>Inlet-chilling e-house / transformer</t>
        </is>
      </c>
      <c r="I1598" s="12" t="inlineStr">
        <is>
          <t>MV 5 kV</t>
        </is>
      </c>
      <c r="J1598" s="12" t="inlineStr">
        <is>
          <t>250 kcmil</t>
        </is>
      </c>
      <c r="K1598" s="12" t="n">
        <v>1</v>
      </c>
    </row>
    <row r="1599">
      <c r="A1599" s="12" t="inlineStr">
        <is>
          <t>Chillers x6 (water-cooled)</t>
        </is>
      </c>
      <c r="B1599" s="12" t="inlineStr"/>
      <c r="C1599" s="12" t="inlineStr">
        <is>
          <t>J</t>
        </is>
      </c>
      <c r="D1599" s="12" t="inlineStr">
        <is>
          <t>Water-cooled chiller CH-6</t>
        </is>
      </c>
      <c r="E1599" s="12" t="n">
        <v>4160</v>
      </c>
      <c r="F1599" s="12" t="n">
        <v>1500</v>
      </c>
      <c r="G1599" s="12" t="n">
        <v>231</v>
      </c>
      <c r="H1599" s="12" t="inlineStr">
        <is>
          <t>Inlet-chilling e-house / transformer</t>
        </is>
      </c>
      <c r="I1599" s="12" t="inlineStr">
        <is>
          <t>MV 5 kV</t>
        </is>
      </c>
      <c r="J1599" s="12" t="inlineStr">
        <is>
          <t>250 kcmil</t>
        </is>
      </c>
      <c r="K1599" s="12" t="n">
        <v>1</v>
      </c>
    </row>
    <row r="1600">
      <c r="A1600" s="12" t="inlineStr">
        <is>
          <t>H2 19: T-H2 230/13.8 kV (about 40 MVA)</t>
        </is>
      </c>
      <c r="B1600" s="12" t="inlineStr">
        <is>
          <t>T-H2</t>
        </is>
      </c>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20: 13.8 kV e-house</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21: rectifier transformer 1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2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3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8</t>
        </is>
      </c>
      <c r="K1604" s="12" t="n">
        <v>1</v>
      </c>
    </row>
    <row r="1605">
      <c r="A1605" s="12" t="inlineStr">
        <is>
          <t>H2 21: rectifier transformer 4 (7 MVA)</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21: rectifier transformer 5 (7 MVA)</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22: electrolyzer building (5 x HyLYZER-1000 + 5 rectifiers)</t>
        </is>
      </c>
      <c r="B1607" s="12" t="inlineStr">
        <is>
          <t>H2-EL</t>
        </is>
      </c>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8</t>
        </is>
      </c>
      <c r="K1607" s="12" t="n">
        <v>1</v>
      </c>
    </row>
    <row r="1608">
      <c r="A1608" s="12" t="inlineStr">
        <is>
          <t>H2 23: dry coolers</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24: water purification (RO / EDI)</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25: H2 dryer / purification</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26: H2 compressor 1 (40 ft ISO)</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26: H2 compressor 2 (40 ft ISO)</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27: storage tube bank (~40 ft tubes)</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27: storage tube bank (~40 ft tubes)</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28: N2 purge supply</t>
        </is>
      </c>
      <c r="B1617" s="12" t="inlineStr"/>
      <c r="C1617" s="12" t="inlineStr">
        <is>
          <t>K</t>
        </is>
      </c>
      <c r="D1617" s="12" t="inlineStr">
        <is>
          <t>Motor 1 of 1, 15 kW</t>
        </is>
      </c>
      <c r="E1617" s="12" t="n">
        <v>480</v>
      </c>
      <c r="F1617" s="12" t="n">
        <v>15</v>
      </c>
      <c r="G1617" s="12" t="n">
        <v>21.2</v>
      </c>
      <c r="H1617" s="12" t="inlineStr">
        <is>
          <t>H2 20: 13.8 kV e-house</t>
        </is>
      </c>
      <c r="I1617" s="12" t="inlineStr">
        <is>
          <t>LV 600 V</t>
        </is>
      </c>
      <c r="J1617" s="12" t="inlineStr">
        <is>
          <t>10</t>
        </is>
      </c>
      <c r="K1617" s="12" t="n">
        <v>1</v>
      </c>
    </row>
    <row r="1618">
      <c r="A1618" s="12" t="inlineStr">
        <is>
          <t>H2 29: vent stack</t>
        </is>
      </c>
      <c r="B1618" s="12" t="inlineStr"/>
      <c r="C1618" s="12" t="inlineStr">
        <is>
          <t>K</t>
        </is>
      </c>
      <c r="D1618" s="12" t="inlineStr">
        <is>
          <t>Motor 1 of 1, 15 kW</t>
        </is>
      </c>
      <c r="E1618" s="12" t="n">
        <v>480</v>
      </c>
      <c r="F1618" s="12" t="n">
        <v>15</v>
      </c>
      <c r="G1618" s="12" t="n">
        <v>21.2</v>
      </c>
      <c r="H1618" s="12" t="inlineStr">
        <is>
          <t>H2 20: 13.8 kV e-house</t>
        </is>
      </c>
      <c r="I1618" s="12" t="inlineStr">
        <is>
          <t>LV 600 V</t>
        </is>
      </c>
      <c r="J1618" s="12" t="inlineStr">
        <is>
          <t>10</t>
        </is>
      </c>
      <c r="K1618" s="12" t="n">
        <v>1</v>
      </c>
    </row>
    <row r="1619">
      <c r="A1619" s="12" t="inlineStr">
        <is>
          <t>H2 30: H2 / gas blending skid (plant gas yard)</t>
        </is>
      </c>
      <c r="B1619" s="12" t="inlineStr"/>
      <c r="C1619" s="12" t="inlineStr">
        <is>
          <t>K</t>
        </is>
      </c>
      <c r="D1619" s="12" t="inlineStr">
        <is>
          <t>Motor 1 of 1, 15 kW</t>
        </is>
      </c>
      <c r="E1619" s="12" t="n">
        <v>480</v>
      </c>
      <c r="F1619" s="12" t="n">
        <v>15</v>
      </c>
      <c r="G1619" s="12" t="n">
        <v>21.2</v>
      </c>
      <c r="H1619" s="12" t="inlineStr">
        <is>
          <t>LNG 17: LNG e-house (13.8 kV / 480 V)</t>
        </is>
      </c>
      <c r="I1619" s="12" t="inlineStr">
        <is>
          <t>LV 600 V</t>
        </is>
      </c>
      <c r="J1619" s="12" t="inlineStr">
        <is>
          <t>4</t>
        </is>
      </c>
      <c r="K1619" s="12" t="n">
        <v>1</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LNG 10: truck unloading bay 1</t>
        </is>
      </c>
      <c r="B1621" s="12" t="inlineStr"/>
      <c r="C1621" s="12" t="inlineStr">
        <is>
          <t>K</t>
        </is>
      </c>
      <c r="D1621" s="12" t="inlineStr">
        <is>
          <t>Motor 1 of 1, 15 kW</t>
        </is>
      </c>
      <c r="E1621" s="12" t="n">
        <v>480</v>
      </c>
      <c r="F1621" s="12" t="n">
        <v>15</v>
      </c>
      <c r="G1621" s="12" t="n">
        <v>21.2</v>
      </c>
      <c r="H1621" s="12" t="inlineStr">
        <is>
          <t>LNG 17: LNG e-house (13.8 kV / 480 V)</t>
        </is>
      </c>
      <c r="I1621" s="12" t="inlineStr">
        <is>
          <t>LV 600 V</t>
        </is>
      </c>
      <c r="J1621" s="12" t="inlineStr">
        <is>
          <t>8</t>
        </is>
      </c>
      <c r="K1621" s="12" t="n">
        <v>1</v>
      </c>
    </row>
    <row r="1622">
      <c r="A1622" s="12" t="inlineStr">
        <is>
          <t>LNG 10: truck unloading bay 2</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10</t>
        </is>
      </c>
      <c r="K1622" s="12" t="n">
        <v>1</v>
      </c>
    </row>
    <row r="1623">
      <c r="A1623" s="12" t="inlineStr">
        <is>
          <t>LNG 10: unloading skid</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11: tank 1, Chart HS 50000 (51,780 gal)</t>
        </is>
      </c>
      <c r="B1624" s="12" t="inlineStr">
        <is>
          <t>LNG-T1</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2, Chart HS 50000 (51,780 gal)</t>
        </is>
      </c>
      <c r="B1625" s="12" t="inlineStr">
        <is>
          <t>LNG-T2</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3, Chart HS 50000 (51,780 gal)</t>
        </is>
      </c>
      <c r="B1626" s="12" t="inlineStr">
        <is>
          <t>LNG-T3</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4, Chart HS 50000 (51,780 gal)</t>
        </is>
      </c>
      <c r="B1627" s="12" t="inlineStr">
        <is>
          <t>LNG-T4</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5, Chart HS 50000 (51,780 gal)</t>
        </is>
      </c>
      <c r="B1628" s="12" t="inlineStr">
        <is>
          <t>LNG-T5</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6, Chart HS 50000 (51,780 gal)</t>
        </is>
      </c>
      <c r="B1629" s="12" t="inlineStr">
        <is>
          <t>LNG-T6</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7, Chart HS 50000 (51,780 gal)</t>
        </is>
      </c>
      <c r="B1630" s="12" t="inlineStr">
        <is>
          <t>LNG-T7</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8, Chart HS 50000 (51,780 gal)</t>
        </is>
      </c>
      <c r="B1631" s="12" t="inlineStr">
        <is>
          <t>LNG-T8</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12: spill impoundment (NFPA 59A, to verify)</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13: send-out pumps 2 x 100%</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14: vaporizers + glycol heater</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15: boil-off gas compressor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16: send-out metering + pressure control</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17: LNG e-house (13.8 kV / 480 V)</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18: vent stack</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impoundment sump pump</t>
        </is>
      </c>
      <c r="B1639" s="12" t="inlineStr"/>
      <c r="C1639" s="12" t="inlineStr">
        <is>
          <t>K</t>
        </is>
      </c>
      <c r="D1639" s="12" t="inlineStr">
        <is>
          <t>LV power feeder</t>
        </is>
      </c>
      <c r="E1639" s="12" t="n">
        <v>480</v>
      </c>
      <c r="F1639" s="12" t="n">
        <v>15</v>
      </c>
      <c r="G1639" s="12" t="n">
        <v>21.2</v>
      </c>
      <c r="H1639" s="12" t="inlineStr">
        <is>
          <t>LNG 17: LNG e-house (13.8 kV / 480 V)</t>
        </is>
      </c>
      <c r="I1639" s="12" t="inlineStr">
        <is>
          <t>LV 600 V</t>
        </is>
      </c>
      <c r="J1639" s="12" t="inlineStr">
        <is>
          <t>8</t>
        </is>
      </c>
      <c r="K1639" s="12" t="n">
        <v>1</v>
      </c>
    </row>
    <row r="1640">
      <c r="A1640" s="12" t="inlineStr">
        <is>
          <t>M&amp;R 2: insulating joint + ESD valve</t>
        </is>
      </c>
      <c r="B1640" s="12" t="inlineStr"/>
      <c r="C1640" s="12" t="inlineStr">
        <is>
          <t>K</t>
        </is>
      </c>
      <c r="D1640" s="12" t="inlineStr">
        <is>
          <t>LV power feeder</t>
        </is>
      </c>
      <c r="E1640" s="12" t="n">
        <v>480</v>
      </c>
      <c r="F1640" s="12" t="n">
        <v>10</v>
      </c>
      <c r="G1640" s="12" t="n">
        <v>14.2</v>
      </c>
      <c r="H1640" s="12" t="inlineStr">
        <is>
          <t>LNG 17: LNG e-house (13.8 kV / 480 V)</t>
        </is>
      </c>
      <c r="I1640" s="12" t="inlineStr">
        <is>
          <t>LV 600 V</t>
        </is>
      </c>
      <c r="J1640" s="12" t="inlineStr">
        <is>
          <t>6</t>
        </is>
      </c>
      <c r="K1640" s="12" t="n">
        <v>1</v>
      </c>
    </row>
    <row r="1641">
      <c r="A1641" s="12" t="inlineStr">
        <is>
          <t>M&amp;R 3: horizontal filter-separator</t>
        </is>
      </c>
      <c r="B1641" s="12" t="inlineStr"/>
      <c r="C1641" s="12" t="inlineStr">
        <is>
          <t>K</t>
        </is>
      </c>
      <c r="D1641" s="12" t="inlineStr">
        <is>
          <t>LV power feeder</t>
        </is>
      </c>
      <c r="E1641" s="12" t="n">
        <v>480</v>
      </c>
      <c r="F1641" s="12" t="n">
        <v>15</v>
      </c>
      <c r="G1641" s="12" t="n">
        <v>21.2</v>
      </c>
      <c r="H1641" s="12" t="inlineStr">
        <is>
          <t>LNG 17: LNG e-house (13.8 kV / 480 V)</t>
        </is>
      </c>
      <c r="I1641" s="12" t="inlineStr">
        <is>
          <t>LV 600 V</t>
        </is>
      </c>
      <c r="J1641" s="12" t="inlineStr">
        <is>
          <t>4</t>
        </is>
      </c>
      <c r="K1641" s="12" t="n">
        <v>1</v>
      </c>
    </row>
    <row r="1642">
      <c r="A1642" s="12" t="inlineStr">
        <is>
          <t>M&amp;R 4: line heater 1 (water bath)</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4: line heater 2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3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6: regulation / flow control building</t>
        </is>
      </c>
      <c r="B1645" s="12" t="inlineStr"/>
      <c r="C1645" s="12" t="inlineStr">
        <is>
          <t>K</t>
        </is>
      </c>
      <c r="D1645" s="12" t="inlineStr">
        <is>
          <t>LV panel / distribution feeder</t>
        </is>
      </c>
      <c r="E1645" s="12" t="n">
        <v>480</v>
      </c>
      <c r="F1645" s="12" t="n">
        <v>10</v>
      </c>
      <c r="G1645" s="12" t="n">
        <v>14.2</v>
      </c>
      <c r="H1645" s="12" t="inlineStr">
        <is>
          <t>LNG 17: LNG e-house (13.8 kV / 480 V)</t>
        </is>
      </c>
      <c r="I1645" s="12" t="inlineStr">
        <is>
          <t>LV 600 V</t>
        </is>
      </c>
      <c r="J1645" s="12" t="inlineStr">
        <is>
          <t>8</t>
        </is>
      </c>
      <c r="K1645" s="12" t="n">
        <v>1</v>
      </c>
    </row>
    <row r="1646">
      <c r="A1646" s="12" t="inlineStr">
        <is>
          <t>M&amp;R 7: gas quality + measurement building</t>
        </is>
      </c>
      <c r="B1646" s="12" t="inlineStr"/>
      <c r="C1646" s="12" t="inlineStr">
        <is>
          <t>K</t>
        </is>
      </c>
      <c r="D1646" s="12" t="inlineStr">
        <is>
          <t>LV panel / distribution feeder</t>
        </is>
      </c>
      <c r="E1646" s="12" t="n">
        <v>480</v>
      </c>
      <c r="F1646" s="12" t="n">
        <v>30</v>
      </c>
      <c r="G1646" s="12" t="n">
        <v>42.5</v>
      </c>
      <c r="H1646" s="12" t="inlineStr">
        <is>
          <t>LNG 17: LNG e-house (13.8 kV / 480 V)</t>
        </is>
      </c>
      <c r="I1646" s="12" t="inlineStr">
        <is>
          <t>LV 600 V</t>
        </is>
      </c>
      <c r="J1646" s="12" t="inlineStr">
        <is>
          <t>2</t>
        </is>
      </c>
      <c r="K1646" s="12" t="n">
        <v>1</v>
      </c>
    </row>
    <row r="1647">
      <c r="A1647" s="12" t="inlineStr">
        <is>
          <t>M&amp;R 8: condensate tank</t>
        </is>
      </c>
      <c r="B1647" s="12" t="inlineStr"/>
      <c r="C1647" s="12" t="inlineStr">
        <is>
          <t>K</t>
        </is>
      </c>
      <c r="D1647" s="12" t="inlineStr">
        <is>
          <t>LV power feeder</t>
        </is>
      </c>
      <c r="E1647" s="12" t="n">
        <v>480</v>
      </c>
      <c r="F1647" s="12" t="n">
        <v>10</v>
      </c>
      <c r="G1647" s="12" t="n">
        <v>14.2</v>
      </c>
      <c r="H1647" s="12" t="inlineStr">
        <is>
          <t>LNG 17: LNG e-house (13.8 kV / 480 V)</t>
        </is>
      </c>
      <c r="I1647" s="12" t="inlineStr">
        <is>
          <t>LV 600 V</t>
        </is>
      </c>
      <c r="J1647" s="12" t="inlineStr">
        <is>
          <t>8</t>
        </is>
      </c>
      <c r="K1647" s="12" t="n">
        <v>1</v>
      </c>
    </row>
    <row r="1648">
      <c r="A1648" s="12" t="inlineStr">
        <is>
          <t>M&amp;R 9: service panel + UPS, SCADA RTU, CP</t>
        </is>
      </c>
      <c r="B1648" s="12" t="inlineStr"/>
      <c r="C1648" s="12" t="inlineStr">
        <is>
          <t>K</t>
        </is>
      </c>
      <c r="D1648" s="12" t="inlineStr">
        <is>
          <t>LV power feeder</t>
        </is>
      </c>
      <c r="E1648" s="12" t="n">
        <v>480</v>
      </c>
      <c r="F1648" s="12" t="n">
        <v>15</v>
      </c>
      <c r="G1648" s="12" t="n">
        <v>21.2</v>
      </c>
      <c r="H1648" s="12" t="inlineStr">
        <is>
          <t>LNG 17: LNG e-house (13.8 kV / 480 V)</t>
        </is>
      </c>
      <c r="I1648" s="12" t="inlineStr">
        <is>
          <t>LV 600 V</t>
        </is>
      </c>
      <c r="J1648" s="12" t="inlineStr">
        <is>
          <t>6</t>
        </is>
      </c>
      <c r="K1648" s="12" t="n">
        <v>1</v>
      </c>
    </row>
    <row r="1649">
      <c r="A1649" s="12" t="inlineStr">
        <is>
          <t>M&amp;R CP test station (as drawn)</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SCADA antenna mast base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H2 20: 13.8 kV e-house</t>
        </is>
      </c>
      <c r="B1651" s="12" t="inlineStr"/>
      <c r="C1651" s="12" t="inlineStr">
        <is>
          <t>K</t>
        </is>
      </c>
      <c r="D1651" s="12" t="inlineStr">
        <is>
          <t>H2 13.8 kV e-house (electrolyzers)</t>
        </is>
      </c>
      <c r="E1651" s="12" t="n">
        <v>13800</v>
      </c>
      <c r="F1651" s="12" t="n">
        <v>20000</v>
      </c>
      <c r="G1651" s="12" t="n">
        <v>837</v>
      </c>
      <c r="H1651" s="12" t="inlineStr">
        <is>
          <t>R1 SWGR-13.8-3 (11 x 36 in cubicles, 15 kV metal-clad)</t>
        </is>
      </c>
      <c r="I1651" s="12" t="inlineStr">
        <is>
          <t>MV 15 kV</t>
        </is>
      </c>
      <c r="J1651" s="12" t="inlineStr">
        <is>
          <t>750 kcmil</t>
        </is>
      </c>
      <c r="K1651" s="12" t="n">
        <v>2</v>
      </c>
    </row>
    <row r="1652">
      <c r="A1652" s="12" t="inlineStr">
        <is>
          <t>LNG 17: LNG e-house (13.8 kV / 480 V)</t>
        </is>
      </c>
      <c r="B1652" s="12" t="inlineStr"/>
      <c r="C1652" s="12" t="inlineStr">
        <is>
          <t>K</t>
        </is>
      </c>
      <c r="D1652" s="12" t="inlineStr">
        <is>
          <t>LNG e-house</t>
        </is>
      </c>
      <c r="E1652" s="12" t="n">
        <v>13800</v>
      </c>
      <c r="F1652" s="12" t="n">
        <v>5000</v>
      </c>
      <c r="G1652" s="12" t="n">
        <v>209</v>
      </c>
      <c r="H1652" s="12" t="inlineStr">
        <is>
          <t>R1 SWGR-13.8-3 (11 x 36 in cubicles, 15 kV metal-clad)</t>
        </is>
      </c>
      <c r="I1652" s="12" t="inlineStr">
        <is>
          <t>MV 15 kV</t>
        </is>
      </c>
      <c r="J1652" s="12" t="inlineStr">
        <is>
          <t>4/0</t>
        </is>
      </c>
      <c r="K1652" s="12" t="n">
        <v>1</v>
      </c>
    </row>
    <row r="1653">
      <c r="A1653" s="12" t="inlineStr">
        <is>
          <t>Small-bore piping: instrument air, service water, nitrogen, HRSG drain</t>
        </is>
      </c>
      <c r="B1653" s="12" t="inlineStr"/>
      <c r="C1653" s="12" t="inlineStr"/>
      <c r="D1653" s="12" t="inlineStr">
        <is>
          <t>Motor 1 of 2, 250 kW</t>
        </is>
      </c>
      <c r="E1653" s="12" t="n">
        <v>480</v>
      </c>
      <c r="F1653" s="12" t="n">
        <v>250</v>
      </c>
      <c r="G1653" s="12" t="n">
        <v>353.8</v>
      </c>
      <c r="H1653" s="12" t="inlineStr">
        <is>
          <t>R1 MCC-C1</t>
        </is>
      </c>
      <c r="I1653" s="12" t="inlineStr">
        <is>
          <t>LV 600 V</t>
        </is>
      </c>
      <c r="J1653" s="12" t="inlineStr">
        <is>
          <t>250 kcmil</t>
        </is>
      </c>
      <c r="K1653" s="12" t="n">
        <v>2</v>
      </c>
    </row>
    <row r="1654">
      <c r="A1654" s="12" t="inlineStr">
        <is>
          <t>Small-bore piping: instrument air, service water, nitrogen, HRSG drain</t>
        </is>
      </c>
      <c r="B1654" s="12" t="inlineStr"/>
      <c r="C1654" s="12" t="inlineStr"/>
      <c r="D1654" s="12" t="inlineStr">
        <is>
          <t>Motor 2 of 2, 250 kW</t>
        </is>
      </c>
      <c r="E1654" s="12" t="n">
        <v>480</v>
      </c>
      <c r="F1654" s="12" t="n">
        <v>250</v>
      </c>
      <c r="G1654" s="12" t="n">
        <v>353.8</v>
      </c>
      <c r="H1654" s="12" t="inlineStr">
        <is>
          <t>R1 MCC-C1</t>
        </is>
      </c>
      <c r="I1654" s="12" t="inlineStr">
        <is>
          <t>LV 600 V</t>
        </is>
      </c>
      <c r="J1654" s="12" t="inlineStr">
        <is>
          <t>250 kcmil</t>
        </is>
      </c>
      <c r="K1654"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2026-10-10T18:37:19Z</dcterms:created>
  <dcterms:modified xsi:type="dcterms:W3CDTF">2026-10-10T18:37:21Z</dcterms:modified>
</cp:coreProperties>
</file>