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Schedule'!$A$1:$AA$6308</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6307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24</v>
      </c>
      <c r="D5" s="10" t="inlineStr">
        <is>
          <t>GB-1.1 480 V generator leads to GBS-1; GB-1.2 480 V generator leads to GBS-1; GB-1.3 480 V generator leads to GBS-1; GB-1.4 480 V generator leads to GBS-1</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6307</v>
      </c>
      <c r="D8" s="10" t="inlineStr">
        <is>
          <t>0 estimated (build-out bays D4-D6 and utilities without drawn trench / bank)</t>
        </is>
      </c>
    </row>
    <row r="9">
      <c r="A9" s="10" t="inlineStr">
        <is>
          <t>Copper runs &gt; 3,000 ft</t>
        </is>
      </c>
      <c r="B9" s="15" t="inlineStr">
        <is>
          <t>INFO</t>
        </is>
      </c>
      <c r="C9" s="12" t="n">
        <v>33</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22</v>
      </c>
      <c r="D10" s="10" t="inlineStr">
        <is>
          <t>EDG-1 480 V output to EMCC x13; EDG-2 480 V output to EMCC x13; LCT-A 480 V secondary to the L x12; LCT-B 480 V secondary to the L x12</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30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481</v>
      </c>
      <c r="U20" s="17" t="n">
        <v>85</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481</v>
      </c>
      <c r="U21" s="17" t="n">
        <v>85</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481</v>
      </c>
      <c r="U22" s="17" t="n">
        <v>85</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481</v>
      </c>
      <c r="U23" s="17" t="n">
        <v>85</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479</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479</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479</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479</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481</v>
      </c>
      <c r="U28" s="17" t="n">
        <v>84</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481</v>
      </c>
      <c r="U29" s="17" t="n">
        <v>84</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481</v>
      </c>
      <c r="U30" s="17" t="n">
        <v>84</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481</v>
      </c>
      <c r="U31" s="17" t="n">
        <v>84</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7" t="n">
        <v>273</v>
      </c>
      <c r="U34" s="17" t="n">
        <v>93</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7" t="n">
        <v>273</v>
      </c>
      <c r="U35" s="17" t="n">
        <v>93</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7" t="n">
        <v>277</v>
      </c>
      <c r="U36" s="17" t="n">
        <v>97</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7" t="n">
        <v>277</v>
      </c>
      <c r="U37" s="17" t="n">
        <v>97</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7" t="n">
        <v>258</v>
      </c>
      <c r="U40" s="17" t="n">
        <v>35</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7" t="n">
        <v>258</v>
      </c>
      <c r="U41" s="17" t="n">
        <v>35</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7" t="n">
        <v>258</v>
      </c>
      <c r="U42" s="17" t="n">
        <v>35</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7" t="n">
        <v>258</v>
      </c>
      <c r="U43" s="17" t="n">
        <v>35</v>
      </c>
      <c r="V43" s="17">
        <f>ROUNDUP((T43+U43+2*'Read Me'!$B$13)*(1+'Read Me'!$B$12),-1)</f>
        <v/>
      </c>
      <c r="W43" s="17">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7" t="n">
        <v>1069</v>
      </c>
      <c r="U44" s="17" t="n">
        <v>184</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67</v>
      </c>
      <c r="U45" s="17" t="n">
        <v>89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7" t="n">
        <v>67</v>
      </c>
      <c r="U46" s="17" t="n">
        <v>89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7" t="n">
        <v>53</v>
      </c>
      <c r="U47" s="17" t="n">
        <v>10</v>
      </c>
      <c r="V47" s="17">
        <f>ROUNDUP((T47+U47+2*'Read Me'!$B$13)*(1+'Read Me'!$B$12),-1)</f>
        <v/>
      </c>
      <c r="W47" s="17">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7" t="n">
        <v>67</v>
      </c>
      <c r="U48" s="17" t="n">
        <v>89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403</v>
      </c>
      <c r="U49" s="17" t="n">
        <v>119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403</v>
      </c>
      <c r="U50" s="17" t="n">
        <v>119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403</v>
      </c>
      <c r="U51" s="17" t="n">
        <v>119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403</v>
      </c>
      <c r="U52" s="17" t="n">
        <v>119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7" t="n">
        <v>1277</v>
      </c>
      <c r="U53" s="17" t="n">
        <v>209</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7" t="n">
        <v>1277</v>
      </c>
      <c r="U54" s="17" t="n">
        <v>209</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7" t="n">
        <v>1277</v>
      </c>
      <c r="U55" s="17" t="n">
        <v>209</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7" t="n">
        <v>1277</v>
      </c>
      <c r="U56" s="17" t="n">
        <v>209</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7" t="n">
        <v>1214</v>
      </c>
      <c r="U57" s="17" t="n">
        <v>102</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7" t="n">
        <v>1214</v>
      </c>
      <c r="U58" s="17" t="n">
        <v>102</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7" t="n">
        <v>1214</v>
      </c>
      <c r="U59" s="17" t="n">
        <v>102</v>
      </c>
      <c r="V59" s="17">
        <f>ROUNDUP((T59+U59+2*'Read Me'!$B$13)*(1+'Read Me'!$B$12),-1)</f>
        <v/>
      </c>
      <c r="W59" s="17">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7" t="n">
        <v>1214</v>
      </c>
      <c r="U60" s="17" t="n">
        <v>102</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7" t="n">
        <v>451</v>
      </c>
      <c r="U61" s="17" t="n">
        <v>157</v>
      </c>
      <c r="V61" s="17">
        <f>ROUNDUP((T61+U61+2*'Read Me'!$B$13)*(1+'Read Me'!$B$12),-1)</f>
        <v/>
      </c>
      <c r="W61" s="17">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7" t="n">
        <v>451</v>
      </c>
      <c r="U62" s="17" t="n">
        <v>157</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7" t="n">
        <v>140</v>
      </c>
      <c r="U71" s="17" t="n">
        <v>10</v>
      </c>
      <c r="V71" s="17">
        <f>ROUNDUP((T71+U71+2*'Read Me'!$B$13)*(1+'Read Me'!$B$12),-1)</f>
        <v/>
      </c>
      <c r="W71" s="17">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7" t="n">
        <v>373</v>
      </c>
      <c r="U72" s="17" t="n">
        <v>106</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373</v>
      </c>
      <c r="U74" s="17" t="n">
        <v>106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7" t="n">
        <v>631</v>
      </c>
      <c r="U75" s="17" t="n">
        <v>137</v>
      </c>
      <c r="V75" s="17">
        <f>ROUNDUP((T75+U75+2*'Read Me'!$B$13)*(1+'Read Me'!$B$12),-1)</f>
        <v/>
      </c>
      <c r="W75" s="17">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7" t="n">
        <v>631</v>
      </c>
      <c r="U76" s="17" t="n">
        <v>137</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7" t="n">
        <v>140</v>
      </c>
      <c r="U85" s="17" t="n">
        <v>10</v>
      </c>
      <c r="V85" s="17">
        <f>ROUNDUP((T85+U85+2*'Read Me'!$B$13)*(1+'Read Me'!$B$12),-1)</f>
        <v/>
      </c>
      <c r="W85" s="17">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7" t="n">
        <v>1247</v>
      </c>
      <c r="U86" s="17" t="n">
        <v>196</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7" t="n">
        <v>1247</v>
      </c>
      <c r="U88" s="17" t="n">
        <v>196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7" t="n">
        <v>799</v>
      </c>
      <c r="U89" s="17" t="n">
        <v>145</v>
      </c>
      <c r="V89" s="17">
        <f>ROUNDUP((T89+U89+2*'Read Me'!$B$13)*(1+'Read Me'!$B$12),-1)</f>
        <v/>
      </c>
      <c r="W89" s="17">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7" t="n">
        <v>799</v>
      </c>
      <c r="U90" s="17" t="n">
        <v>145</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7" t="n">
        <v>140</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7" t="n">
        <v>1193</v>
      </c>
      <c r="U100" s="17" t="n">
        <v>96</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7" t="n">
        <v>140</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7" t="n">
        <v>1193</v>
      </c>
      <c r="U102" s="17" t="n">
        <v>96</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210</v>
      </c>
      <c r="U104" s="17" t="n">
        <v>104</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7" t="n">
        <v>54</v>
      </c>
      <c r="U105" s="17" t="n">
        <v>10</v>
      </c>
      <c r="V105" s="17">
        <f>ROUNDUP((T105+U105+2*'Read Me'!$B$13)*(1+'Read Me'!$B$12),-1)</f>
        <v/>
      </c>
      <c r="W105" s="17">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7" t="n">
        <v>1102</v>
      </c>
      <c r="U106" s="17" t="n">
        <v>198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7" t="n">
        <v>54</v>
      </c>
      <c r="U107" s="17" t="n">
        <v>10</v>
      </c>
      <c r="V107" s="17">
        <f>ROUNDUP((T107+U107+2*'Read Me'!$B$13)*(1+'Read Me'!$B$12),-1)</f>
        <v/>
      </c>
      <c r="W107" s="17">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7" t="n">
        <v>908</v>
      </c>
      <c r="U108" s="17" t="n">
        <v>238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7" t="n">
        <v>373</v>
      </c>
      <c r="U112" s="17" t="n">
        <v>118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7" t="n">
        <v>373</v>
      </c>
      <c r="U113" s="17" t="n">
        <v>118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7" t="n">
        <v>373</v>
      </c>
      <c r="U114" s="17" t="n">
        <v>118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373</v>
      </c>
      <c r="U115" s="17" t="n">
        <v>118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7" t="n">
        <v>1247</v>
      </c>
      <c r="U119" s="17" t="n">
        <v>208</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7" t="n">
        <v>1247</v>
      </c>
      <c r="U120" s="17" t="n">
        <v>208</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7" t="n">
        <v>1247</v>
      </c>
      <c r="U121" s="17" t="n">
        <v>208</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7" t="n">
        <v>1247</v>
      </c>
      <c r="U122" s="17" t="n">
        <v>208</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7" t="n">
        <v>1193</v>
      </c>
      <c r="U126" s="17" t="n">
        <v>97</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7" t="n">
        <v>1193</v>
      </c>
      <c r="U127" s="17" t="n">
        <v>97</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7" t="n">
        <v>1193</v>
      </c>
      <c r="U128" s="17" t="n">
        <v>97</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7" t="n">
        <v>1193</v>
      </c>
      <c r="U129" s="17" t="n">
        <v>97</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7" t="n">
        <v>366</v>
      </c>
      <c r="U133" s="17" t="n">
        <v>111</v>
      </c>
      <c r="V133" s="17">
        <f>ROUNDUP((T133+U133+2*'Read Me'!$B$13)*(1+'Read Me'!$B$12),-1)</f>
        <v/>
      </c>
      <c r="W133" s="17">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7" t="n">
        <v>366</v>
      </c>
      <c r="U134" s="17" t="n">
        <v>111</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7" t="n">
        <v>366</v>
      </c>
      <c r="U135" s="17" t="n">
        <v>111</v>
      </c>
      <c r="V135" s="17">
        <f>ROUNDUP((T135+U135+2*'Read Me'!$B$13)*(1+'Read Me'!$B$12),-1)</f>
        <v/>
      </c>
      <c r="W135" s="17">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7" t="n">
        <v>366</v>
      </c>
      <c r="U136" s="17" t="n">
        <v>111</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220</v>
      </c>
      <c r="U138" s="17" t="n">
        <v>94</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7" t="n">
        <v>70</v>
      </c>
      <c r="U139" s="17" t="n">
        <v>10</v>
      </c>
      <c r="V139" s="17">
        <f>ROUNDUP((T139+U139+2*'Read Me'!$B$13)*(1+'Read Me'!$B$12),-1)</f>
        <v/>
      </c>
      <c r="W139" s="17">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7" t="n">
        <v>1124</v>
      </c>
      <c r="U140" s="17" t="n">
        <v>188</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7" t="n">
        <v>70</v>
      </c>
      <c r="U141" s="17" t="n">
        <v>10</v>
      </c>
      <c r="V141" s="17">
        <f>ROUNDUP((T141+U141+2*'Read Me'!$B$13)*(1+'Read Me'!$B$12),-1)</f>
        <v/>
      </c>
      <c r="W141" s="17">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7" t="n">
        <v>896</v>
      </c>
      <c r="U142" s="17" t="n">
        <v>212</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72</v>
      </c>
      <c r="U143" s="17" t="n">
        <v>139</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72</v>
      </c>
      <c r="U144" s="17" t="n">
        <v>139</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416</v>
      </c>
      <c r="U147" s="17" t="n">
        <v>181</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416</v>
      </c>
      <c r="U148" s="17" t="n">
        <v>181</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416</v>
      </c>
      <c r="U149" s="17" t="n">
        <v>181</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416</v>
      </c>
      <c r="U150" s="17" t="n">
        <v>181</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419</v>
      </c>
      <c r="U157" s="17" t="n">
        <v>179</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7" t="n">
        <v>419</v>
      </c>
      <c r="U158" s="17" t="n">
        <v>179</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7" t="n">
        <v>419</v>
      </c>
      <c r="U159" s="17" t="n">
        <v>179</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7" t="n">
        <v>419</v>
      </c>
      <c r="U160" s="17" t="n">
        <v>179</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7" t="n">
        <v>1290</v>
      </c>
      <c r="U163" s="17" t="n">
        <v>271</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7" t="n">
        <v>1290</v>
      </c>
      <c r="U164" s="17" t="n">
        <v>271</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7" t="n">
        <v>1290</v>
      </c>
      <c r="U165" s="17" t="n">
        <v>271</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7" t="n">
        <v>1290</v>
      </c>
      <c r="U166" s="17" t="n">
        <v>271</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1423</v>
      </c>
      <c r="U173" s="17" t="n">
        <v>113</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7" t="n">
        <v>1423</v>
      </c>
      <c r="U174" s="17" t="n">
        <v>113</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7" t="n">
        <v>1423</v>
      </c>
      <c r="U175" s="17" t="n">
        <v>113</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7" t="n">
        <v>1423</v>
      </c>
      <c r="U176" s="17" t="n">
        <v>113</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1140</v>
      </c>
      <c r="U179" s="17" t="n">
        <v>110</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1140</v>
      </c>
      <c r="U180" s="17" t="n">
        <v>110</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1140</v>
      </c>
      <c r="U181" s="17" t="n">
        <v>110</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1140</v>
      </c>
      <c r="U182" s="17" t="n">
        <v>110</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1103</v>
      </c>
      <c r="U189" s="17" t="n">
        <v>113</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7" t="n">
        <v>1103</v>
      </c>
      <c r="U190" s="17" t="n">
        <v>113</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7" t="n">
        <v>1103</v>
      </c>
      <c r="U191" s="17" t="n">
        <v>113</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7" t="n">
        <v>1103</v>
      </c>
      <c r="U192" s="17" t="n">
        <v>113</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463</v>
      </c>
      <c r="U195" s="17" t="n">
        <v>35</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463</v>
      </c>
      <c r="U196" s="17" t="n">
        <v>35</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463</v>
      </c>
      <c r="U197" s="17" t="n">
        <v>35</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463</v>
      </c>
      <c r="U198" s="17" t="n">
        <v>35</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7" t="n">
        <v>408</v>
      </c>
      <c r="U205" s="17" t="n">
        <v>32</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7" t="n">
        <v>408</v>
      </c>
      <c r="U206" s="17" t="n">
        <v>32</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7" t="n">
        <v>408</v>
      </c>
      <c r="U207" s="17" t="n">
        <v>32</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7" t="n">
        <v>408</v>
      </c>
      <c r="U208" s="17" t="n">
        <v>32</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7" t="n">
        <v>302</v>
      </c>
      <c r="U217" s="17" t="n">
        <v>170</v>
      </c>
      <c r="V217" s="17">
        <f>ROUNDUP((T217+U217+2*'Read Me'!$B$13)*(1+'Read Me'!$B$12),-1)</f>
        <v/>
      </c>
      <c r="W217" s="17">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7" t="n">
        <v>302</v>
      </c>
      <c r="U218" s="17" t="n">
        <v>170</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7" t="n">
        <v>302</v>
      </c>
      <c r="U219" s="17" t="n">
        <v>170</v>
      </c>
      <c r="V219" s="17">
        <f>ROUNDUP((T219+U219+2*'Read Me'!$B$13)*(1+'Read Me'!$B$12),-1)</f>
        <v/>
      </c>
      <c r="W219" s="17">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7" t="n">
        <v>302</v>
      </c>
      <c r="U220" s="17" t="n">
        <v>170</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62</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224</v>
      </c>
      <c r="U222" s="17" t="n">
        <v>119</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7" t="n">
        <v>96</v>
      </c>
      <c r="U225" s="17" t="n">
        <v>10</v>
      </c>
      <c r="V225" s="17">
        <f>ROUNDUP((T225+U225+2*'Read Me'!$B$13)*(1+'Read Me'!$B$12),-1)</f>
        <v/>
      </c>
      <c r="W225" s="17">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7" t="n">
        <v>154</v>
      </c>
      <c r="U226" s="17" t="n">
        <v>103</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7" t="n">
        <v>96</v>
      </c>
      <c r="U227" s="17" t="n">
        <v>10</v>
      </c>
      <c r="V227" s="17">
        <f>ROUNDUP((T227+U227+2*'Read Me'!$B$13)*(1+'Read Me'!$B$12),-1)</f>
        <v/>
      </c>
      <c r="W227" s="17">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7" t="n">
        <v>154</v>
      </c>
      <c r="U228" s="17" t="n">
        <v>103</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7" t="n">
        <v>482</v>
      </c>
      <c r="U237" s="17" t="n">
        <v>150</v>
      </c>
      <c r="V237" s="17">
        <f>ROUNDUP((T237+U237+2*'Read Me'!$B$13)*(1+'Read Me'!$B$12),-1)</f>
        <v/>
      </c>
      <c r="W237" s="17">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7" t="n">
        <v>482</v>
      </c>
      <c r="U238" s="17" t="n">
        <v>150</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7" t="n">
        <v>482</v>
      </c>
      <c r="U239" s="17" t="n">
        <v>150</v>
      </c>
      <c r="V239" s="17">
        <f>ROUNDUP((T239+U239+2*'Read Me'!$B$13)*(1+'Read Me'!$B$12),-1)</f>
        <v/>
      </c>
      <c r="W239" s="17">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7" t="n">
        <v>482</v>
      </c>
      <c r="U240" s="17" t="n">
        <v>150</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62</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1116</v>
      </c>
      <c r="U242" s="17" t="n">
        <v>213</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7" t="n">
        <v>96</v>
      </c>
      <c r="U245" s="17" t="n">
        <v>10</v>
      </c>
      <c r="V245" s="17">
        <f>ROUNDUP((T245+U245+2*'Read Me'!$B$13)*(1+'Read Me'!$B$12),-1)</f>
        <v/>
      </c>
      <c r="W245" s="17">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7" t="n">
        <v>1046</v>
      </c>
      <c r="U246" s="17" t="n">
        <v>197</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7" t="n">
        <v>96</v>
      </c>
      <c r="U247" s="17" t="n">
        <v>10</v>
      </c>
      <c r="V247" s="17">
        <f>ROUNDUP((T247+U247+2*'Read Me'!$B$13)*(1+'Read Me'!$B$12),-1)</f>
        <v/>
      </c>
      <c r="W247" s="17">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7" t="n">
        <v>1046</v>
      </c>
      <c r="U248" s="17" t="n">
        <v>197</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7" t="n">
        <v>693</v>
      </c>
      <c r="U257" s="17" t="n">
        <v>149</v>
      </c>
      <c r="V257" s="17">
        <f>ROUNDUP((T257+U257+2*'Read Me'!$B$13)*(1+'Read Me'!$B$12),-1)</f>
        <v/>
      </c>
      <c r="W257" s="17">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7" t="n">
        <v>693</v>
      </c>
      <c r="U258" s="17" t="n">
        <v>149</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7" t="n">
        <v>693</v>
      </c>
      <c r="U259" s="17" t="n">
        <v>149</v>
      </c>
      <c r="V259" s="17">
        <f>ROUNDUP((T259+U259+2*'Read Me'!$B$13)*(1+'Read Me'!$B$12),-1)</f>
        <v/>
      </c>
      <c r="W259" s="17">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7" t="n">
        <v>693</v>
      </c>
      <c r="U260" s="17" t="n">
        <v>149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62</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926</v>
      </c>
      <c r="U262" s="17" t="n">
        <v>248</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7" t="n">
        <v>96</v>
      </c>
      <c r="U265" s="17" t="n">
        <v>10</v>
      </c>
      <c r="V265" s="17">
        <f>ROUNDUP((T265+U265+2*'Read Me'!$B$13)*(1+'Read Me'!$B$12),-1)</f>
        <v/>
      </c>
      <c r="W265" s="17">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7" t="n">
        <v>986</v>
      </c>
      <c r="U266" s="17" t="n">
        <v>249</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7" t="n">
        <v>96</v>
      </c>
      <c r="U267" s="17" t="n">
        <v>10</v>
      </c>
      <c r="V267" s="17">
        <f>ROUNDUP((T267+U267+2*'Read Me'!$B$13)*(1+'Read Me'!$B$12),-1)</f>
        <v/>
      </c>
      <c r="W267" s="17">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7" t="n">
        <v>986</v>
      </c>
      <c r="U268" s="17" t="n">
        <v>249</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445</v>
      </c>
      <c r="U269" s="17" t="n">
        <v>178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445</v>
      </c>
      <c r="U270" s="17" t="n">
        <v>178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445</v>
      </c>
      <c r="U271" s="17" t="n">
        <v>178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445</v>
      </c>
      <c r="U272" s="17" t="n">
        <v>178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625</v>
      </c>
      <c r="U273" s="17" t="n">
        <v>158</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625</v>
      </c>
      <c r="U274" s="17" t="n">
        <v>158</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625</v>
      </c>
      <c r="U275" s="17" t="n">
        <v>158</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625</v>
      </c>
      <c r="U276" s="17" t="n">
        <v>158</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793</v>
      </c>
      <c r="U277" s="17" t="n">
        <v>166</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793</v>
      </c>
      <c r="U278" s="17" t="n">
        <v>166</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793</v>
      </c>
      <c r="U279" s="17" t="n">
        <v>166</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793</v>
      </c>
      <c r="U280" s="17" t="n">
        <v>166</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7" t="n">
        <v>0</v>
      </c>
      <c r="U326" s="17" t="n">
        <v>87</v>
      </c>
      <c r="V326" s="17">
        <f>ROUNDUP((T326+U326+2*'Read Me'!$B$13)*(1+'Read Me'!$B$12),-1)</f>
        <v/>
      </c>
      <c r="W326" s="17">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7" t="n">
        <v>0</v>
      </c>
      <c r="U328" s="17" t="n">
        <v>87</v>
      </c>
      <c r="V328" s="17">
        <f>ROUNDUP((T328+U328+2*'Read Me'!$B$13)*(1+'Read Me'!$B$12),-1)</f>
        <v/>
      </c>
      <c r="W328" s="17">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7" t="n">
        <v>180</v>
      </c>
      <c r="U330" s="17" t="n">
        <v>10</v>
      </c>
      <c r="V330" s="17">
        <f>ROUNDUP((T330+U330+2*'Read Me'!$B$13)*(1+'Read Me'!$B$12),-1)</f>
        <v/>
      </c>
      <c r="W330" s="17">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7" t="n">
        <v>0</v>
      </c>
      <c r="U331" s="17" t="n">
        <v>87</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7" t="n">
        <v>180</v>
      </c>
      <c r="U332" s="17" t="n">
        <v>10</v>
      </c>
      <c r="V332" s="17">
        <f>ROUNDUP((T332+U332+2*'Read Me'!$B$13)*(1+'Read Me'!$B$12),-1)</f>
        <v/>
      </c>
      <c r="W332" s="17">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7" t="n">
        <v>0</v>
      </c>
      <c r="U333" s="17" t="n">
        <v>87</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7" t="n">
        <v>38</v>
      </c>
      <c r="U334" s="17" t="n">
        <v>86</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7" t="n">
        <v>38</v>
      </c>
      <c r="U335" s="17" t="n">
        <v>86</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7" t="n">
        <v>38</v>
      </c>
      <c r="U336" s="17" t="n">
        <v>86</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7" t="n">
        <v>38</v>
      </c>
      <c r="U337" s="17" t="n">
        <v>86</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404</v>
      </c>
      <c r="U340" s="17" t="n">
        <v>108</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404</v>
      </c>
      <c r="U341" s="17" t="n">
        <v>108</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404</v>
      </c>
      <c r="U342" s="17" t="n">
        <v>108</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404</v>
      </c>
      <c r="U343" s="17" t="n">
        <v>108</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7" t="n">
        <v>106</v>
      </c>
      <c r="U344" s="17" t="n">
        <v>10</v>
      </c>
      <c r="V344" s="17">
        <f>ROUNDUP((T344+U344+2*'Read Me'!$B$13)*(1+'Read Me'!$B$12),-1)</f>
        <v/>
      </c>
      <c r="W344" s="17">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7" t="n">
        <v>400</v>
      </c>
      <c r="U345" s="17" t="n">
        <v>84</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7" t="n">
        <v>186</v>
      </c>
      <c r="U346" s="17" t="n">
        <v>328</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7" t="n">
        <v>53</v>
      </c>
      <c r="U389" s="17" t="n">
        <v>96</v>
      </c>
      <c r="V389" s="17">
        <f>ROUNDUP((T389+U389+2*'Read Me'!$B$13)*(1+'Read Me'!$B$12),-1)</f>
        <v/>
      </c>
      <c r="W389" s="17">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7" t="n">
        <v>53</v>
      </c>
      <c r="U391" s="17" t="n">
        <v>96</v>
      </c>
      <c r="V391" s="17">
        <f>ROUNDUP((T391+U391+2*'Read Me'!$B$13)*(1+'Read Me'!$B$12),-1)</f>
        <v/>
      </c>
      <c r="W391" s="17">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53</v>
      </c>
      <c r="U393" s="17" t="n">
        <v>96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53</v>
      </c>
      <c r="U394" s="17" t="n">
        <v>96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53</v>
      </c>
      <c r="U395" s="17" t="n">
        <v>96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7" t="n">
        <v>180</v>
      </c>
      <c r="U396" s="17" t="n">
        <v>10</v>
      </c>
      <c r="V396" s="17">
        <f>ROUNDUP((T396+U396+2*'Read Me'!$B$13)*(1+'Read Me'!$B$12),-1)</f>
        <v/>
      </c>
      <c r="W396" s="17">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7" t="n">
        <v>53</v>
      </c>
      <c r="U397" s="17" t="n">
        <v>96</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7" t="n">
        <v>180</v>
      </c>
      <c r="U398" s="17" t="n">
        <v>10</v>
      </c>
      <c r="V398" s="17">
        <f>ROUNDUP((T398+U398+2*'Read Me'!$B$13)*(1+'Read Me'!$B$12),-1)</f>
        <v/>
      </c>
      <c r="W398" s="17">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7" t="n">
        <v>53</v>
      </c>
      <c r="U399" s="17" t="n">
        <v>96</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7" t="n">
        <v>38</v>
      </c>
      <c r="U400" s="17" t="n">
        <v>86</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7" t="n">
        <v>38</v>
      </c>
      <c r="U401" s="17" t="n">
        <v>86</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7" t="n">
        <v>38</v>
      </c>
      <c r="U402" s="17" t="n">
        <v>86</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7" t="n">
        <v>38</v>
      </c>
      <c r="U403" s="17" t="n">
        <v>86</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404</v>
      </c>
      <c r="U404" s="17" t="n">
        <v>108</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404</v>
      </c>
      <c r="U405" s="17" t="n">
        <v>108</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404</v>
      </c>
      <c r="U406" s="17" t="n">
        <v>108</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7" t="n">
        <v>404</v>
      </c>
      <c r="U407" s="17" t="n">
        <v>108</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7" t="n">
        <v>404</v>
      </c>
      <c r="U408" s="17" t="n">
        <v>108</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7" t="n">
        <v>404</v>
      </c>
      <c r="U409" s="17" t="n">
        <v>108</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7" t="n">
        <v>106</v>
      </c>
      <c r="U410" s="17" t="n">
        <v>10</v>
      </c>
      <c r="V410" s="17">
        <f>ROUNDUP((T410+U410+2*'Read Me'!$B$13)*(1+'Read Me'!$B$12),-1)</f>
        <v/>
      </c>
      <c r="W410" s="17">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7" t="n">
        <v>400</v>
      </c>
      <c r="U411" s="17" t="n">
        <v>84</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7" t="n">
        <v>273</v>
      </c>
      <c r="U412" s="17" t="n">
        <v>315</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7" t="n">
        <v>0</v>
      </c>
      <c r="U452" s="17" t="n">
        <v>87</v>
      </c>
      <c r="V452" s="17">
        <f>ROUNDUP((T452+U452+2*'Read Me'!$B$13)*(1+'Read Me'!$B$12),-1)</f>
        <v/>
      </c>
      <c r="W452" s="17">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7" t="n">
        <v>0</v>
      </c>
      <c r="U454" s="17" t="n">
        <v>87</v>
      </c>
      <c r="V454" s="17">
        <f>ROUNDUP((T454+U454+2*'Read Me'!$B$13)*(1+'Read Me'!$B$12),-1)</f>
        <v/>
      </c>
      <c r="W454" s="17">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0</v>
      </c>
      <c r="U456" s="17" t="n">
        <v>87</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0</v>
      </c>
      <c r="U457" s="17" t="n">
        <v>87</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0</v>
      </c>
      <c r="U458" s="17" t="n">
        <v>87</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0</v>
      </c>
      <c r="U459" s="17" t="n">
        <v>87</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7" t="n">
        <v>0</v>
      </c>
      <c r="U460" s="17" t="n">
        <v>87</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7" t="n">
        <v>0</v>
      </c>
      <c r="U461" s="17" t="n">
        <v>87</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7" t="n">
        <v>180</v>
      </c>
      <c r="U462" s="17" t="n">
        <v>10</v>
      </c>
      <c r="V462" s="17">
        <f>ROUNDUP((T462+U462+2*'Read Me'!$B$13)*(1+'Read Me'!$B$12),-1)</f>
        <v/>
      </c>
      <c r="W462" s="17">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7" t="n">
        <v>0</v>
      </c>
      <c r="U463" s="17" t="n">
        <v>87</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7" t="n">
        <v>180</v>
      </c>
      <c r="U464" s="17" t="n">
        <v>10</v>
      </c>
      <c r="V464" s="17">
        <f>ROUNDUP((T464+U464+2*'Read Me'!$B$13)*(1+'Read Me'!$B$12),-1)</f>
        <v/>
      </c>
      <c r="W464" s="17">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7" t="n">
        <v>0</v>
      </c>
      <c r="U465" s="17" t="n">
        <v>87</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7" t="n">
        <v>38</v>
      </c>
      <c r="U466" s="17" t="n">
        <v>86</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7" t="n">
        <v>38</v>
      </c>
      <c r="U467" s="17" t="n">
        <v>86</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7" t="n">
        <v>38</v>
      </c>
      <c r="U468" s="17" t="n">
        <v>86</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7" t="n">
        <v>38</v>
      </c>
      <c r="U469" s="17" t="n">
        <v>86</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7" t="n">
        <v>404</v>
      </c>
      <c r="U470" s="17" t="n">
        <v>108</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7" t="n">
        <v>404</v>
      </c>
      <c r="U471" s="17" t="n">
        <v>108</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7" t="n">
        <v>404</v>
      </c>
      <c r="U472" s="17" t="n">
        <v>108</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404</v>
      </c>
      <c r="U473" s="17" t="n">
        <v>108</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7" t="n">
        <v>404</v>
      </c>
      <c r="U474" s="17" t="n">
        <v>108</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7" t="n">
        <v>404</v>
      </c>
      <c r="U475" s="17" t="n">
        <v>108</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7" t="n">
        <v>106</v>
      </c>
      <c r="U476" s="17" t="n">
        <v>10</v>
      </c>
      <c r="V476" s="17">
        <f>ROUNDUP((T476+U476+2*'Read Me'!$B$13)*(1+'Read Me'!$B$12),-1)</f>
        <v/>
      </c>
      <c r="W476" s="17">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7" t="n">
        <v>400</v>
      </c>
      <c r="U477" s="17" t="n">
        <v>84</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7" t="n">
        <v>186</v>
      </c>
      <c r="U478" s="17" t="n">
        <v>328</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7" t="n">
        <v>829</v>
      </c>
      <c r="U479" s="17" t="n">
        <v>218</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41</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41</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41</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7" t="n">
        <v>51</v>
      </c>
      <c r="U483" s="17" t="n">
        <v>41</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7" t="n">
        <v>51</v>
      </c>
      <c r="U484" s="17" t="n">
        <v>41</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7" t="n">
        <v>51</v>
      </c>
      <c r="U485" s="17" t="n">
        <v>41</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7" t="n">
        <v>718</v>
      </c>
      <c r="U486" s="17" t="n">
        <v>124</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7" t="n">
        <v>718</v>
      </c>
      <c r="U487" s="17" t="n">
        <v>124</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7" t="n">
        <v>718</v>
      </c>
      <c r="U488" s="17" t="n">
        <v>124</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718</v>
      </c>
      <c r="U489" s="17" t="n">
        <v>124</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7" t="n">
        <v>51</v>
      </c>
      <c r="U490" s="17" t="n">
        <v>63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7" t="n">
        <v>51</v>
      </c>
      <c r="U491" s="17" t="n">
        <v>63</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7" t="n">
        <v>51</v>
      </c>
      <c r="U492" s="17" t="n">
        <v>63</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7" t="n">
        <v>51</v>
      </c>
      <c r="U493" s="17" t="n">
        <v>63</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7" t="n">
        <v>51</v>
      </c>
      <c r="U494" s="17" t="n">
        <v>63</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7" t="n">
        <v>51</v>
      </c>
      <c r="U495" s="17" t="n">
        <v>63</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7" t="n">
        <v>718</v>
      </c>
      <c r="U496" s="17" t="n">
        <v>146</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7" t="n">
        <v>718</v>
      </c>
      <c r="U497" s="17" t="n">
        <v>146</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718</v>
      </c>
      <c r="U498" s="17" t="n">
        <v>146</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7" t="n">
        <v>718</v>
      </c>
      <c r="U499" s="17" t="n">
        <v>146</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73</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7" t="n">
        <v>0</v>
      </c>
      <c r="U501" s="17" t="n">
        <v>73</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7" t="n">
        <v>0</v>
      </c>
      <c r="U502" s="17" t="n">
        <v>73</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7" t="n">
        <v>0</v>
      </c>
      <c r="U503" s="17" t="n">
        <v>73</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0</v>
      </c>
      <c r="U504" s="17" t="n">
        <v>109</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7" t="n">
        <v>0</v>
      </c>
      <c r="U505" s="17" t="n">
        <v>109</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7" t="n">
        <v>0</v>
      </c>
      <c r="U506" s="17" t="n">
        <v>109</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7" t="n">
        <v>0</v>
      </c>
      <c r="U507" s="17" t="n">
        <v>109</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667</v>
      </c>
      <c r="U508" s="17" t="n">
        <v>144</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7" t="n">
        <v>667</v>
      </c>
      <c r="U509" s="17" t="n">
        <v>144</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7" t="n">
        <v>667</v>
      </c>
      <c r="U510" s="17" t="n">
        <v>144</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7" t="n">
        <v>667</v>
      </c>
      <c r="U511" s="17" t="n">
        <v>144</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7" t="n">
        <v>0</v>
      </c>
      <c r="U512" s="17" t="n">
        <v>32</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7" t="n">
        <v>0</v>
      </c>
      <c r="U513" s="17" t="n">
        <v>72</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0</v>
      </c>
      <c r="U514" s="17" t="n">
        <v>72</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7" t="n">
        <v>0</v>
      </c>
      <c r="U515" s="17" t="n">
        <v>72</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7" t="n">
        <v>0</v>
      </c>
      <c r="U516" s="17" t="n">
        <v>32</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7" t="n">
        <v>404</v>
      </c>
      <c r="U517" s="17" t="n">
        <v>72</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404</v>
      </c>
      <c r="U518" s="17" t="n">
        <v>72</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7" t="n">
        <v>404</v>
      </c>
      <c r="U519" s="17" t="n">
        <v>72</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7" t="n">
        <v>404</v>
      </c>
      <c r="U520" s="17" t="n">
        <v>72</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7" t="n">
        <v>404</v>
      </c>
      <c r="U521" s="17" t="n">
        <v>72</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7" t="n">
        <v>404</v>
      </c>
      <c r="U522" s="17" t="n">
        <v>72</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7" t="n">
        <v>359</v>
      </c>
      <c r="U523" s="17" t="n">
        <v>147</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7" t="n">
        <v>359</v>
      </c>
      <c r="U524" s="17" t="n">
        <v>147</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7" t="n">
        <v>359</v>
      </c>
      <c r="U525" s="17" t="n">
        <v>147</v>
      </c>
      <c r="V525" s="17">
        <f>ROUNDUP((T525+U525+2*'Read Me'!$B$13)*(1+'Read Me'!$B$12),-1)</f>
        <v/>
      </c>
      <c r="W525" s="17">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7" t="n">
        <v>359</v>
      </c>
      <c r="U526" s="17" t="n">
        <v>147</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7" t="n">
        <v>1233</v>
      </c>
      <c r="U527" s="17" t="n">
        <v>237</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7" t="n">
        <v>1233</v>
      </c>
      <c r="U528" s="17" t="n">
        <v>237</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7" t="n">
        <v>1233</v>
      </c>
      <c r="U529" s="17" t="n">
        <v>237</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7" t="n">
        <v>1233</v>
      </c>
      <c r="U530" s="17" t="n">
        <v>237</v>
      </c>
      <c r="V530" s="17">
        <f>ROUNDUP((T530+U530+2*'Read Me'!$B$13)*(1+'Read Me'!$B$12),-1)</f>
        <v/>
      </c>
      <c r="W530" s="17">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7" t="n">
        <v>987</v>
      </c>
      <c r="U531" s="17" t="n">
        <v>184</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7" t="n">
        <v>987</v>
      </c>
      <c r="U532" s="17" t="n">
        <v>184</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7" t="n">
        <v>987</v>
      </c>
      <c r="U533" s="17" t="n">
        <v>184</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7" t="n">
        <v>987</v>
      </c>
      <c r="U534" s="17" t="n">
        <v>184</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7" t="n">
        <v>481</v>
      </c>
      <c r="U535" s="17" t="n">
        <v>189</v>
      </c>
      <c r="V535" s="17">
        <f>ROUNDUP((T535+U535+2*'Read Me'!$B$13)*(1+'Read Me'!$B$12),-1)</f>
        <v/>
      </c>
      <c r="W535" s="17">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7" t="n">
        <v>481</v>
      </c>
      <c r="U536" s="17" t="n">
        <v>189</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7" t="n">
        <v>481</v>
      </c>
      <c r="U537" s="17" t="n">
        <v>189</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7" t="n">
        <v>52</v>
      </c>
      <c r="U538" s="17" t="n">
        <v>10</v>
      </c>
      <c r="V538" s="17">
        <f>ROUNDUP((T538+U538+2*'Read Me'!$B$13)*(1+'Read Me'!$B$12),-1)</f>
        <v/>
      </c>
      <c r="W538" s="17">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7" t="n">
        <v>403</v>
      </c>
      <c r="U539" s="17" t="n">
        <v>138</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7" t="n">
        <v>661</v>
      </c>
      <c r="U540" s="17" t="n">
        <v>169</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7" t="n">
        <v>661</v>
      </c>
      <c r="U541" s="17" t="n">
        <v>169</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7" t="n">
        <v>661</v>
      </c>
      <c r="U542" s="17" t="n">
        <v>169</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7" t="n">
        <v>52</v>
      </c>
      <c r="U543" s="17" t="n">
        <v>10</v>
      </c>
      <c r="V543" s="17">
        <f>ROUNDUP((T543+U543+2*'Read Me'!$B$13)*(1+'Read Me'!$B$12),-1)</f>
        <v/>
      </c>
      <c r="W543" s="17">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7" t="n">
        <v>1277</v>
      </c>
      <c r="U544" s="17" t="n">
        <v>228</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7" t="n">
        <v>829</v>
      </c>
      <c r="U545" s="17" t="n">
        <v>177</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7" t="n">
        <v>829</v>
      </c>
      <c r="U546" s="17" t="n">
        <v>177</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7" t="n">
        <v>829</v>
      </c>
      <c r="U547" s="17" t="n">
        <v>177</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7" t="n">
        <v>52</v>
      </c>
      <c r="U548" s="17" t="n">
        <v>10</v>
      </c>
      <c r="V548" s="17">
        <f>ROUNDUP((T548+U548+2*'Read Me'!$B$13)*(1+'Read Me'!$B$12),-1)</f>
        <v/>
      </c>
      <c r="W548" s="17">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7" t="n">
        <v>1214</v>
      </c>
      <c r="U549" s="17" t="n">
        <v>126</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7" t="n">
        <v>67</v>
      </c>
      <c r="U550" s="17" t="n">
        <v>84</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7" t="n">
        <v>67</v>
      </c>
      <c r="U551" s="17" t="n">
        <v>84</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7" t="n">
        <v>67</v>
      </c>
      <c r="U552" s="17" t="n">
        <v>84</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7" t="n">
        <v>67</v>
      </c>
      <c r="U553" s="17" t="n">
        <v>84</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7" t="n">
        <v>67</v>
      </c>
      <c r="U554" s="17" t="n">
        <v>84</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7" t="n">
        <v>67</v>
      </c>
      <c r="U555" s="17" t="n">
        <v>84</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7" t="n">
        <v>67</v>
      </c>
      <c r="U556" s="17" t="n">
        <v>84</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7" t="n">
        <v>67</v>
      </c>
      <c r="U557" s="17" t="n">
        <v>84</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7" t="n">
        <v>67</v>
      </c>
      <c r="U558" s="17" t="n">
        <v>84</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7" t="n">
        <v>67</v>
      </c>
      <c r="U559" s="17" t="n">
        <v>84</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7" t="n">
        <v>12</v>
      </c>
      <c r="U567" s="17" t="n">
        <v>50</v>
      </c>
      <c r="V567" s="17">
        <f>ROUNDUP((T567+U567+2*'Read Me'!$B$13)*(1+'Read Me'!$B$12),-1)</f>
        <v/>
      </c>
      <c r="W567" s="17">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7" t="n">
        <v>12</v>
      </c>
      <c r="U569" s="17" t="n">
        <v>50</v>
      </c>
      <c r="V569" s="17">
        <f>ROUNDUP((T569+U569+2*'Read Me'!$B$13)*(1+'Read Me'!$B$12),-1)</f>
        <v/>
      </c>
      <c r="W569" s="17">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7" t="n">
        <v>12</v>
      </c>
      <c r="U571" s="17" t="n">
        <v>50</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7" t="n">
        <v>12</v>
      </c>
      <c r="U572" s="17" t="n">
        <v>50</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7" t="n">
        <v>12</v>
      </c>
      <c r="U573" s="17" t="n">
        <v>50</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7" t="n">
        <v>12</v>
      </c>
      <c r="U574" s="17" t="n">
        <v>50</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7" t="n">
        <v>12</v>
      </c>
      <c r="U575" s="17" t="n">
        <v>50</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7" t="n">
        <v>12</v>
      </c>
      <c r="U576" s="17" t="n">
        <v>50</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7" t="n">
        <v>12</v>
      </c>
      <c r="U577" s="17" t="n">
        <v>50</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7" t="n">
        <v>12</v>
      </c>
      <c r="U578" s="17" t="n">
        <v>50</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7" t="n">
        <v>12</v>
      </c>
      <c r="U579" s="17" t="n">
        <v>50</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7" t="n">
        <v>119</v>
      </c>
      <c r="U580" s="17" t="n">
        <v>10</v>
      </c>
      <c r="V580" s="17">
        <f>ROUNDUP((T580+U580+2*'Read Me'!$B$13)*(1+'Read Me'!$B$12),-1)</f>
        <v/>
      </c>
      <c r="W580" s="17">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7" t="n">
        <v>12</v>
      </c>
      <c r="U581" s="17" t="n">
        <v>50</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7" t="n">
        <v>119</v>
      </c>
      <c r="U582" s="17" t="n">
        <v>10</v>
      </c>
      <c r="V582" s="17">
        <f>ROUNDUP((T582+U582+2*'Read Me'!$B$13)*(1+'Read Me'!$B$12),-1)</f>
        <v/>
      </c>
      <c r="W582" s="17">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7" t="n">
        <v>12</v>
      </c>
      <c r="U583" s="17" t="n">
        <v>50</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7" t="n">
        <v>517</v>
      </c>
      <c r="U584" s="17" t="n">
        <v>35</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7" t="n">
        <v>517</v>
      </c>
      <c r="U585" s="17" t="n">
        <v>35</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7" t="n">
        <v>517</v>
      </c>
      <c r="U586" s="17" t="n">
        <v>35</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7" t="n">
        <v>517</v>
      </c>
      <c r="U587" s="17" t="n">
        <v>35</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86</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86</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86</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86</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86</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7" t="n">
        <v>0</v>
      </c>
      <c r="U593" s="17" t="n">
        <v>86</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7" t="n">
        <v>0</v>
      </c>
      <c r="U594" s="17" t="n">
        <v>97</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7" t="n">
        <v>0</v>
      </c>
      <c r="U595" s="17" t="n">
        <v>97</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7" t="n">
        <v>0</v>
      </c>
      <c r="U596" s="17" t="n">
        <v>97</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7" t="n">
        <v>0</v>
      </c>
      <c r="U597" s="17" t="n">
        <v>97</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7" t="n">
        <v>0</v>
      </c>
      <c r="U598" s="17" t="n">
        <v>97</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7" t="n">
        <v>0</v>
      </c>
      <c r="U599" s="17" t="n">
        <v>97</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7" t="n">
        <v>0</v>
      </c>
      <c r="U600" s="17" t="n">
        <v>97</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7" t="n">
        <v>0</v>
      </c>
      <c r="U601" s="17" t="n">
        <v>97</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7" t="n">
        <v>0</v>
      </c>
      <c r="U602" s="17" t="n">
        <v>97</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7" t="n">
        <v>0</v>
      </c>
      <c r="U603" s="17" t="n">
        <v>97</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7" t="n">
        <v>0</v>
      </c>
      <c r="U604" s="17" t="n">
        <v>97</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0</v>
      </c>
      <c r="U605" s="17" t="n">
        <v>97</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7" t="n">
        <v>0</v>
      </c>
      <c r="U606" s="17" t="n">
        <v>71</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7" t="n">
        <v>0</v>
      </c>
      <c r="U607" s="17" t="n">
        <v>71</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7" t="n">
        <v>0</v>
      </c>
      <c r="U608" s="17" t="n">
        <v>71</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0</v>
      </c>
      <c r="U609" s="17" t="n">
        <v>71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0</v>
      </c>
      <c r="U610" s="17" t="n">
        <v>71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0</v>
      </c>
      <c r="U611" s="17" t="n">
        <v>71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63</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63</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63</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7" t="n">
        <v>63</v>
      </c>
      <c r="U615" s="17" t="n">
        <v>41</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7" t="n">
        <v>63</v>
      </c>
      <c r="U616" s="17" t="n">
        <v>41</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7" t="n">
        <v>63</v>
      </c>
      <c r="U617" s="17" t="n">
        <v>41</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7" t="n">
        <v>730</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7" t="n">
        <v>730</v>
      </c>
      <c r="U619" s="17" t="n">
        <v>124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7" t="n">
        <v>730</v>
      </c>
      <c r="U620" s="17" t="n">
        <v>124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7" t="n">
        <v>730</v>
      </c>
      <c r="U621" s="17" t="n">
        <v>124</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7" t="n">
        <v>85</v>
      </c>
      <c r="U622" s="17" t="n">
        <v>41</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7" t="n">
        <v>85</v>
      </c>
      <c r="U623" s="17" t="n">
        <v>41</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7" t="n">
        <v>85</v>
      </c>
      <c r="U624" s="17" t="n">
        <v>41</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7" t="n">
        <v>85</v>
      </c>
      <c r="U625" s="17" t="n">
        <v>41</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7" t="n">
        <v>85</v>
      </c>
      <c r="U626" s="17" t="n">
        <v>41</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7" t="n">
        <v>85</v>
      </c>
      <c r="U627" s="17" t="n">
        <v>41</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752</v>
      </c>
      <c r="U628" s="17" t="n">
        <v>124</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7" t="n">
        <v>752</v>
      </c>
      <c r="U629" s="17" t="n">
        <v>124</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7" t="n">
        <v>752</v>
      </c>
      <c r="U630" s="17" t="n">
        <v>124</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752</v>
      </c>
      <c r="U631" s="17" t="n">
        <v>124</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7" t="n">
        <v>178</v>
      </c>
      <c r="U632" s="17" t="n">
        <v>94</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7" t="n">
        <v>1069</v>
      </c>
      <c r="U633" s="17" t="n">
        <v>184</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7" t="n">
        <v>1024</v>
      </c>
      <c r="U634" s="17" t="n">
        <v>240</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7" t="n">
        <v>408</v>
      </c>
      <c r="U635" s="17" t="n">
        <v>183</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7" t="n">
        <v>566</v>
      </c>
      <c r="U636" s="17" t="n">
        <v>158</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7" t="n">
        <v>566</v>
      </c>
      <c r="U637" s="17" t="n">
        <v>158</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7" t="n">
        <v>566</v>
      </c>
      <c r="U638" s="17" t="n">
        <v>158</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7" t="n">
        <v>566</v>
      </c>
      <c r="U639" s="17" t="n">
        <v>158</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7" t="n">
        <v>566</v>
      </c>
      <c r="U640" s="17" t="n">
        <v>158</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7" t="n">
        <v>566</v>
      </c>
      <c r="U641" s="17" t="n">
        <v>158</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7" t="n">
        <v>566</v>
      </c>
      <c r="U642" s="17" t="n">
        <v>158</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7" t="n">
        <v>566</v>
      </c>
      <c r="U643" s="17" t="n">
        <v>158</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7" t="n">
        <v>566</v>
      </c>
      <c r="U644" s="17" t="n">
        <v>158</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7" t="n">
        <v>566</v>
      </c>
      <c r="U645" s="17" t="n">
        <v>158</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1423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1423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1423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1423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7" t="n">
        <v>1423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7" t="n">
        <v>1423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7" t="n">
        <v>1423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7" t="n">
        <v>1423</v>
      </c>
      <c r="U653" s="17" t="n">
        <v>96</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7" t="n">
        <v>1423</v>
      </c>
      <c r="U654" s="17" t="n">
        <v>96</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7" t="n">
        <v>1423</v>
      </c>
      <c r="U655" s="17" t="n">
        <v>96</v>
      </c>
      <c r="V655" s="17">
        <f>ROUNDUP((T655+U655+2*'Read Me'!$B$13)*(1+'Read Me'!$B$12),-1)</f>
        <v/>
      </c>
      <c r="W655" s="17">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7" t="n">
        <v>1103</v>
      </c>
      <c r="U656" s="17" t="n">
        <v>96</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7" t="n">
        <v>1103</v>
      </c>
      <c r="U657" s="17" t="n">
        <v>96</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7" t="n">
        <v>1103</v>
      </c>
      <c r="U658" s="17" t="n">
        <v>96</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7" t="n">
        <v>1103</v>
      </c>
      <c r="U659" s="17" t="n">
        <v>96</v>
      </c>
      <c r="V659" s="17">
        <f>ROUNDUP((T659+U659+2*'Read Me'!$B$13)*(1+'Read Me'!$B$12),-1)</f>
        <v/>
      </c>
      <c r="W659" s="17">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7" t="n">
        <v>1103</v>
      </c>
      <c r="U660" s="17" t="n">
        <v>96</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7" t="n">
        <v>1103</v>
      </c>
      <c r="U661" s="17" t="n">
        <v>96</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7" t="n">
        <v>1103</v>
      </c>
      <c r="U662" s="17" t="n">
        <v>96</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7" t="n">
        <v>1103</v>
      </c>
      <c r="U663" s="17" t="n">
        <v>96</v>
      </c>
      <c r="V663" s="17">
        <f>ROUNDUP((T663+U663+2*'Read Me'!$B$13)*(1+'Read Me'!$B$12),-1)</f>
        <v/>
      </c>
      <c r="W663" s="17">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7" t="n">
        <v>1103</v>
      </c>
      <c r="U664" s="17" t="n">
        <v>96</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7" t="n">
        <v>1103</v>
      </c>
      <c r="U665" s="17" t="n">
        <v>96</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7" t="n">
        <v>261</v>
      </c>
      <c r="U666" s="17" t="n">
        <v>145</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7" t="n">
        <v>261</v>
      </c>
      <c r="U667" s="17" t="n">
        <v>145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7" t="n">
        <v>52</v>
      </c>
      <c r="U668" s="17" t="n">
        <v>10</v>
      </c>
      <c r="V668" s="17">
        <f>ROUNDUP((T668+U668+2*'Read Me'!$B$13)*(1+'Read Me'!$B$12),-1)</f>
        <v/>
      </c>
      <c r="W668" s="17">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7" t="n">
        <v>183</v>
      </c>
      <c r="U669" s="17" t="n">
        <v>94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7" t="n">
        <v>441</v>
      </c>
      <c r="U670" s="17" t="n">
        <v>125</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7" t="n">
        <v>441</v>
      </c>
      <c r="U671" s="17" t="n">
        <v>125</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7" t="n">
        <v>52</v>
      </c>
      <c r="U672" s="17" t="n">
        <v>10</v>
      </c>
      <c r="V672" s="17">
        <f>ROUNDUP((T672+U672+2*'Read Me'!$B$13)*(1+'Read Me'!$B$12),-1)</f>
        <v/>
      </c>
      <c r="W672" s="17">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7" t="n">
        <v>1075</v>
      </c>
      <c r="U673" s="17" t="n">
        <v>188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7" t="n">
        <v>609</v>
      </c>
      <c r="U674" s="17" t="n">
        <v>133</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7" t="n">
        <v>609</v>
      </c>
      <c r="U675" s="17" t="n">
        <v>133</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7" t="n">
        <v>52</v>
      </c>
      <c r="U676" s="17" t="n">
        <v>10</v>
      </c>
      <c r="V676" s="17">
        <f>ROUNDUP((T676+U676+2*'Read Me'!$B$13)*(1+'Read Me'!$B$12),-1)</f>
        <v/>
      </c>
      <c r="W676" s="17">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7" t="n">
        <v>1024</v>
      </c>
      <c r="U677" s="17" t="n">
        <v>267</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7" t="n">
        <v>0</v>
      </c>
      <c r="U678" s="17" t="n">
        <v>49</v>
      </c>
      <c r="V678" s="17">
        <f>ROUNDUP((T678+U678+2*'Read Me'!$B$13)*(1+'Read Me'!$B$12),-1)</f>
        <v/>
      </c>
      <c r="W678" s="17">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7" t="n">
        <v>0</v>
      </c>
      <c r="U679" s="17" t="n">
        <v>49</v>
      </c>
      <c r="V679" s="17">
        <f>ROUNDUP((T679+U679+2*'Read Me'!$B$13)*(1+'Read Me'!$B$12),-1)</f>
        <v/>
      </c>
      <c r="W679" s="17">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7" t="n">
        <v>0</v>
      </c>
      <c r="U680" s="17" t="n">
        <v>49</v>
      </c>
      <c r="V680" s="17">
        <f>ROUNDUP((T680+U680+2*'Read Me'!$B$13)*(1+'Read Me'!$B$12),-1)</f>
        <v/>
      </c>
      <c r="W680" s="17">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7" t="n">
        <v>14</v>
      </c>
      <c r="U681" s="17" t="n">
        <v>35</v>
      </c>
      <c r="V681" s="17">
        <f>ROUNDUP((T681+U681+2*'Read Me'!$B$13)*(1+'Read Me'!$B$12),-1)</f>
        <v/>
      </c>
      <c r="W681" s="17">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7" t="n">
        <v>1311</v>
      </c>
      <c r="U682" s="17" t="n">
        <v>225</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7" t="n">
        <v>1467</v>
      </c>
      <c r="U683" s="17" t="n">
        <v>221</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7" t="n">
        <v>1631</v>
      </c>
      <c r="U684" s="17" t="n">
        <v>225</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7" t="n">
        <v>1230</v>
      </c>
      <c r="U685" s="17" t="n">
        <v>117</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7" t="n">
        <v>906</v>
      </c>
      <c r="U686" s="17" t="n">
        <v>124</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7" t="n">
        <v>1066</v>
      </c>
      <c r="U687" s="17" t="n">
        <v>124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7" t="n">
        <v>1226</v>
      </c>
      <c r="U688" s="17" t="n">
        <v>124</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7" t="n">
        <v>1289</v>
      </c>
      <c r="U689" s="17" t="n">
        <v>140</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7" t="n">
        <v>899</v>
      </c>
      <c r="U690" s="17" t="n">
        <v>138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7" t="n">
        <v>1059</v>
      </c>
      <c r="U691" s="17" t="n">
        <v>138</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7" t="n">
        <v>1219</v>
      </c>
      <c r="U692" s="17" t="n">
        <v>138</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7" t="n">
        <v>1289</v>
      </c>
      <c r="U693" s="17" t="n">
        <v>124</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7" t="n">
        <v>371</v>
      </c>
      <c r="U694" s="17" t="n">
        <v>32</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7" t="n">
        <v>546</v>
      </c>
      <c r="U695" s="17" t="n">
        <v>96</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7" t="n">
        <v>1566</v>
      </c>
      <c r="U696" s="17" t="n">
        <v>200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7" t="n">
        <v>1726</v>
      </c>
      <c r="U697" s="17" t="n">
        <v>200</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7" t="n">
        <v>1302</v>
      </c>
      <c r="U698" s="17" t="n">
        <v>188</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7" t="n">
        <v>964</v>
      </c>
      <c r="U699" s="17" t="n">
        <v>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7" t="n">
        <v>1124</v>
      </c>
      <c r="U700" s="17" t="n">
        <v>44</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7" t="n">
        <v>1284</v>
      </c>
      <c r="U701" s="17" t="n">
        <v>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7" t="n">
        <v>718</v>
      </c>
      <c r="U702" s="17" t="n">
        <v>112</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7" t="n">
        <v>878</v>
      </c>
      <c r="U703" s="17" t="n">
        <v>112</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7" t="n">
        <v>1038</v>
      </c>
      <c r="U704" s="17" t="n">
        <v>112</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277</v>
      </c>
      <c r="U705" s="17" t="n">
        <v>97</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273</v>
      </c>
      <c r="U706" s="17" t="n">
        <v>93</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7" t="n">
        <v>277</v>
      </c>
      <c r="U707" s="17" t="n">
        <v>97</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7" t="n">
        <v>1069</v>
      </c>
      <c r="U708" s="17" t="n">
        <v>184</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366</v>
      </c>
      <c r="U709" s="17" t="n">
        <v>106</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7" t="n">
        <v>1240</v>
      </c>
      <c r="U710" s="17" t="n">
        <v>196</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7" t="n">
        <v>1260</v>
      </c>
      <c r="U711" s="17" t="n">
        <v>148</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392</v>
      </c>
      <c r="U712" s="17" t="n">
        <v>96</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7" t="n">
        <v>210</v>
      </c>
      <c r="U713" s="17" t="n">
        <v>104</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7" t="n">
        <v>1102</v>
      </c>
      <c r="U714" s="17" t="n">
        <v>198</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7" t="n">
        <v>908</v>
      </c>
      <c r="U715" s="17" t="n">
        <v>238</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7" t="n">
        <v>220</v>
      </c>
      <c r="U716" s="17" t="n">
        <v>94</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7" t="n">
        <v>1124</v>
      </c>
      <c r="U717" s="17" t="n">
        <v>188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7" t="n">
        <v>896</v>
      </c>
      <c r="U718" s="17" t="n">
        <v>212</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7" t="n">
        <v>419</v>
      </c>
      <c r="U719" s="17" t="n">
        <v>179</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7" t="n">
        <v>1423</v>
      </c>
      <c r="U720" s="17" t="n">
        <v>113</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7" t="n">
        <v>1103</v>
      </c>
      <c r="U721" s="17" t="n">
        <v>113</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7" t="n">
        <v>408</v>
      </c>
      <c r="U722" s="17" t="n">
        <v>32</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224</v>
      </c>
      <c r="U723" s="17" t="n">
        <v>119</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7" t="n">
        <v>154</v>
      </c>
      <c r="U724" s="17" t="n">
        <v>103</v>
      </c>
      <c r="V724" s="17">
        <f>ROUNDUP((T724+U724+2*'Read Me'!$B$13)*(1+'Read Me'!$B$12),-1)</f>
        <v/>
      </c>
      <c r="W724" s="17">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7" t="n">
        <v>1116</v>
      </c>
      <c r="U725" s="17" t="n">
        <v>213</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7" t="n">
        <v>1046</v>
      </c>
      <c r="U726" s="17" t="n">
        <v>197</v>
      </c>
      <c r="V726" s="17">
        <f>ROUNDUP((T726+U726+2*'Read Me'!$B$13)*(1+'Read Me'!$B$12),-1)</f>
        <v/>
      </c>
      <c r="W726" s="17">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7" t="n">
        <v>926</v>
      </c>
      <c r="U727" s="17" t="n">
        <v>248</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7" t="n">
        <v>986</v>
      </c>
      <c r="U728" s="17" t="n">
        <v>249</v>
      </c>
      <c r="V728" s="17">
        <f>ROUNDUP((T728+U728+2*'Read Me'!$B$13)*(1+'Read Me'!$B$12),-1)</f>
        <v/>
      </c>
      <c r="W728" s="17">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7" t="n">
        <v>359</v>
      </c>
      <c r="U729" s="17" t="n">
        <v>120</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7" t="n">
        <v>1233</v>
      </c>
      <c r="U730" s="17" t="n">
        <v>210</v>
      </c>
      <c r="V730" s="17">
        <f>ROUNDUP((T730+U730+2*'Read Me'!$B$13)*(1+'Read Me'!$B$12),-1)</f>
        <v/>
      </c>
      <c r="W730" s="17">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7" t="n">
        <v>1229</v>
      </c>
      <c r="U731" s="17" t="n">
        <v>198</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7" t="n">
        <v>392</v>
      </c>
      <c r="U732" s="17" t="n">
        <v>105</v>
      </c>
      <c r="V732" s="17">
        <f>ROUNDUP((T732+U732+2*'Read Me'!$B$13)*(1+'Read Me'!$B$12),-1)</f>
        <v/>
      </c>
      <c r="W732" s="17">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7" t="n">
        <v>635</v>
      </c>
      <c r="U733" s="17" t="n">
        <v>144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7" t="n">
        <v>624</v>
      </c>
      <c r="U734" s="17" t="n">
        <v>155</v>
      </c>
      <c r="V734" s="17">
        <f>ROUNDUP((T734+U734+2*'Read Me'!$B$13)*(1+'Read Me'!$B$12),-1)</f>
        <v/>
      </c>
      <c r="W734" s="17">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7" t="n">
        <v>624</v>
      </c>
      <c r="U735" s="17" t="n">
        <v>144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7" t="n">
        <v>624</v>
      </c>
      <c r="U736" s="17" t="n">
        <v>181</v>
      </c>
      <c r="V736" s="17">
        <f>ROUNDUP((T736+U736+2*'Read Me'!$B$13)*(1+'Read Me'!$B$12),-1)</f>
        <v/>
      </c>
      <c r="W736" s="17">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7" t="n">
        <v>624</v>
      </c>
      <c r="U737" s="17" t="n">
        <v>165</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7" t="n">
        <v>90</v>
      </c>
      <c r="U738" s="17" t="n">
        <v>123</v>
      </c>
      <c r="V738" s="17">
        <f>ROUNDUP((T738+U738+2*'Read Me'!$B$13)*(1+'Read Me'!$B$12),-1)</f>
        <v/>
      </c>
      <c r="W738" s="17">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7" t="n">
        <v>1114</v>
      </c>
      <c r="U739" s="17" t="n">
        <v>223</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7" t="n">
        <v>726</v>
      </c>
      <c r="U740" s="17" t="n">
        <v>181</v>
      </c>
      <c r="V740" s="17">
        <f>ROUNDUP((T740+U740+2*'Read Me'!$B$13)*(1+'Read Me'!$B$12),-1)</f>
        <v/>
      </c>
      <c r="W740" s="17">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7" t="n">
        <v>66</v>
      </c>
      <c r="U741" s="17" t="n">
        <v>54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7" t="n">
        <v>86</v>
      </c>
      <c r="U742" s="17" t="n">
        <v>71</v>
      </c>
      <c r="V742" s="17">
        <f>ROUNDUP((T742+U742+2*'Read Me'!$B$13)*(1+'Read Me'!$B$12),-1)</f>
        <v/>
      </c>
      <c r="W742" s="17">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7" t="n">
        <v>624</v>
      </c>
      <c r="U743" s="17" t="n">
        <v>128</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7" t="n">
        <v>66</v>
      </c>
      <c r="U744" s="17" t="n">
        <v>70</v>
      </c>
      <c r="V744" s="17">
        <f>ROUNDUP((T744+U744+2*'Read Me'!$B$13)*(1+'Read Me'!$B$12),-1)</f>
        <v/>
      </c>
      <c r="W744" s="17">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7" t="n">
        <v>0</v>
      </c>
      <c r="U745" s="17" t="n">
        <v>32</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7" t="n">
        <v>0</v>
      </c>
      <c r="U746" s="17" t="n">
        <v>72</v>
      </c>
      <c r="V746" s="17">
        <f>ROUNDUP((T746+U746+2*'Read Me'!$B$13)*(1+'Read Me'!$B$12),-1)</f>
        <v/>
      </c>
      <c r="W746" s="17">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7" t="n">
        <v>0</v>
      </c>
      <c r="U747" s="17" t="n">
        <v>72</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7" t="n">
        <v>0</v>
      </c>
      <c r="U748" s="17" t="n">
        <v>72</v>
      </c>
      <c r="V748" s="17">
        <f>ROUNDUP((T748+U748+2*'Read Me'!$B$13)*(1+'Read Me'!$B$12),-1)</f>
        <v/>
      </c>
      <c r="W748" s="17">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7" t="n">
        <v>0</v>
      </c>
      <c r="U749" s="17" t="n">
        <v>32</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7" t="n">
        <v>403</v>
      </c>
      <c r="U750" s="17" t="n">
        <v>138</v>
      </c>
      <c r="V750" s="17">
        <f>ROUNDUP((T750+U750+2*'Read Me'!$B$13)*(1+'Read Me'!$B$12),-1)</f>
        <v/>
      </c>
      <c r="W750" s="17">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7" t="n">
        <v>1277</v>
      </c>
      <c r="U751" s="17" t="n">
        <v>228</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7" t="n">
        <v>1214</v>
      </c>
      <c r="U752" s="17" t="n">
        <v>126</v>
      </c>
      <c r="V752" s="17">
        <f>ROUNDUP((T752+U752+2*'Read Me'!$B$13)*(1+'Read Me'!$B$12),-1)</f>
        <v/>
      </c>
      <c r="W752" s="17">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7" t="n">
        <v>395</v>
      </c>
      <c r="U753" s="17" t="n">
        <v>124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7" t="n">
        <v>1269</v>
      </c>
      <c r="U754" s="17" t="n">
        <v>214</v>
      </c>
      <c r="V754" s="17">
        <f>ROUNDUP((T754+U754+2*'Read Me'!$B$13)*(1+'Read Me'!$B$12),-1)</f>
        <v/>
      </c>
      <c r="W754" s="17">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7" t="n">
        <v>1193</v>
      </c>
      <c r="U755" s="17" t="n">
        <v>114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7" t="n">
        <v>67</v>
      </c>
      <c r="U756" s="17" t="n">
        <v>84</v>
      </c>
      <c r="V756" s="17">
        <f>ROUNDUP((T756+U756+2*'Read Me'!$B$13)*(1+'Read Me'!$B$12),-1)</f>
        <v/>
      </c>
      <c r="W756" s="17">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7" t="n">
        <v>1069</v>
      </c>
      <c r="U757" s="17" t="n">
        <v>184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7" t="n">
        <v>1069</v>
      </c>
      <c r="U758" s="17" t="n">
        <v>184</v>
      </c>
      <c r="V758" s="17">
        <f>ROUNDUP((T758+U758+2*'Read Me'!$B$13)*(1+'Read Me'!$B$12),-1)</f>
        <v/>
      </c>
      <c r="W758" s="17">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7" t="n">
        <v>566</v>
      </c>
      <c r="U759" s="17" t="n">
        <v>158</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7" t="n">
        <v>1423</v>
      </c>
      <c r="U760" s="17" t="n">
        <v>96</v>
      </c>
      <c r="V760" s="17">
        <f>ROUNDUP((T760+U760+2*'Read Me'!$B$13)*(1+'Read Me'!$B$12),-1)</f>
        <v/>
      </c>
      <c r="W760" s="17">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7" t="n">
        <v>1103</v>
      </c>
      <c r="U761" s="17" t="n">
        <v>96</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7" t="n">
        <v>88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7" t="n">
        <v>88</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7" t="n">
        <v>88</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7" t="n">
        <v>88</v>
      </c>
      <c r="U765" s="17" t="n">
        <v>84</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7" t="n">
        <v>68</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481</v>
      </c>
      <c r="U767" s="17" t="n">
        <v>84</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7" t="n">
        <v>68</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481</v>
      </c>
      <c r="U769" s="17" t="n">
        <v>84</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7" t="n">
        <v>68</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481</v>
      </c>
      <c r="U771" s="17" t="n">
        <v>84</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7" t="n">
        <v>68</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7" t="n">
        <v>481</v>
      </c>
      <c r="U773" s="17" t="n">
        <v>84</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7" t="n">
        <v>68</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7" t="n">
        <v>481</v>
      </c>
      <c r="U775" s="17" t="n">
        <v>84</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7" t="n">
        <v>68</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7" t="n">
        <v>481</v>
      </c>
      <c r="U777" s="17" t="n">
        <v>84</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7" t="n">
        <v>48</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7" t="n">
        <v>481</v>
      </c>
      <c r="U779" s="17" t="n">
        <v>85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48</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481</v>
      </c>
      <c r="U781" s="17" t="n">
        <v>85</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7" t="n">
        <v>48</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481</v>
      </c>
      <c r="U783" s="17" t="n">
        <v>85</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7" t="n">
        <v>48</v>
      </c>
      <c r="U784" s="17" t="n">
        <v>10</v>
      </c>
      <c r="V784" s="17">
        <f>ROUNDUP((T784+U784+2*'Read Me'!$B$13)*(1+'Read Me'!$B$12),-1)</f>
        <v/>
      </c>
      <c r="W784" s="17">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7" t="n">
        <v>481</v>
      </c>
      <c r="U785" s="17" t="n">
        <v>85</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7" t="n">
        <v>48</v>
      </c>
      <c r="U786" s="17" t="n">
        <v>10</v>
      </c>
      <c r="V786" s="17">
        <f>ROUNDUP((T786+U786+2*'Read Me'!$B$13)*(1+'Read Me'!$B$12),-1)</f>
        <v/>
      </c>
      <c r="W786" s="17">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7" t="n">
        <v>481</v>
      </c>
      <c r="U787" s="17" t="n">
        <v>85</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7" t="n">
        <v>48</v>
      </c>
      <c r="U788" s="17" t="n">
        <v>10</v>
      </c>
      <c r="V788" s="17">
        <f>ROUNDUP((T788+U788+2*'Read Me'!$B$13)*(1+'Read Me'!$B$12),-1)</f>
        <v/>
      </c>
      <c r="W788" s="17">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7" t="n">
        <v>481</v>
      </c>
      <c r="U789" s="17" t="n">
        <v>85</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7" t="n">
        <v>68</v>
      </c>
      <c r="U790" s="17" t="n">
        <v>10</v>
      </c>
      <c r="V790" s="17">
        <f>ROUNDUP((T790+U790+2*'Read Me'!$B$13)*(1+'Read Me'!$B$12),-1)</f>
        <v/>
      </c>
      <c r="W790" s="17">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7" t="n">
        <v>479</v>
      </c>
      <c r="U791" s="17" t="n">
        <v>84</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7" t="n">
        <v>68</v>
      </c>
      <c r="U792" s="17" t="n">
        <v>10</v>
      </c>
      <c r="V792" s="17">
        <f>ROUNDUP((T792+U792+2*'Read Me'!$B$13)*(1+'Read Me'!$B$12),-1)</f>
        <v/>
      </c>
      <c r="W792" s="17">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7" t="n">
        <v>479</v>
      </c>
      <c r="U793" s="17" t="n">
        <v>84</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7" t="n">
        <v>68</v>
      </c>
      <c r="U794" s="17" t="n">
        <v>10</v>
      </c>
      <c r="V794" s="17">
        <f>ROUNDUP((T794+U794+2*'Read Me'!$B$13)*(1+'Read Me'!$B$12),-1)</f>
        <v/>
      </c>
      <c r="W794" s="17">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7" t="n">
        <v>479</v>
      </c>
      <c r="U795" s="17" t="n">
        <v>84</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7" t="n">
        <v>68</v>
      </c>
      <c r="U796" s="17" t="n">
        <v>10</v>
      </c>
      <c r="V796" s="17">
        <f>ROUNDUP((T796+U796+2*'Read Me'!$B$13)*(1+'Read Me'!$B$12),-1)</f>
        <v/>
      </c>
      <c r="W796" s="17">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7" t="n">
        <v>479</v>
      </c>
      <c r="U797" s="17" t="n">
        <v>84</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7" t="n">
        <v>68</v>
      </c>
      <c r="U798" s="17" t="n">
        <v>10</v>
      </c>
      <c r="V798" s="17">
        <f>ROUNDUP((T798+U798+2*'Read Me'!$B$13)*(1+'Read Me'!$B$12),-1)</f>
        <v/>
      </c>
      <c r="W798" s="17">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7" t="n">
        <v>479</v>
      </c>
      <c r="U799" s="17" t="n">
        <v>84</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7" t="n">
        <v>68</v>
      </c>
      <c r="U800" s="17" t="n">
        <v>10</v>
      </c>
      <c r="V800" s="17">
        <f>ROUNDUP((T800+U800+2*'Read Me'!$B$13)*(1+'Read Me'!$B$12),-1)</f>
        <v/>
      </c>
      <c r="W800" s="17">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7" t="n">
        <v>479</v>
      </c>
      <c r="U801" s="17" t="n">
        <v>84</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7" t="n">
        <v>68</v>
      </c>
      <c r="U802" s="17" t="n">
        <v>10</v>
      </c>
      <c r="V802" s="17">
        <f>ROUNDUP((T802+U802+2*'Read Me'!$B$13)*(1+'Read Me'!$B$12),-1)</f>
        <v/>
      </c>
      <c r="W802" s="17">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7" t="n">
        <v>481</v>
      </c>
      <c r="U803" s="17" t="n">
        <v>84</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7" t="n">
        <v>68</v>
      </c>
      <c r="U804" s="17" t="n">
        <v>10</v>
      </c>
      <c r="V804" s="17">
        <f>ROUNDUP((T804+U804+2*'Read Me'!$B$13)*(1+'Read Me'!$B$12),-1)</f>
        <v/>
      </c>
      <c r="W804" s="17">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7" t="n">
        <v>481</v>
      </c>
      <c r="U805" s="17" t="n">
        <v>84</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7" t="n">
        <v>68</v>
      </c>
      <c r="U806" s="17" t="n">
        <v>10</v>
      </c>
      <c r="V806" s="17">
        <f>ROUNDUP((T806+U806+2*'Read Me'!$B$13)*(1+'Read Me'!$B$12),-1)</f>
        <v/>
      </c>
      <c r="W806" s="17">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7" t="n">
        <v>481</v>
      </c>
      <c r="U807" s="17" t="n">
        <v>84</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7" t="n">
        <v>68</v>
      </c>
      <c r="U808" s="17" t="n">
        <v>10</v>
      </c>
      <c r="V808" s="17">
        <f>ROUNDUP((T808+U808+2*'Read Me'!$B$13)*(1+'Read Me'!$B$12),-1)</f>
        <v/>
      </c>
      <c r="W808" s="17">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7" t="n">
        <v>481</v>
      </c>
      <c r="U809" s="17" t="n">
        <v>84</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7" t="n">
        <v>68</v>
      </c>
      <c r="U810" s="17" t="n">
        <v>10</v>
      </c>
      <c r="V810" s="17">
        <f>ROUNDUP((T810+U810+2*'Read Me'!$B$13)*(1+'Read Me'!$B$12),-1)</f>
        <v/>
      </c>
      <c r="W810" s="17">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7" t="n">
        <v>481</v>
      </c>
      <c r="U811" s="17" t="n">
        <v>84</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7" t="n">
        <v>68</v>
      </c>
      <c r="U812" s="17" t="n">
        <v>10</v>
      </c>
      <c r="V812" s="17">
        <f>ROUNDUP((T812+U812+2*'Read Me'!$B$13)*(1+'Read Me'!$B$12),-1)</f>
        <v/>
      </c>
      <c r="W812" s="17">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7" t="n">
        <v>481</v>
      </c>
      <c r="U813" s="17" t="n">
        <v>84</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7" t="n">
        <v>45</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277</v>
      </c>
      <c r="U815" s="17" t="n">
        <v>97</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7" t="n">
        <v>45</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277</v>
      </c>
      <c r="U817" s="17" t="n">
        <v>97</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7" t="n">
        <v>45</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273</v>
      </c>
      <c r="U819" s="17" t="n">
        <v>93</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7" t="n">
        <v>45</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273</v>
      </c>
      <c r="U821" s="17" t="n">
        <v>93</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7" t="n">
        <v>45</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7" t="n">
        <v>277</v>
      </c>
      <c r="U823" s="17" t="n">
        <v>97</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7" t="n">
        <v>45</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7" t="n">
        <v>277</v>
      </c>
      <c r="U825" s="17" t="n">
        <v>97</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7" t="n">
        <v>75</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7" t="n">
        <v>258</v>
      </c>
      <c r="U827" s="17" t="n">
        <v>35</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7" t="n">
        <v>75</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7" t="n">
        <v>258</v>
      </c>
      <c r="U829" s="17" t="n">
        <v>35</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53</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67</v>
      </c>
      <c r="U831" s="17" t="n">
        <v>89</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7" t="n">
        <v>53</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67</v>
      </c>
      <c r="U833" s="17" t="n">
        <v>89</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7" t="n">
        <v>403</v>
      </c>
      <c r="U834" s="17" t="n">
        <v>119</v>
      </c>
      <c r="V834" s="17">
        <f>ROUNDUP((T834+U834+2*'Read Me'!$B$13)*(1+'Read Me'!$B$12),-1)</f>
        <v/>
      </c>
      <c r="W834" s="17">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7" t="n">
        <v>403</v>
      </c>
      <c r="U835" s="17" t="n">
        <v>119</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7" t="n">
        <v>403</v>
      </c>
      <c r="U836" s="17" t="n">
        <v>119</v>
      </c>
      <c r="V836" s="17">
        <f>ROUNDUP((T836+U836+2*'Read Me'!$B$13)*(1+'Read Me'!$B$12),-1)</f>
        <v/>
      </c>
      <c r="W836" s="17">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7" t="n">
        <v>403</v>
      </c>
      <c r="U837" s="17" t="n">
        <v>119</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7" t="n">
        <v>403</v>
      </c>
      <c r="U838" s="17" t="n">
        <v>119</v>
      </c>
      <c r="V838" s="17">
        <f>ROUNDUP((T838+U838+2*'Read Me'!$B$13)*(1+'Read Me'!$B$12),-1)</f>
        <v/>
      </c>
      <c r="W838" s="17">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7" t="n">
        <v>403</v>
      </c>
      <c r="U839" s="17" t="n">
        <v>119</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7" t="n">
        <v>403</v>
      </c>
      <c r="U840" s="17" t="n">
        <v>119</v>
      </c>
      <c r="V840" s="17">
        <f>ROUNDUP((T840+U840+2*'Read Me'!$B$13)*(1+'Read Me'!$B$12),-1)</f>
        <v/>
      </c>
      <c r="W840" s="17">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7" t="n">
        <v>403</v>
      </c>
      <c r="U841" s="17" t="n">
        <v>119</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7" t="n">
        <v>403</v>
      </c>
      <c r="U842" s="17" t="n">
        <v>119</v>
      </c>
      <c r="V842" s="17">
        <f>ROUNDUP((T842+U842+2*'Read Me'!$B$13)*(1+'Read Me'!$B$12),-1)</f>
        <v/>
      </c>
      <c r="W842" s="17">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7" t="n">
        <v>403</v>
      </c>
      <c r="U843" s="17" t="n">
        <v>119</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7" t="n">
        <v>1277</v>
      </c>
      <c r="U844" s="17" t="n">
        <v>209</v>
      </c>
      <c r="V844" s="17">
        <f>ROUNDUP((T844+U844+2*'Read Me'!$B$13)*(1+'Read Me'!$B$12),-1)</f>
        <v/>
      </c>
      <c r="W844" s="17">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7" t="n">
        <v>1277</v>
      </c>
      <c r="U845" s="17" t="n">
        <v>209</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7" t="n">
        <v>1277</v>
      </c>
      <c r="U846" s="17" t="n">
        <v>209</v>
      </c>
      <c r="V846" s="17">
        <f>ROUNDUP((T846+U846+2*'Read Me'!$B$13)*(1+'Read Me'!$B$12),-1)</f>
        <v/>
      </c>
      <c r="W846" s="17">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7" t="n">
        <v>1277</v>
      </c>
      <c r="U847" s="17" t="n">
        <v>209</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7" t="n">
        <v>1277</v>
      </c>
      <c r="U848" s="17" t="n">
        <v>209</v>
      </c>
      <c r="V848" s="17">
        <f>ROUNDUP((T848+U848+2*'Read Me'!$B$13)*(1+'Read Me'!$B$12),-1)</f>
        <v/>
      </c>
      <c r="W848" s="17">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7" t="n">
        <v>1277</v>
      </c>
      <c r="U849" s="17" t="n">
        <v>209</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7" t="n">
        <v>1277</v>
      </c>
      <c r="U850" s="17" t="n">
        <v>209</v>
      </c>
      <c r="V850" s="17">
        <f>ROUNDUP((T850+U850+2*'Read Me'!$B$13)*(1+'Read Me'!$B$12),-1)</f>
        <v/>
      </c>
      <c r="W850" s="17">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7" t="n">
        <v>1277</v>
      </c>
      <c r="U851" s="17" t="n">
        <v>209</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7" t="n">
        <v>1277</v>
      </c>
      <c r="U852" s="17" t="n">
        <v>209</v>
      </c>
      <c r="V852" s="17">
        <f>ROUNDUP((T852+U852+2*'Read Me'!$B$13)*(1+'Read Me'!$B$12),-1)</f>
        <v/>
      </c>
      <c r="W852" s="17">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7" t="n">
        <v>1277</v>
      </c>
      <c r="U853" s="17" t="n">
        <v>209</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7" t="n">
        <v>1214</v>
      </c>
      <c r="U854" s="17" t="n">
        <v>102</v>
      </c>
      <c r="V854" s="17">
        <f>ROUNDUP((T854+U854+2*'Read Me'!$B$13)*(1+'Read Me'!$B$12),-1)</f>
        <v/>
      </c>
      <c r="W854" s="17">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7" t="n">
        <v>1214</v>
      </c>
      <c r="U855" s="17" t="n">
        <v>102</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7" t="n">
        <v>1214</v>
      </c>
      <c r="U856" s="17" t="n">
        <v>102</v>
      </c>
      <c r="V856" s="17">
        <f>ROUNDUP((T856+U856+2*'Read Me'!$B$13)*(1+'Read Me'!$B$12),-1)</f>
        <v/>
      </c>
      <c r="W856" s="17">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7" t="n">
        <v>1214</v>
      </c>
      <c r="U857" s="17" t="n">
        <v>102</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7" t="n">
        <v>1214</v>
      </c>
      <c r="U858" s="17" t="n">
        <v>102</v>
      </c>
      <c r="V858" s="17">
        <f>ROUNDUP((T858+U858+2*'Read Me'!$B$13)*(1+'Read Me'!$B$12),-1)</f>
        <v/>
      </c>
      <c r="W858" s="17">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7" t="n">
        <v>1214</v>
      </c>
      <c r="U859" s="17" t="n">
        <v>102</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7" t="n">
        <v>1214</v>
      </c>
      <c r="U860" s="17" t="n">
        <v>102</v>
      </c>
      <c r="V860" s="17">
        <f>ROUNDUP((T860+U860+2*'Read Me'!$B$13)*(1+'Read Me'!$B$12),-1)</f>
        <v/>
      </c>
      <c r="W860" s="17">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7" t="n">
        <v>1214</v>
      </c>
      <c r="U861" s="17" t="n">
        <v>102</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7" t="n">
        <v>1214</v>
      </c>
      <c r="U862" s="17" t="n">
        <v>102</v>
      </c>
      <c r="V862" s="17">
        <f>ROUNDUP((T862+U862+2*'Read Me'!$B$13)*(1+'Read Me'!$B$12),-1)</f>
        <v/>
      </c>
      <c r="W862" s="17">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7" t="n">
        <v>1214</v>
      </c>
      <c r="U863" s="17" t="n">
        <v>102</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7" t="n">
        <v>41</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7" t="n">
        <v>366</v>
      </c>
      <c r="U865" s="17" t="n">
        <v>106</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41</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106</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7" t="n">
        <v>41</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7" t="n">
        <v>1240</v>
      </c>
      <c r="U869" s="17" t="n">
        <v>196</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7" t="n">
        <v>41</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7" t="n">
        <v>1240</v>
      </c>
      <c r="U871" s="17" t="n">
        <v>196</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7" t="n">
        <v>41</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7" t="n">
        <v>1260</v>
      </c>
      <c r="U873" s="17" t="n">
        <v>148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7" t="n">
        <v>41</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7" t="n">
        <v>1260</v>
      </c>
      <c r="U875" s="17" t="n">
        <v>148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7" t="n">
        <v>41</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7" t="n">
        <v>392</v>
      </c>
      <c r="U877" s="17" t="n">
        <v>96</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7" t="n">
        <v>41</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7" t="n">
        <v>392</v>
      </c>
      <c r="U879" s="17" t="n">
        <v>96</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7" t="n">
        <v>140</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373</v>
      </c>
      <c r="U881" s="17" t="n">
        <v>106</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7" t="n">
        <v>140</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373</v>
      </c>
      <c r="U883" s="17" t="n">
        <v>106</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7" t="n">
        <v>140</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373</v>
      </c>
      <c r="U885" s="17" t="n">
        <v>106</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7" t="n">
        <v>140</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1247</v>
      </c>
      <c r="U887" s="17" t="n">
        <v>196</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7" t="n">
        <v>140</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1247</v>
      </c>
      <c r="U889" s="17" t="n">
        <v>196</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7" t="n">
        <v>140</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1247</v>
      </c>
      <c r="U891" s="17" t="n">
        <v>196</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7" t="n">
        <v>140</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7" t="n">
        <v>1193</v>
      </c>
      <c r="U893" s="17" t="n">
        <v>96</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7" t="n">
        <v>140</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7" t="n">
        <v>1193</v>
      </c>
      <c r="U895" s="17" t="n">
        <v>96</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7" t="n">
        <v>140</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1193</v>
      </c>
      <c r="U897" s="17" t="n">
        <v>96</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7" t="n">
        <v>54</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7" t="n">
        <v>210</v>
      </c>
      <c r="U899" s="17" t="n">
        <v>104</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7" t="n">
        <v>54</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7" t="n">
        <v>210</v>
      </c>
      <c r="U901" s="17" t="n">
        <v>104</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7" t="n">
        <v>54</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7" t="n">
        <v>1102</v>
      </c>
      <c r="U903" s="17" t="n">
        <v>198</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7" t="n">
        <v>54</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7" t="n">
        <v>1102</v>
      </c>
      <c r="U905" s="17" t="n">
        <v>198</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7" t="n">
        <v>54</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7" t="n">
        <v>908</v>
      </c>
      <c r="U907" s="17" t="n">
        <v>238</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7" t="n">
        <v>54</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7" t="n">
        <v>908</v>
      </c>
      <c r="U909" s="17" t="n">
        <v>238</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7" t="n">
        <v>47</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7" t="n">
        <v>373</v>
      </c>
      <c r="U911" s="17" t="n">
        <v>118</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7" t="n">
        <v>47</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7" t="n">
        <v>1247</v>
      </c>
      <c r="U913" s="17" t="n">
        <v>208</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7" t="n">
        <v>47</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1193</v>
      </c>
      <c r="U915" s="17" t="n">
        <v>97</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7" t="n">
        <v>47</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7" t="n">
        <v>366</v>
      </c>
      <c r="U917" s="17" t="n">
        <v>111</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7" t="n">
        <v>70</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220</v>
      </c>
      <c r="U919" s="17" t="n">
        <v>94</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7" t="n">
        <v>70</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220</v>
      </c>
      <c r="U921" s="17" t="n">
        <v>94</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7" t="n">
        <v>70</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1124</v>
      </c>
      <c r="U923" s="17" t="n">
        <v>188</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7" t="n">
        <v>70</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1124</v>
      </c>
      <c r="U925" s="17" t="n">
        <v>188</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7" t="n">
        <v>70</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7" t="n">
        <v>896</v>
      </c>
      <c r="U927" s="17" t="n">
        <v>212</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7" t="n">
        <v>70</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896</v>
      </c>
      <c r="U929" s="17" t="n">
        <v>212</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7" t="n">
        <v>55</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7" t="n">
        <v>72</v>
      </c>
      <c r="U931" s="17" t="n">
        <v>139</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7" t="n">
        <v>55</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7" t="n">
        <v>72</v>
      </c>
      <c r="U933" s="17" t="n">
        <v>139</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7" t="n">
        <v>63</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7" t="n">
        <v>416</v>
      </c>
      <c r="U935" s="17" t="n">
        <v>181</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7" t="n">
        <v>63</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7" t="n">
        <v>416</v>
      </c>
      <c r="U937" s="17" t="n">
        <v>181</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7" t="n">
        <v>83</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7" t="n">
        <v>419</v>
      </c>
      <c r="U939" s="17" t="n">
        <v>179</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7" t="n">
        <v>83</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7" t="n">
        <v>419</v>
      </c>
      <c r="U941" s="17" t="n">
        <v>179</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7" t="n">
        <v>63</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7" t="n">
        <v>1290</v>
      </c>
      <c r="U943" s="17" t="n">
        <v>271</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7" t="n">
        <v>63</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7" t="n">
        <v>1290</v>
      </c>
      <c r="U945" s="17" t="n">
        <v>271</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7" t="n">
        <v>83</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7" t="n">
        <v>1423</v>
      </c>
      <c r="U947" s="17" t="n">
        <v>113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7" t="n">
        <v>83</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7" t="n">
        <v>1423</v>
      </c>
      <c r="U949" s="17" t="n">
        <v>113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7" t="n">
        <v>63</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7" t="n">
        <v>1140</v>
      </c>
      <c r="U951" s="17" t="n">
        <v>110</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7" t="n">
        <v>63</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7" t="n">
        <v>1140</v>
      </c>
      <c r="U953" s="17" t="n">
        <v>110</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7" t="n">
        <v>83</v>
      </c>
      <c r="U954" s="17" t="n">
        <v>10</v>
      </c>
      <c r="V954" s="17">
        <f>ROUNDUP((T954+U954+2*'Read Me'!$B$13)*(1+'Read Me'!$B$12),-1)</f>
        <v/>
      </c>
      <c r="W954" s="17">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7" t="n">
        <v>1103</v>
      </c>
      <c r="U955" s="17" t="n">
        <v>113</v>
      </c>
      <c r="V955" s="17">
        <f>ROUNDUP((T955+U955+2*'Read Me'!$B$13)*(1+'Read Me'!$B$12),-1)</f>
        <v/>
      </c>
      <c r="W955" s="17">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7" t="n">
        <v>83</v>
      </c>
      <c r="U956" s="17" t="n">
        <v>10</v>
      </c>
      <c r="V956" s="17">
        <f>ROUNDUP((T956+U956+2*'Read Me'!$B$13)*(1+'Read Me'!$B$12),-1)</f>
        <v/>
      </c>
      <c r="W956" s="17">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7" t="n">
        <v>1103</v>
      </c>
      <c r="U957" s="17" t="n">
        <v>113</v>
      </c>
      <c r="V957" s="17">
        <f>ROUNDUP((T957+U957+2*'Read Me'!$B$13)*(1+'Read Me'!$B$12),-1)</f>
        <v/>
      </c>
      <c r="W957" s="17">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7" t="n">
        <v>63</v>
      </c>
      <c r="U958" s="17" t="n">
        <v>10</v>
      </c>
      <c r="V958" s="17">
        <f>ROUNDUP((T958+U958+2*'Read Me'!$B$13)*(1+'Read Me'!$B$12),-1)</f>
        <v/>
      </c>
      <c r="W958" s="17">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7" t="n">
        <v>463</v>
      </c>
      <c r="U959" s="17" t="n">
        <v>35</v>
      </c>
      <c r="V959" s="17">
        <f>ROUNDUP((T959+U959+2*'Read Me'!$B$13)*(1+'Read Me'!$B$12),-1)</f>
        <v/>
      </c>
      <c r="W959" s="17">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7" t="n">
        <v>63</v>
      </c>
      <c r="U960" s="17" t="n">
        <v>10</v>
      </c>
      <c r="V960" s="17">
        <f>ROUNDUP((T960+U960+2*'Read Me'!$B$13)*(1+'Read Me'!$B$12),-1)</f>
        <v/>
      </c>
      <c r="W960" s="17">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7" t="n">
        <v>463</v>
      </c>
      <c r="U961" s="17" t="n">
        <v>35</v>
      </c>
      <c r="V961" s="17">
        <f>ROUNDUP((T961+U961+2*'Read Me'!$B$13)*(1+'Read Me'!$B$12),-1)</f>
        <v/>
      </c>
      <c r="W961" s="17">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7" t="n">
        <v>89</v>
      </c>
      <c r="U962" s="17" t="n">
        <v>10</v>
      </c>
      <c r="V962" s="17">
        <f>ROUNDUP((T962+U962+2*'Read Me'!$B$13)*(1+'Read Me'!$B$12),-1)</f>
        <v/>
      </c>
      <c r="W962" s="17">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7" t="n">
        <v>408</v>
      </c>
      <c r="U963" s="17" t="n">
        <v>32</v>
      </c>
      <c r="V963" s="17">
        <f>ROUNDUP((T963+U963+2*'Read Me'!$B$13)*(1+'Read Me'!$B$12),-1)</f>
        <v/>
      </c>
      <c r="W963" s="17">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7" t="n">
        <v>89</v>
      </c>
      <c r="U964" s="17" t="n">
        <v>10</v>
      </c>
      <c r="V964" s="17">
        <f>ROUNDUP((T964+U964+2*'Read Me'!$B$13)*(1+'Read Me'!$B$12),-1)</f>
        <v/>
      </c>
      <c r="W964" s="17">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7" t="n">
        <v>408</v>
      </c>
      <c r="U965" s="17" t="n">
        <v>32</v>
      </c>
      <c r="V965" s="17">
        <f>ROUNDUP((T965+U965+2*'Read Me'!$B$13)*(1+'Read Me'!$B$12),-1)</f>
        <v/>
      </c>
      <c r="W965" s="17">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7" t="n">
        <v>62</v>
      </c>
      <c r="U966" s="17" t="n">
        <v>10</v>
      </c>
      <c r="V966" s="17">
        <f>ROUNDUP((T966+U966+2*'Read Me'!$B$13)*(1+'Read Me'!$B$12),-1)</f>
        <v/>
      </c>
      <c r="W966" s="17">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7" t="n">
        <v>224</v>
      </c>
      <c r="U967" s="17" t="n">
        <v>119</v>
      </c>
      <c r="V967" s="17">
        <f>ROUNDUP((T967+U967+2*'Read Me'!$B$13)*(1+'Read Me'!$B$12),-1)</f>
        <v/>
      </c>
      <c r="W967" s="17">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7" t="n">
        <v>62</v>
      </c>
      <c r="U968" s="17" t="n">
        <v>10</v>
      </c>
      <c r="V968" s="17">
        <f>ROUNDUP((T968+U968+2*'Read Me'!$B$13)*(1+'Read Me'!$B$12),-1)</f>
        <v/>
      </c>
      <c r="W968" s="17">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7" t="n">
        <v>224</v>
      </c>
      <c r="U969" s="17" t="n">
        <v>119</v>
      </c>
      <c r="V969" s="17">
        <f>ROUNDUP((T969+U969+2*'Read Me'!$B$13)*(1+'Read Me'!$B$12),-1)</f>
        <v/>
      </c>
      <c r="W969" s="17">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7" t="n">
        <v>62</v>
      </c>
      <c r="U970" s="17" t="n">
        <v>10</v>
      </c>
      <c r="V970" s="17">
        <f>ROUNDUP((T970+U970+2*'Read Me'!$B$13)*(1+'Read Me'!$B$12),-1)</f>
        <v/>
      </c>
      <c r="W970" s="17">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7" t="n">
        <v>224</v>
      </c>
      <c r="U971" s="17" t="n">
        <v>119</v>
      </c>
      <c r="V971" s="17">
        <f>ROUNDUP((T971+U971+2*'Read Me'!$B$13)*(1+'Read Me'!$B$12),-1)</f>
        <v/>
      </c>
      <c r="W971" s="17">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7" t="n">
        <v>62</v>
      </c>
      <c r="U972" s="17" t="n">
        <v>10</v>
      </c>
      <c r="V972" s="17">
        <f>ROUNDUP((T972+U972+2*'Read Me'!$B$13)*(1+'Read Me'!$B$12),-1)</f>
        <v/>
      </c>
      <c r="W972" s="17">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7" t="n">
        <v>224</v>
      </c>
      <c r="U973" s="17" t="n">
        <v>119</v>
      </c>
      <c r="V973" s="17">
        <f>ROUNDUP((T973+U973+2*'Read Me'!$B$13)*(1+'Read Me'!$B$12),-1)</f>
        <v/>
      </c>
      <c r="W973" s="17">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7" t="n">
        <v>132</v>
      </c>
      <c r="U974" s="17" t="n">
        <v>10</v>
      </c>
      <c r="V974" s="17">
        <f>ROUNDUP((T974+U974+2*'Read Me'!$B$13)*(1+'Read Me'!$B$12),-1)</f>
        <v/>
      </c>
      <c r="W974" s="17">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7" t="n">
        <v>359</v>
      </c>
      <c r="U975" s="17" t="n">
        <v>109</v>
      </c>
      <c r="V975" s="17">
        <f>ROUNDUP((T975+U975+2*'Read Me'!$B$13)*(1+'Read Me'!$B$12),-1)</f>
        <v/>
      </c>
      <c r="W975" s="17">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7" t="n">
        <v>132</v>
      </c>
      <c r="U976" s="17" t="n">
        <v>10</v>
      </c>
      <c r="V976" s="17">
        <f>ROUNDUP((T976+U976+2*'Read Me'!$B$13)*(1+'Read Me'!$B$12),-1)</f>
        <v/>
      </c>
      <c r="W976" s="17">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7" t="n">
        <v>359</v>
      </c>
      <c r="U977" s="17" t="n">
        <v>109</v>
      </c>
      <c r="V977" s="17">
        <f>ROUNDUP((T977+U977+2*'Read Me'!$B$13)*(1+'Read Me'!$B$12),-1)</f>
        <v/>
      </c>
      <c r="W977" s="17">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7" t="n">
        <v>96</v>
      </c>
      <c r="U978" s="17" t="n">
        <v>10</v>
      </c>
      <c r="V978" s="17">
        <f>ROUNDUP((T978+U978+2*'Read Me'!$B$13)*(1+'Read Me'!$B$12),-1)</f>
        <v/>
      </c>
      <c r="W978" s="17">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7" t="n">
        <v>154</v>
      </c>
      <c r="U979" s="17" t="n">
        <v>103</v>
      </c>
      <c r="V979" s="17">
        <f>ROUNDUP((T979+U979+2*'Read Me'!$B$13)*(1+'Read Me'!$B$12),-1)</f>
        <v/>
      </c>
      <c r="W979" s="17">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7" t="n">
        <v>96</v>
      </c>
      <c r="U980" s="17" t="n">
        <v>10</v>
      </c>
      <c r="V980" s="17">
        <f>ROUNDUP((T980+U980+2*'Read Me'!$B$13)*(1+'Read Me'!$B$12),-1)</f>
        <v/>
      </c>
      <c r="W980" s="17">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7" t="n">
        <v>154</v>
      </c>
      <c r="U981" s="17" t="n">
        <v>103</v>
      </c>
      <c r="V981" s="17">
        <f>ROUNDUP((T981+U981+2*'Read Me'!$B$13)*(1+'Read Me'!$B$12),-1)</f>
        <v/>
      </c>
      <c r="W981" s="17">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7" t="n">
        <v>96</v>
      </c>
      <c r="U982" s="17" t="n">
        <v>10</v>
      </c>
      <c r="V982" s="17">
        <f>ROUNDUP((T982+U982+2*'Read Me'!$B$13)*(1+'Read Me'!$B$12),-1)</f>
        <v/>
      </c>
      <c r="W982" s="17">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7" t="n">
        <v>154</v>
      </c>
      <c r="U983" s="17" t="n">
        <v>103</v>
      </c>
      <c r="V983" s="17">
        <f>ROUNDUP((T983+U983+2*'Read Me'!$B$13)*(1+'Read Me'!$B$12),-1)</f>
        <v/>
      </c>
      <c r="W983" s="17">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7" t="n">
        <v>96</v>
      </c>
      <c r="U984" s="17" t="n">
        <v>10</v>
      </c>
      <c r="V984" s="17">
        <f>ROUNDUP((T984+U984+2*'Read Me'!$B$13)*(1+'Read Me'!$B$12),-1)</f>
        <v/>
      </c>
      <c r="W984" s="17">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7" t="n">
        <v>154</v>
      </c>
      <c r="U985" s="17" t="n">
        <v>103</v>
      </c>
      <c r="V985" s="17">
        <f>ROUNDUP((T985+U985+2*'Read Me'!$B$13)*(1+'Read Me'!$B$12),-1)</f>
        <v/>
      </c>
      <c r="W985" s="17">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7" t="n">
        <v>96</v>
      </c>
      <c r="U986" s="17" t="n">
        <v>10</v>
      </c>
      <c r="V986" s="17">
        <f>ROUNDUP((T986+U986+2*'Read Me'!$B$13)*(1+'Read Me'!$B$12),-1)</f>
        <v/>
      </c>
      <c r="W986" s="17">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7" t="n">
        <v>154</v>
      </c>
      <c r="U987" s="17" t="n">
        <v>103</v>
      </c>
      <c r="V987" s="17">
        <f>ROUNDUP((T987+U987+2*'Read Me'!$B$13)*(1+'Read Me'!$B$12),-1)</f>
        <v/>
      </c>
      <c r="W987" s="17">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7" t="n">
        <v>96</v>
      </c>
      <c r="U988" s="17" t="n">
        <v>10</v>
      </c>
      <c r="V988" s="17">
        <f>ROUNDUP((T988+U988+2*'Read Me'!$B$13)*(1+'Read Me'!$B$12),-1)</f>
        <v/>
      </c>
      <c r="W988" s="17">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7" t="n">
        <v>154</v>
      </c>
      <c r="U989" s="17" t="n">
        <v>103</v>
      </c>
      <c r="V989" s="17">
        <f>ROUNDUP((T989+U989+2*'Read Me'!$B$13)*(1+'Read Me'!$B$12),-1)</f>
        <v/>
      </c>
      <c r="W989" s="17">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7" t="n">
        <v>96</v>
      </c>
      <c r="U990" s="17" t="n">
        <v>10</v>
      </c>
      <c r="V990" s="17">
        <f>ROUNDUP((T990+U990+2*'Read Me'!$B$13)*(1+'Read Me'!$B$12),-1)</f>
        <v/>
      </c>
      <c r="W990" s="17">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7" t="n">
        <v>154</v>
      </c>
      <c r="U991" s="17" t="n">
        <v>103</v>
      </c>
      <c r="V991" s="17">
        <f>ROUNDUP((T991+U991+2*'Read Me'!$B$13)*(1+'Read Me'!$B$12),-1)</f>
        <v/>
      </c>
      <c r="W991" s="17">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7" t="n">
        <v>96</v>
      </c>
      <c r="U992" s="17" t="n">
        <v>10</v>
      </c>
      <c r="V992" s="17">
        <f>ROUNDUP((T992+U992+2*'Read Me'!$B$13)*(1+'Read Me'!$B$12),-1)</f>
        <v/>
      </c>
      <c r="W992" s="17">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7" t="n">
        <v>154</v>
      </c>
      <c r="U993" s="17" t="n">
        <v>103</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96</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154</v>
      </c>
      <c r="U995" s="17" t="n">
        <v>103</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96</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154</v>
      </c>
      <c r="U997" s="17" t="n">
        <v>103</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7" t="n">
        <v>96</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7" t="n">
        <v>154</v>
      </c>
      <c r="U999" s="17" t="n">
        <v>103</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7" t="n">
        <v>96</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7" t="n">
        <v>154</v>
      </c>
      <c r="U1001" s="17" t="n">
        <v>103</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7" t="n">
        <v>96</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7" t="n">
        <v>154</v>
      </c>
      <c r="U1003" s="17" t="n">
        <v>103</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7" t="n">
        <v>154</v>
      </c>
      <c r="U1004" s="17" t="n">
        <v>103</v>
      </c>
      <c r="V1004" s="17">
        <f>ROUNDUP((T1004+U1004+2*'Read Me'!$B$13)*(1+'Read Me'!$B$12),-1)</f>
        <v/>
      </c>
      <c r="W1004" s="17">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7" t="n">
        <v>62</v>
      </c>
      <c r="U1005" s="17" t="n">
        <v>10</v>
      </c>
      <c r="V1005" s="17">
        <f>ROUNDUP((T1005+U1005+2*'Read Me'!$B$13)*(1+'Read Me'!$B$12),-1)</f>
        <v/>
      </c>
      <c r="W1005" s="17">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7" t="n">
        <v>1116</v>
      </c>
      <c r="U1006" s="17" t="n">
        <v>213</v>
      </c>
      <c r="V1006" s="17">
        <f>ROUNDUP((T1006+U1006+2*'Read Me'!$B$13)*(1+'Read Me'!$B$12),-1)</f>
        <v/>
      </c>
      <c r="W1006" s="17">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7" t="n">
        <v>62</v>
      </c>
      <c r="U1007" s="17" t="n">
        <v>10</v>
      </c>
      <c r="V1007" s="17">
        <f>ROUNDUP((T1007+U1007+2*'Read Me'!$B$13)*(1+'Read Me'!$B$12),-1)</f>
        <v/>
      </c>
      <c r="W1007" s="17">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7" t="n">
        <v>1116</v>
      </c>
      <c r="U1008" s="17" t="n">
        <v>213</v>
      </c>
      <c r="V1008" s="17">
        <f>ROUNDUP((T1008+U1008+2*'Read Me'!$B$13)*(1+'Read Me'!$B$12),-1)</f>
        <v/>
      </c>
      <c r="W1008" s="17">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7" t="n">
        <v>62</v>
      </c>
      <c r="U1009" s="17" t="n">
        <v>10</v>
      </c>
      <c r="V1009" s="17">
        <f>ROUNDUP((T1009+U1009+2*'Read Me'!$B$13)*(1+'Read Me'!$B$12),-1)</f>
        <v/>
      </c>
      <c r="W1009" s="17">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7" t="n">
        <v>1116</v>
      </c>
      <c r="U1010" s="17" t="n">
        <v>213</v>
      </c>
      <c r="V1010" s="17">
        <f>ROUNDUP((T1010+U1010+2*'Read Me'!$B$13)*(1+'Read Me'!$B$12),-1)</f>
        <v/>
      </c>
      <c r="W1010" s="17">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7" t="n">
        <v>62</v>
      </c>
      <c r="U1011" s="17" t="n">
        <v>10</v>
      </c>
      <c r="V1011" s="17">
        <f>ROUNDUP((T1011+U1011+2*'Read Me'!$B$13)*(1+'Read Me'!$B$12),-1)</f>
        <v/>
      </c>
      <c r="W1011" s="17">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7" t="n">
        <v>1116</v>
      </c>
      <c r="U1012" s="17" t="n">
        <v>213</v>
      </c>
      <c r="V1012" s="17">
        <f>ROUNDUP((T1012+U1012+2*'Read Me'!$B$13)*(1+'Read Me'!$B$12),-1)</f>
        <v/>
      </c>
      <c r="W1012" s="17">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7" t="n">
        <v>132</v>
      </c>
      <c r="U1013" s="17" t="n">
        <v>10</v>
      </c>
      <c r="V1013" s="17">
        <f>ROUNDUP((T1013+U1013+2*'Read Me'!$B$13)*(1+'Read Me'!$B$12),-1)</f>
        <v/>
      </c>
      <c r="W1013" s="17">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7" t="n">
        <v>1233</v>
      </c>
      <c r="U1014" s="17" t="n">
        <v>199</v>
      </c>
      <c r="V1014" s="17">
        <f>ROUNDUP((T1014+U1014+2*'Read Me'!$B$13)*(1+'Read Me'!$B$12),-1)</f>
        <v/>
      </c>
      <c r="W1014" s="17">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7" t="n">
        <v>132</v>
      </c>
      <c r="U1015" s="17" t="n">
        <v>10</v>
      </c>
      <c r="V1015" s="17">
        <f>ROUNDUP((T1015+U1015+2*'Read Me'!$B$13)*(1+'Read Me'!$B$12),-1)</f>
        <v/>
      </c>
      <c r="W1015" s="17">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7" t="n">
        <v>1233</v>
      </c>
      <c r="U1016" s="17" t="n">
        <v>199</v>
      </c>
      <c r="V1016" s="17">
        <f>ROUNDUP((T1016+U1016+2*'Read Me'!$B$13)*(1+'Read Me'!$B$12),-1)</f>
        <v/>
      </c>
      <c r="W1016" s="17">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7" t="n">
        <v>96</v>
      </c>
      <c r="U1017" s="17" t="n">
        <v>10</v>
      </c>
      <c r="V1017" s="17">
        <f>ROUNDUP((T1017+U1017+2*'Read Me'!$B$13)*(1+'Read Me'!$B$12),-1)</f>
        <v/>
      </c>
      <c r="W1017" s="17">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7" t="n">
        <v>1046</v>
      </c>
      <c r="U1018" s="17" t="n">
        <v>197</v>
      </c>
      <c r="V1018" s="17">
        <f>ROUNDUP((T1018+U1018+2*'Read Me'!$B$13)*(1+'Read Me'!$B$12),-1)</f>
        <v/>
      </c>
      <c r="W1018" s="17">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7" t="n">
        <v>96</v>
      </c>
      <c r="U1019" s="17" t="n">
        <v>10</v>
      </c>
      <c r="V1019" s="17">
        <f>ROUNDUP((T1019+U1019+2*'Read Me'!$B$13)*(1+'Read Me'!$B$12),-1)</f>
        <v/>
      </c>
      <c r="W1019" s="17">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7" t="n">
        <v>1046</v>
      </c>
      <c r="U1020" s="17" t="n">
        <v>197</v>
      </c>
      <c r="V1020" s="17">
        <f>ROUNDUP((T1020+U1020+2*'Read Me'!$B$13)*(1+'Read Me'!$B$12),-1)</f>
        <v/>
      </c>
      <c r="W1020" s="17">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7" t="n">
        <v>96</v>
      </c>
      <c r="U1021" s="17" t="n">
        <v>10</v>
      </c>
      <c r="V1021" s="17">
        <f>ROUNDUP((T1021+U1021+2*'Read Me'!$B$13)*(1+'Read Me'!$B$12),-1)</f>
        <v/>
      </c>
      <c r="W1021" s="17">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7" t="n">
        <v>1046</v>
      </c>
      <c r="U1022" s="17" t="n">
        <v>197</v>
      </c>
      <c r="V1022" s="17">
        <f>ROUNDUP((T1022+U1022+2*'Read Me'!$B$13)*(1+'Read Me'!$B$12),-1)</f>
        <v/>
      </c>
      <c r="W1022" s="17">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7" t="n">
        <v>96</v>
      </c>
      <c r="U1023" s="17" t="n">
        <v>10</v>
      </c>
      <c r="V1023" s="17">
        <f>ROUNDUP((T1023+U1023+2*'Read Me'!$B$13)*(1+'Read Me'!$B$12),-1)</f>
        <v/>
      </c>
      <c r="W1023" s="17">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7" t="n">
        <v>1046</v>
      </c>
      <c r="U1024" s="17" t="n">
        <v>197</v>
      </c>
      <c r="V1024" s="17">
        <f>ROUNDUP((T1024+U1024+2*'Read Me'!$B$13)*(1+'Read Me'!$B$12),-1)</f>
        <v/>
      </c>
      <c r="W1024" s="17">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7" t="n">
        <v>96</v>
      </c>
      <c r="U1025" s="17" t="n">
        <v>10</v>
      </c>
      <c r="V1025" s="17">
        <f>ROUNDUP((T1025+U1025+2*'Read Me'!$B$13)*(1+'Read Me'!$B$12),-1)</f>
        <v/>
      </c>
      <c r="W1025" s="17">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7" t="n">
        <v>1046</v>
      </c>
      <c r="U1026" s="17" t="n">
        <v>197</v>
      </c>
      <c r="V1026" s="17">
        <f>ROUNDUP((T1026+U1026+2*'Read Me'!$B$13)*(1+'Read Me'!$B$12),-1)</f>
        <v/>
      </c>
      <c r="W1026" s="17">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7" t="n">
        <v>96</v>
      </c>
      <c r="U1027" s="17" t="n">
        <v>10</v>
      </c>
      <c r="V1027" s="17">
        <f>ROUNDUP((T1027+U1027+2*'Read Me'!$B$13)*(1+'Read Me'!$B$12),-1)</f>
        <v/>
      </c>
      <c r="W1027" s="17">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7" t="n">
        <v>1046</v>
      </c>
      <c r="U1028" s="17" t="n">
        <v>197</v>
      </c>
      <c r="V1028" s="17">
        <f>ROUNDUP((T1028+U1028+2*'Read Me'!$B$13)*(1+'Read Me'!$B$12),-1)</f>
        <v/>
      </c>
      <c r="W1028" s="17">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7" t="n">
        <v>96</v>
      </c>
      <c r="U1029" s="17" t="n">
        <v>10</v>
      </c>
      <c r="V1029" s="17">
        <f>ROUNDUP((T1029+U1029+2*'Read Me'!$B$13)*(1+'Read Me'!$B$12),-1)</f>
        <v/>
      </c>
      <c r="W1029" s="17">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7" t="n">
        <v>1046</v>
      </c>
      <c r="U1030" s="17" t="n">
        <v>197</v>
      </c>
      <c r="V1030" s="17">
        <f>ROUNDUP((T1030+U1030+2*'Read Me'!$B$13)*(1+'Read Me'!$B$12),-1)</f>
        <v/>
      </c>
      <c r="W1030" s="17">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7" t="n">
        <v>96</v>
      </c>
      <c r="U1031" s="17" t="n">
        <v>10</v>
      </c>
      <c r="V1031" s="17">
        <f>ROUNDUP((T1031+U1031+2*'Read Me'!$B$13)*(1+'Read Me'!$B$12),-1)</f>
        <v/>
      </c>
      <c r="W1031" s="17">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7" t="n">
        <v>1046</v>
      </c>
      <c r="U1032" s="17" t="n">
        <v>197</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7" t="n">
        <v>96</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7" t="n">
        <v>1046</v>
      </c>
      <c r="U1034" s="17" t="n">
        <v>197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7" t="n">
        <v>96</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7" t="n">
        <v>1046</v>
      </c>
      <c r="U1036" s="17" t="n">
        <v>197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7" t="n">
        <v>96</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7" t="n">
        <v>1046</v>
      </c>
      <c r="U1038" s="17" t="n">
        <v>197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7" t="n">
        <v>96</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7" t="n">
        <v>1046</v>
      </c>
      <c r="U1040" s="17" t="n">
        <v>197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7" t="n">
        <v>96</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7" t="n">
        <v>1046</v>
      </c>
      <c r="U1042" s="17" t="n">
        <v>197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1046</v>
      </c>
      <c r="U1043" s="17" t="n">
        <v>197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7" t="n">
        <v>62</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7" t="n">
        <v>926</v>
      </c>
      <c r="U1045" s="17" t="n">
        <v>248</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7" t="n">
        <v>62</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7" t="n">
        <v>926</v>
      </c>
      <c r="U1047" s="17" t="n">
        <v>248</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7" t="n">
        <v>62</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7" t="n">
        <v>926</v>
      </c>
      <c r="U1049" s="17" t="n">
        <v>248</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7" t="n">
        <v>62</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7" t="n">
        <v>926</v>
      </c>
      <c r="U1051" s="17" t="n">
        <v>248</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7" t="n">
        <v>132</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7" t="n">
        <v>1135</v>
      </c>
      <c r="U1053" s="17" t="n">
        <v>96</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7" t="n">
        <v>132</v>
      </c>
      <c r="U1054" s="17" t="n">
        <v>10</v>
      </c>
      <c r="V1054" s="17">
        <f>ROUNDUP((T1054+U1054+2*'Read Me'!$B$13)*(1+'Read Me'!$B$12),-1)</f>
        <v/>
      </c>
      <c r="W1054" s="17">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7" t="n">
        <v>1135</v>
      </c>
      <c r="U1055" s="17" t="n">
        <v>96</v>
      </c>
      <c r="V1055" s="17">
        <f>ROUNDUP((T1055+U1055+2*'Read Me'!$B$13)*(1+'Read Me'!$B$12),-1)</f>
        <v/>
      </c>
      <c r="W1055" s="17">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7" t="n">
        <v>96</v>
      </c>
      <c r="U1056" s="17" t="n">
        <v>10</v>
      </c>
      <c r="V1056" s="17">
        <f>ROUNDUP((T1056+U1056+2*'Read Me'!$B$13)*(1+'Read Me'!$B$12),-1)</f>
        <v/>
      </c>
      <c r="W1056" s="17">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7" t="n">
        <v>986</v>
      </c>
      <c r="U1057" s="17" t="n">
        <v>249</v>
      </c>
      <c r="V1057" s="17">
        <f>ROUNDUP((T1057+U1057+2*'Read Me'!$B$13)*(1+'Read Me'!$B$12),-1)</f>
        <v/>
      </c>
      <c r="W1057" s="17">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7" t="n">
        <v>96</v>
      </c>
      <c r="U1058" s="17" t="n">
        <v>10</v>
      </c>
      <c r="V1058" s="17">
        <f>ROUNDUP((T1058+U1058+2*'Read Me'!$B$13)*(1+'Read Me'!$B$12),-1)</f>
        <v/>
      </c>
      <c r="W1058" s="17">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7" t="n">
        <v>986</v>
      </c>
      <c r="U1059" s="17" t="n">
        <v>249</v>
      </c>
      <c r="V1059" s="17">
        <f>ROUNDUP((T1059+U1059+2*'Read Me'!$B$13)*(1+'Read Me'!$B$12),-1)</f>
        <v/>
      </c>
      <c r="W1059" s="17">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7" t="n">
        <v>96</v>
      </c>
      <c r="U1060" s="17" t="n">
        <v>10</v>
      </c>
      <c r="V1060" s="17">
        <f>ROUNDUP((T1060+U1060+2*'Read Me'!$B$13)*(1+'Read Me'!$B$12),-1)</f>
        <v/>
      </c>
      <c r="W1060" s="17">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7" t="n">
        <v>986</v>
      </c>
      <c r="U1061" s="17" t="n">
        <v>249</v>
      </c>
      <c r="V1061" s="17">
        <f>ROUNDUP((T1061+U1061+2*'Read Me'!$B$13)*(1+'Read Me'!$B$12),-1)</f>
        <v/>
      </c>
      <c r="W1061" s="17">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7" t="n">
        <v>96</v>
      </c>
      <c r="U1062" s="17" t="n">
        <v>10</v>
      </c>
      <c r="V1062" s="17">
        <f>ROUNDUP((T1062+U1062+2*'Read Me'!$B$13)*(1+'Read Me'!$B$12),-1)</f>
        <v/>
      </c>
      <c r="W1062" s="17">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7" t="n">
        <v>986</v>
      </c>
      <c r="U1063" s="17" t="n">
        <v>249</v>
      </c>
      <c r="V1063" s="17">
        <f>ROUNDUP((T1063+U1063+2*'Read Me'!$B$13)*(1+'Read Me'!$B$12),-1)</f>
        <v/>
      </c>
      <c r="W1063" s="17">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7" t="n">
        <v>96</v>
      </c>
      <c r="U1064" s="17" t="n">
        <v>10</v>
      </c>
      <c r="V1064" s="17">
        <f>ROUNDUP((T1064+U1064+2*'Read Me'!$B$13)*(1+'Read Me'!$B$12),-1)</f>
        <v/>
      </c>
      <c r="W1064" s="17">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7" t="n">
        <v>986</v>
      </c>
      <c r="U1065" s="17" t="n">
        <v>249</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7" t="n">
        <v>96</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7" t="n">
        <v>986</v>
      </c>
      <c r="U1067" s="17" t="n">
        <v>249</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7" t="n">
        <v>96</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7" t="n">
        <v>986</v>
      </c>
      <c r="U1069" s="17" t="n">
        <v>249</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7" t="n">
        <v>96</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7" t="n">
        <v>986</v>
      </c>
      <c r="U1071" s="17" t="n">
        <v>249</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7" t="n">
        <v>96</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7" t="n">
        <v>986</v>
      </c>
      <c r="U1073" s="17" t="n">
        <v>249</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7" t="n">
        <v>96</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7" t="n">
        <v>986</v>
      </c>
      <c r="U1075" s="17" t="n">
        <v>249</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7" t="n">
        <v>96</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7" t="n">
        <v>986</v>
      </c>
      <c r="U1077" s="17" t="n">
        <v>249</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7" t="n">
        <v>96</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7" t="n">
        <v>986</v>
      </c>
      <c r="U1079" s="17" t="n">
        <v>249</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7" t="n">
        <v>96</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7" t="n">
        <v>986</v>
      </c>
      <c r="U1081" s="17" t="n">
        <v>249</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7" t="n">
        <v>986</v>
      </c>
      <c r="U1082" s="17" t="n">
        <v>249</v>
      </c>
      <c r="V1082" s="17">
        <f>ROUNDUP((T1082+U1082+2*'Read Me'!$B$13)*(1+'Read Me'!$B$12),-1)</f>
        <v/>
      </c>
      <c r="W1082" s="17">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7" t="n">
        <v>70</v>
      </c>
      <c r="U1083" s="17" t="n">
        <v>10</v>
      </c>
      <c r="V1083" s="17">
        <f>ROUNDUP((T1083+U1083+2*'Read Me'!$B$13)*(1+'Read Me'!$B$12),-1)</f>
        <v/>
      </c>
      <c r="W1083" s="17">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7" t="n">
        <v>367</v>
      </c>
      <c r="U1084" s="17" t="n">
        <v>127</v>
      </c>
      <c r="V1084" s="17">
        <f>ROUNDUP((T1084+U1084+2*'Read Me'!$B$13)*(1+'Read Me'!$B$12),-1)</f>
        <v/>
      </c>
      <c r="W1084" s="17">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7" t="n">
        <v>70</v>
      </c>
      <c r="U1085" s="17" t="n">
        <v>10</v>
      </c>
      <c r="V1085" s="17">
        <f>ROUNDUP((T1085+U1085+2*'Read Me'!$B$13)*(1+'Read Me'!$B$12),-1)</f>
        <v/>
      </c>
      <c r="W1085" s="17">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7" t="n">
        <v>367</v>
      </c>
      <c r="U1086" s="17" t="n">
        <v>127</v>
      </c>
      <c r="V1086" s="17">
        <f>ROUNDUP((T1086+U1086+2*'Read Me'!$B$13)*(1+'Read Me'!$B$12),-1)</f>
        <v/>
      </c>
      <c r="W1086" s="17">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7" t="n">
        <v>70</v>
      </c>
      <c r="U1087" s="17" t="n">
        <v>10</v>
      </c>
      <c r="V1087" s="17">
        <f>ROUNDUP((T1087+U1087+2*'Read Me'!$B$13)*(1+'Read Me'!$B$12),-1)</f>
        <v/>
      </c>
      <c r="W1087" s="17">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7" t="n">
        <v>367</v>
      </c>
      <c r="U1088" s="17" t="n">
        <v>127</v>
      </c>
      <c r="V1088" s="17">
        <f>ROUNDUP((T1088+U1088+2*'Read Me'!$B$13)*(1+'Read Me'!$B$12),-1)</f>
        <v/>
      </c>
      <c r="W1088" s="17">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7" t="n">
        <v>70</v>
      </c>
      <c r="U1089" s="17" t="n">
        <v>10</v>
      </c>
      <c r="V1089" s="17">
        <f>ROUNDUP((T1089+U1089+2*'Read Me'!$B$13)*(1+'Read Me'!$B$12),-1)</f>
        <v/>
      </c>
      <c r="W1089" s="17">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7" t="n">
        <v>367</v>
      </c>
      <c r="U1090" s="17" t="n">
        <v>127</v>
      </c>
      <c r="V1090" s="17">
        <f>ROUNDUP((T1090+U1090+2*'Read Me'!$B$13)*(1+'Read Me'!$B$12),-1)</f>
        <v/>
      </c>
      <c r="W1090" s="17">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7" t="n">
        <v>70</v>
      </c>
      <c r="U1091" s="17" t="n">
        <v>10</v>
      </c>
      <c r="V1091" s="17">
        <f>ROUNDUP((T1091+U1091+2*'Read Me'!$B$13)*(1+'Read Me'!$B$12),-1)</f>
        <v/>
      </c>
      <c r="W1091" s="17">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7" t="n">
        <v>367</v>
      </c>
      <c r="U1092" s="17" t="n">
        <v>127</v>
      </c>
      <c r="V1092" s="17">
        <f>ROUNDUP((T1092+U1092+2*'Read Me'!$B$13)*(1+'Read Me'!$B$12),-1)</f>
        <v/>
      </c>
      <c r="W1092" s="17">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7" t="n">
        <v>367</v>
      </c>
      <c r="U1093" s="17" t="n">
        <v>127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7" t="n">
        <v>70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7" t="n">
        <v>1241</v>
      </c>
      <c r="U1095" s="17" t="n">
        <v>217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7" t="n">
        <v>70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7" t="n">
        <v>1241</v>
      </c>
      <c r="U1097" s="17" t="n">
        <v>217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7" t="n">
        <v>70</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7" t="n">
        <v>1241</v>
      </c>
      <c r="U1099" s="17" t="n">
        <v>217</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7" t="n">
        <v>70</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7" t="n">
        <v>1241</v>
      </c>
      <c r="U1101" s="17" t="n">
        <v>217</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7" t="n">
        <v>70</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7" t="n">
        <v>1241</v>
      </c>
      <c r="U1103" s="17" t="n">
        <v>217</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7" t="n">
        <v>1241</v>
      </c>
      <c r="U1104" s="17" t="n">
        <v>217</v>
      </c>
      <c r="V1104" s="17">
        <f>ROUNDUP((T1104+U1104+2*'Read Me'!$B$13)*(1+'Read Me'!$B$12),-1)</f>
        <v/>
      </c>
      <c r="W1104" s="17">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7" t="n">
        <v>70</v>
      </c>
      <c r="U1105" s="17" t="n">
        <v>10</v>
      </c>
      <c r="V1105" s="17">
        <f>ROUNDUP((T1105+U1105+2*'Read Me'!$B$13)*(1+'Read Me'!$B$12),-1)</f>
        <v/>
      </c>
      <c r="W1105" s="17">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7" t="n">
        <v>1193</v>
      </c>
      <c r="U1106" s="17" t="n">
        <v>117</v>
      </c>
      <c r="V1106" s="17">
        <f>ROUNDUP((T1106+U1106+2*'Read Me'!$B$13)*(1+'Read Me'!$B$12),-1)</f>
        <v/>
      </c>
      <c r="W1106" s="17">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7" t="n">
        <v>70</v>
      </c>
      <c r="U1107" s="17" t="n">
        <v>10</v>
      </c>
      <c r="V1107" s="17">
        <f>ROUNDUP((T1107+U1107+2*'Read Me'!$B$13)*(1+'Read Me'!$B$12),-1)</f>
        <v/>
      </c>
      <c r="W1107" s="17">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7" t="n">
        <v>1193</v>
      </c>
      <c r="U1108" s="17" t="n">
        <v>117</v>
      </c>
      <c r="V1108" s="17">
        <f>ROUNDUP((T1108+U1108+2*'Read Me'!$B$13)*(1+'Read Me'!$B$12),-1)</f>
        <v/>
      </c>
      <c r="W1108" s="17">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7" t="n">
        <v>70</v>
      </c>
      <c r="U1109" s="17" t="n">
        <v>10</v>
      </c>
      <c r="V1109" s="17">
        <f>ROUNDUP((T1109+U1109+2*'Read Me'!$B$13)*(1+'Read Me'!$B$12),-1)</f>
        <v/>
      </c>
      <c r="W1109" s="17">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7" t="n">
        <v>1193</v>
      </c>
      <c r="U1110" s="17" t="n">
        <v>117</v>
      </c>
      <c r="V1110" s="17">
        <f>ROUNDUP((T1110+U1110+2*'Read Me'!$B$13)*(1+'Read Me'!$B$12),-1)</f>
        <v/>
      </c>
      <c r="W1110" s="17">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7" t="n">
        <v>70</v>
      </c>
      <c r="U1111" s="17" t="n">
        <v>10</v>
      </c>
      <c r="V1111" s="17">
        <f>ROUNDUP((T1111+U1111+2*'Read Me'!$B$13)*(1+'Read Me'!$B$12),-1)</f>
        <v/>
      </c>
      <c r="W1111" s="17">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7" t="n">
        <v>1193</v>
      </c>
      <c r="U1112" s="17" t="n">
        <v>117</v>
      </c>
      <c r="V1112" s="17">
        <f>ROUNDUP((T1112+U1112+2*'Read Me'!$B$13)*(1+'Read Me'!$B$12),-1)</f>
        <v/>
      </c>
      <c r="W1112" s="17">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7" t="n">
        <v>70</v>
      </c>
      <c r="U1113" s="17" t="n">
        <v>10</v>
      </c>
      <c r="V1113" s="17">
        <f>ROUNDUP((T1113+U1113+2*'Read Me'!$B$13)*(1+'Read Me'!$B$12),-1)</f>
        <v/>
      </c>
      <c r="W1113" s="17">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7" t="n">
        <v>1193</v>
      </c>
      <c r="U1114" s="17" t="n">
        <v>117</v>
      </c>
      <c r="V1114" s="17">
        <f>ROUNDUP((T1114+U1114+2*'Read Me'!$B$13)*(1+'Read Me'!$B$12),-1)</f>
        <v/>
      </c>
      <c r="W1114" s="17">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7" t="n">
        <v>1193</v>
      </c>
      <c r="U1115" s="17" t="n">
        <v>117</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0</v>
      </c>
      <c r="U1117" s="17" t="n">
        <v>87</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0</v>
      </c>
      <c r="U1119" s="17" t="n">
        <v>87</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0</v>
      </c>
      <c r="U1121" s="17" t="n">
        <v>87</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0</v>
      </c>
      <c r="U1123" s="17" t="n">
        <v>87</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0</v>
      </c>
      <c r="U1125" s="17" t="n">
        <v>87</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0</v>
      </c>
      <c r="U1127" s="17" t="n">
        <v>87</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0</v>
      </c>
      <c r="U1129" s="17" t="n">
        <v>87</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7" t="n">
        <v>0</v>
      </c>
      <c r="U1131" s="17" t="n">
        <v>87</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7" t="n">
        <v>0</v>
      </c>
      <c r="U1133" s="17" t="n">
        <v>87</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7" t="n">
        <v>0</v>
      </c>
      <c r="U1135" s="17" t="n">
        <v>87</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7" t="n">
        <v>0</v>
      </c>
      <c r="U1137" s="17" t="n">
        <v>87</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7" t="n">
        <v>180</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0</v>
      </c>
      <c r="U1139" s="17" t="n">
        <v>87</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7" t="n">
        <v>180</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7" t="n">
        <v>0</v>
      </c>
      <c r="U1141" s="17" t="n">
        <v>87</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7" t="n">
        <v>180</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7" t="n">
        <v>0</v>
      </c>
      <c r="U1143" s="17" t="n">
        <v>87</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7" t="n">
        <v>180</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7" t="n">
        <v>0</v>
      </c>
      <c r="U1145" s="17" t="n">
        <v>87</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7" t="n">
        <v>43</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38</v>
      </c>
      <c r="U1149" s="17" t="n">
        <v>86</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7" t="n">
        <v>43</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38</v>
      </c>
      <c r="U1151" s="17" t="n">
        <v>86</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7" t="n">
        <v>42</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404</v>
      </c>
      <c r="U1153" s="17" t="n">
        <v>108</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7" t="n">
        <v>42</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404</v>
      </c>
      <c r="U1155" s="17" t="n">
        <v>108</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7" t="n">
        <v>106</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7" t="n">
        <v>400</v>
      </c>
      <c r="U1157" s="17" t="n">
        <v>84</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7" t="n">
        <v>106</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7" t="n">
        <v>400</v>
      </c>
      <c r="U1159" s="17" t="n">
        <v>84</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7" t="n">
        <v>106</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7" t="n">
        <v>400</v>
      </c>
      <c r="U1161" s="17" t="n">
        <v>84</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53</v>
      </c>
      <c r="U1163" s="17" t="n">
        <v>96</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53</v>
      </c>
      <c r="U1165" s="17" t="n">
        <v>96</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53</v>
      </c>
      <c r="U1167" s="17" t="n">
        <v>96</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53</v>
      </c>
      <c r="U1169" s="17" t="n">
        <v>96</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7" t="n">
        <v>53</v>
      </c>
      <c r="U1171" s="17" t="n">
        <v>96</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7" t="n">
        <v>53</v>
      </c>
      <c r="U1173" s="17" t="n">
        <v>96</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7" t="n">
        <v>53</v>
      </c>
      <c r="U1175" s="17" t="n">
        <v>96</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7" t="n">
        <v>53</v>
      </c>
      <c r="U1177" s="17" t="n">
        <v>96</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7" t="n">
        <v>180</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53</v>
      </c>
      <c r="U1179" s="17" t="n">
        <v>96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7" t="n">
        <v>180</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53</v>
      </c>
      <c r="U1181" s="17" t="n">
        <v>96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7" t="n">
        <v>180</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53</v>
      </c>
      <c r="U1183" s="17" t="n">
        <v>96</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7" t="n">
        <v>180</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53</v>
      </c>
      <c r="U1185" s="17" t="n">
        <v>96</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7" t="n">
        <v>180</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7" t="n">
        <v>53</v>
      </c>
      <c r="U1187" s="17" t="n">
        <v>96</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7" t="n">
        <v>180</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7" t="n">
        <v>53</v>
      </c>
      <c r="U1189" s="17" t="n">
        <v>96</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7" t="n">
        <v>180</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7" t="n">
        <v>53</v>
      </c>
      <c r="U1191" s="17" t="n">
        <v>96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7" t="n">
        <v>180</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7" t="n">
        <v>53</v>
      </c>
      <c r="U1193" s="17" t="n">
        <v>96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38</v>
      </c>
      <c r="U1195" s="17" t="n">
        <v>86</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38</v>
      </c>
      <c r="U1197" s="17" t="n">
        <v>86</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7" t="n">
        <v>42</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404</v>
      </c>
      <c r="U1199" s="17" t="n">
        <v>108</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7" t="n">
        <v>42</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404</v>
      </c>
      <c r="U1201" s="17" t="n">
        <v>108</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7" t="n">
        <v>106</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7" t="n">
        <v>400</v>
      </c>
      <c r="U1203" s="17" t="n">
        <v>84</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7" t="n">
        <v>106</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7" t="n">
        <v>400</v>
      </c>
      <c r="U1205" s="17" t="n">
        <v>84</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7" t="n">
        <v>106</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7" t="n">
        <v>400</v>
      </c>
      <c r="U1207" s="17" t="n">
        <v>84</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180</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0</v>
      </c>
      <c r="U1209" s="17" t="n">
        <v>87</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7" t="n">
        <v>180</v>
      </c>
      <c r="U1210" s="17" t="n">
        <v>10</v>
      </c>
      <c r="V1210" s="17">
        <f>ROUNDUP((T1210+U1210+2*'Read Me'!$B$13)*(1+'Read Me'!$B$12),-1)</f>
        <v/>
      </c>
      <c r="W1210" s="17">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7" t="n">
        <v>0</v>
      </c>
      <c r="U1211" s="17" t="n">
        <v>87</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7" t="n">
        <v>180</v>
      </c>
      <c r="U1212" s="17" t="n">
        <v>10</v>
      </c>
      <c r="V1212" s="17">
        <f>ROUNDUP((T1212+U1212+2*'Read Me'!$B$13)*(1+'Read Me'!$B$12),-1)</f>
        <v/>
      </c>
      <c r="W1212" s="17">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7" t="n">
        <v>0</v>
      </c>
      <c r="U1213" s="17" t="n">
        <v>87</v>
      </c>
      <c r="V1213" s="17">
        <f>ROUNDUP((T1213+U1213+2*'Read Me'!$B$13)*(1+'Read Me'!$B$12),-1)</f>
        <v/>
      </c>
      <c r="W1213" s="17">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7" t="n">
        <v>180</v>
      </c>
      <c r="U1214" s="17" t="n">
        <v>10</v>
      </c>
      <c r="V1214" s="17">
        <f>ROUNDUP((T1214+U1214+2*'Read Me'!$B$13)*(1+'Read Me'!$B$12),-1)</f>
        <v/>
      </c>
      <c r="W1214" s="17">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7" t="n">
        <v>0</v>
      </c>
      <c r="U1215" s="17" t="n">
        <v>87</v>
      </c>
      <c r="V1215" s="17">
        <f>ROUNDUP((T1215+U1215+2*'Read Me'!$B$13)*(1+'Read Me'!$B$12),-1)</f>
        <v/>
      </c>
      <c r="W1215" s="17">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7" t="n">
        <v>180</v>
      </c>
      <c r="U1216" s="17" t="n">
        <v>10</v>
      </c>
      <c r="V1216" s="17">
        <f>ROUNDUP((T1216+U1216+2*'Read Me'!$B$13)*(1+'Read Me'!$B$12),-1)</f>
        <v/>
      </c>
      <c r="W1216" s="17">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7" t="n">
        <v>0</v>
      </c>
      <c r="U1217" s="17" t="n">
        <v>87</v>
      </c>
      <c r="V1217" s="17">
        <f>ROUNDUP((T1217+U1217+2*'Read Me'!$B$13)*(1+'Read Me'!$B$12),-1)</f>
        <v/>
      </c>
      <c r="W1217" s="17">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7" t="n">
        <v>180</v>
      </c>
      <c r="U1218" s="17" t="n">
        <v>10</v>
      </c>
      <c r="V1218" s="17">
        <f>ROUNDUP((T1218+U1218+2*'Read Me'!$B$13)*(1+'Read Me'!$B$12),-1)</f>
        <v/>
      </c>
      <c r="W1218" s="17">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7" t="n">
        <v>0</v>
      </c>
      <c r="U1219" s="17" t="n">
        <v>87</v>
      </c>
      <c r="V1219" s="17">
        <f>ROUNDUP((T1219+U1219+2*'Read Me'!$B$13)*(1+'Read Me'!$B$12),-1)</f>
        <v/>
      </c>
      <c r="W1219" s="17">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7" t="n">
        <v>180</v>
      </c>
      <c r="U1220" s="17" t="n">
        <v>10</v>
      </c>
      <c r="V1220" s="17">
        <f>ROUNDUP((T1220+U1220+2*'Read Me'!$B$13)*(1+'Read Me'!$B$12),-1)</f>
        <v/>
      </c>
      <c r="W1220" s="17">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7" t="n">
        <v>0</v>
      </c>
      <c r="U1221" s="17" t="n">
        <v>87</v>
      </c>
      <c r="V1221" s="17">
        <f>ROUNDUP((T1221+U1221+2*'Read Me'!$B$13)*(1+'Read Me'!$B$12),-1)</f>
        <v/>
      </c>
      <c r="W1221" s="17">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7" t="n">
        <v>180</v>
      </c>
      <c r="U1222" s="17" t="n">
        <v>10</v>
      </c>
      <c r="V1222" s="17">
        <f>ROUNDUP((T1222+U1222+2*'Read Me'!$B$13)*(1+'Read Me'!$B$12),-1)</f>
        <v/>
      </c>
      <c r="W1222" s="17">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7" t="n">
        <v>0</v>
      </c>
      <c r="U1223" s="17" t="n">
        <v>87</v>
      </c>
      <c r="V1223" s="17">
        <f>ROUNDUP((T1223+U1223+2*'Read Me'!$B$13)*(1+'Read Me'!$B$12),-1)</f>
        <v/>
      </c>
      <c r="W1223" s="17">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7" t="n">
        <v>180</v>
      </c>
      <c r="U1224" s="17" t="n">
        <v>10</v>
      </c>
      <c r="V1224" s="17">
        <f>ROUNDUP((T1224+U1224+2*'Read Me'!$B$13)*(1+'Read Me'!$B$12),-1)</f>
        <v/>
      </c>
      <c r="W1224" s="17">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7" t="n">
        <v>0</v>
      </c>
      <c r="U1225" s="17" t="n">
        <v>87</v>
      </c>
      <c r="V1225" s="17">
        <f>ROUNDUP((T1225+U1225+2*'Read Me'!$B$13)*(1+'Read Me'!$B$12),-1)</f>
        <v/>
      </c>
      <c r="W1225" s="17">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7" t="n">
        <v>180</v>
      </c>
      <c r="U1226" s="17" t="n">
        <v>10</v>
      </c>
      <c r="V1226" s="17">
        <f>ROUNDUP((T1226+U1226+2*'Read Me'!$B$13)*(1+'Read Me'!$B$12),-1)</f>
        <v/>
      </c>
      <c r="W1226" s="17">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7" t="n">
        <v>0</v>
      </c>
      <c r="U1227" s="17" t="n">
        <v>87</v>
      </c>
      <c r="V1227" s="17">
        <f>ROUNDUP((T1227+U1227+2*'Read Me'!$B$13)*(1+'Read Me'!$B$12),-1)</f>
        <v/>
      </c>
      <c r="W1227" s="17">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7" t="n">
        <v>180</v>
      </c>
      <c r="U1228" s="17" t="n">
        <v>10</v>
      </c>
      <c r="V1228" s="17">
        <f>ROUNDUP((T1228+U1228+2*'Read Me'!$B$13)*(1+'Read Me'!$B$12),-1)</f>
        <v/>
      </c>
      <c r="W1228" s="17">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7" t="n">
        <v>0</v>
      </c>
      <c r="U1229" s="17" t="n">
        <v>87</v>
      </c>
      <c r="V1229" s="17">
        <f>ROUNDUP((T1229+U1229+2*'Read Me'!$B$13)*(1+'Read Me'!$B$12),-1)</f>
        <v/>
      </c>
      <c r="W1229" s="17">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7" t="n">
        <v>180</v>
      </c>
      <c r="U1230" s="17" t="n">
        <v>10</v>
      </c>
      <c r="V1230" s="17">
        <f>ROUNDUP((T1230+U1230+2*'Read Me'!$B$13)*(1+'Read Me'!$B$12),-1)</f>
        <v/>
      </c>
      <c r="W1230" s="17">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7" t="n">
        <v>0</v>
      </c>
      <c r="U1231" s="17" t="n">
        <v>87</v>
      </c>
      <c r="V1231" s="17">
        <f>ROUNDUP((T1231+U1231+2*'Read Me'!$B$13)*(1+'Read Me'!$B$12),-1)</f>
        <v/>
      </c>
      <c r="W1231" s="17">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7" t="n">
        <v>180</v>
      </c>
      <c r="U1232" s="17" t="n">
        <v>10</v>
      </c>
      <c r="V1232" s="17">
        <f>ROUNDUP((T1232+U1232+2*'Read Me'!$B$13)*(1+'Read Me'!$B$12),-1)</f>
        <v/>
      </c>
      <c r="W1232" s="17">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7" t="n">
        <v>0</v>
      </c>
      <c r="U1233" s="17" t="n">
        <v>87</v>
      </c>
      <c r="V1233" s="17">
        <f>ROUNDUP((T1233+U1233+2*'Read Me'!$B$13)*(1+'Read Me'!$B$12),-1)</f>
        <v/>
      </c>
      <c r="W1233" s="17">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7" t="n">
        <v>180</v>
      </c>
      <c r="U1234" s="17" t="n">
        <v>10</v>
      </c>
      <c r="V1234" s="17">
        <f>ROUNDUP((T1234+U1234+2*'Read Me'!$B$13)*(1+'Read Me'!$B$12),-1)</f>
        <v/>
      </c>
      <c r="W1234" s="17">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7" t="n">
        <v>0</v>
      </c>
      <c r="U1235" s="17" t="n">
        <v>87</v>
      </c>
      <c r="V1235" s="17">
        <f>ROUNDUP((T1235+U1235+2*'Read Me'!$B$13)*(1+'Read Me'!$B$12),-1)</f>
        <v/>
      </c>
      <c r="W1235" s="17">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7" t="n">
        <v>180</v>
      </c>
      <c r="U1236" s="17" t="n">
        <v>10</v>
      </c>
      <c r="V1236" s="17">
        <f>ROUNDUP((T1236+U1236+2*'Read Me'!$B$13)*(1+'Read Me'!$B$12),-1)</f>
        <v/>
      </c>
      <c r="W1236" s="17">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7" t="n">
        <v>0</v>
      </c>
      <c r="U1237" s="17" t="n">
        <v>87</v>
      </c>
      <c r="V1237" s="17">
        <f>ROUNDUP((T1237+U1237+2*'Read Me'!$B$13)*(1+'Read Me'!$B$12),-1)</f>
        <v/>
      </c>
      <c r="W1237" s="17">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7" t="n">
        <v>180</v>
      </c>
      <c r="U1238" s="17" t="n">
        <v>10</v>
      </c>
      <c r="V1238" s="17">
        <f>ROUNDUP((T1238+U1238+2*'Read Me'!$B$13)*(1+'Read Me'!$B$12),-1)</f>
        <v/>
      </c>
      <c r="W1238" s="17">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7" t="n">
        <v>0</v>
      </c>
      <c r="U1239" s="17" t="n">
        <v>87</v>
      </c>
      <c r="V1239" s="17">
        <f>ROUNDUP((T1239+U1239+2*'Read Me'!$B$13)*(1+'Read Me'!$B$12),-1)</f>
        <v/>
      </c>
      <c r="W1239" s="17">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7" t="n">
        <v>43</v>
      </c>
      <c r="U1240" s="17" t="n">
        <v>10</v>
      </c>
      <c r="V1240" s="17">
        <f>ROUNDUP((T1240+U1240+2*'Read Me'!$B$13)*(1+'Read Me'!$B$12),-1)</f>
        <v/>
      </c>
      <c r="W1240" s="17">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7" t="n">
        <v>38</v>
      </c>
      <c r="U1241" s="17" t="n">
        <v>86</v>
      </c>
      <c r="V1241" s="17">
        <f>ROUNDUP((T1241+U1241+2*'Read Me'!$B$13)*(1+'Read Me'!$B$12),-1)</f>
        <v/>
      </c>
      <c r="W1241" s="17">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7" t="n">
        <v>43</v>
      </c>
      <c r="U1242" s="17" t="n">
        <v>10</v>
      </c>
      <c r="V1242" s="17">
        <f>ROUNDUP((T1242+U1242+2*'Read Me'!$B$13)*(1+'Read Me'!$B$12),-1)</f>
        <v/>
      </c>
      <c r="W1242" s="17">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7" t="n">
        <v>38</v>
      </c>
      <c r="U1243" s="17" t="n">
        <v>86</v>
      </c>
      <c r="V1243" s="17">
        <f>ROUNDUP((T1243+U1243+2*'Read Me'!$B$13)*(1+'Read Me'!$B$12),-1)</f>
        <v/>
      </c>
      <c r="W1243" s="17">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7" t="n">
        <v>42</v>
      </c>
      <c r="U1244" s="17" t="n">
        <v>10</v>
      </c>
      <c r="V1244" s="17">
        <f>ROUNDUP((T1244+U1244+2*'Read Me'!$B$13)*(1+'Read Me'!$B$12),-1)</f>
        <v/>
      </c>
      <c r="W1244" s="17">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7" t="n">
        <v>404</v>
      </c>
      <c r="U1245" s="17" t="n">
        <v>108</v>
      </c>
      <c r="V1245" s="17">
        <f>ROUNDUP((T1245+U1245+2*'Read Me'!$B$13)*(1+'Read Me'!$B$12),-1)</f>
        <v/>
      </c>
      <c r="W1245" s="17">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7" t="n">
        <v>42</v>
      </c>
      <c r="U1246" s="17" t="n">
        <v>10</v>
      </c>
      <c r="V1246" s="17">
        <f>ROUNDUP((T1246+U1246+2*'Read Me'!$B$13)*(1+'Read Me'!$B$12),-1)</f>
        <v/>
      </c>
      <c r="W1246" s="17">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7" t="n">
        <v>404</v>
      </c>
      <c r="U1247" s="17" t="n">
        <v>108</v>
      </c>
      <c r="V1247" s="17">
        <f>ROUNDUP((T1247+U1247+2*'Read Me'!$B$13)*(1+'Read Me'!$B$12),-1)</f>
        <v/>
      </c>
      <c r="W1247" s="17">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7" t="n">
        <v>106</v>
      </c>
      <c r="U1248" s="17" t="n">
        <v>10</v>
      </c>
      <c r="V1248" s="17">
        <f>ROUNDUP((T1248+U1248+2*'Read Me'!$B$13)*(1+'Read Me'!$B$12),-1)</f>
        <v/>
      </c>
      <c r="W1248" s="17">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7" t="n">
        <v>400</v>
      </c>
      <c r="U1249" s="17" t="n">
        <v>84</v>
      </c>
      <c r="V1249" s="17">
        <f>ROUNDUP((T1249+U1249+2*'Read Me'!$B$13)*(1+'Read Me'!$B$12),-1)</f>
        <v/>
      </c>
      <c r="W1249" s="17">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7" t="n">
        <v>106</v>
      </c>
      <c r="U1250" s="17" t="n">
        <v>10</v>
      </c>
      <c r="V1250" s="17">
        <f>ROUNDUP((T1250+U1250+2*'Read Me'!$B$13)*(1+'Read Me'!$B$12),-1)</f>
        <v/>
      </c>
      <c r="W1250" s="17">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7" t="n">
        <v>400</v>
      </c>
      <c r="U1251" s="17" t="n">
        <v>84</v>
      </c>
      <c r="V1251" s="17">
        <f>ROUNDUP((T1251+U1251+2*'Read Me'!$B$13)*(1+'Read Me'!$B$12),-1)</f>
        <v/>
      </c>
      <c r="W1251" s="17">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7" t="n">
        <v>106</v>
      </c>
      <c r="U1252" s="17" t="n">
        <v>10</v>
      </c>
      <c r="V1252" s="17">
        <f>ROUNDUP((T1252+U1252+2*'Read Me'!$B$13)*(1+'Read Me'!$B$12),-1)</f>
        <v/>
      </c>
      <c r="W1252" s="17">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7" t="n">
        <v>400</v>
      </c>
      <c r="U1253" s="17" t="n">
        <v>84</v>
      </c>
      <c r="V1253" s="17">
        <f>ROUNDUP((T1253+U1253+2*'Read Me'!$B$13)*(1+'Read Me'!$B$12),-1)</f>
        <v/>
      </c>
      <c r="W1253" s="17">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7" t="n">
        <v>41</v>
      </c>
      <c r="U1254" s="17" t="n">
        <v>10</v>
      </c>
      <c r="V1254" s="17">
        <f>ROUNDUP((T1254+U1254+2*'Read Me'!$B$13)*(1+'Read Me'!$B$12),-1)</f>
        <v/>
      </c>
      <c r="W1254" s="17">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7" t="n">
        <v>718</v>
      </c>
      <c r="U1255" s="17" t="n">
        <v>124</v>
      </c>
      <c r="V1255" s="17">
        <f>ROUNDUP((T1255+U1255+2*'Read Me'!$B$13)*(1+'Read Me'!$B$12),-1)</f>
        <v/>
      </c>
      <c r="W1255" s="17">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7" t="n">
        <v>41</v>
      </c>
      <c r="U1256" s="17" t="n">
        <v>10</v>
      </c>
      <c r="V1256" s="17">
        <f>ROUNDUP((T1256+U1256+2*'Read Me'!$B$13)*(1+'Read Me'!$B$12),-1)</f>
        <v/>
      </c>
      <c r="W1256" s="17">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7" t="n">
        <v>718</v>
      </c>
      <c r="U1257" s="17" t="n">
        <v>124</v>
      </c>
      <c r="V1257" s="17">
        <f>ROUNDUP((T1257+U1257+2*'Read Me'!$B$13)*(1+'Read Me'!$B$12),-1)</f>
        <v/>
      </c>
      <c r="W1257" s="17">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7" t="n">
        <v>41</v>
      </c>
      <c r="U1258" s="17" t="n">
        <v>10</v>
      </c>
      <c r="V1258" s="17">
        <f>ROUNDUP((T1258+U1258+2*'Read Me'!$B$13)*(1+'Read Me'!$B$12),-1)</f>
        <v/>
      </c>
      <c r="W1258" s="17">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7" t="n">
        <v>718</v>
      </c>
      <c r="U1259" s="17" t="n">
        <v>146</v>
      </c>
      <c r="V1259" s="17">
        <f>ROUNDUP((T1259+U1259+2*'Read Me'!$B$13)*(1+'Read Me'!$B$12),-1)</f>
        <v/>
      </c>
      <c r="W1259" s="17">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7" t="n">
        <v>41</v>
      </c>
      <c r="U1260" s="17" t="n">
        <v>10</v>
      </c>
      <c r="V1260" s="17">
        <f>ROUNDUP((T1260+U1260+2*'Read Me'!$B$13)*(1+'Read Me'!$B$12),-1)</f>
        <v/>
      </c>
      <c r="W1260" s="17">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7" t="n">
        <v>718</v>
      </c>
      <c r="U1261" s="17" t="n">
        <v>146</v>
      </c>
      <c r="V1261" s="17">
        <f>ROUNDUP((T1261+U1261+2*'Read Me'!$B$13)*(1+'Read Me'!$B$12),-1)</f>
        <v/>
      </c>
      <c r="W1261" s="17">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7" t="n">
        <v>43</v>
      </c>
      <c r="U1262" s="17" t="n">
        <v>10</v>
      </c>
      <c r="V1262" s="17">
        <f>ROUNDUP((T1262+U1262+2*'Read Me'!$B$13)*(1+'Read Me'!$B$12),-1)</f>
        <v/>
      </c>
      <c r="W1262" s="17">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7" t="n">
        <v>359</v>
      </c>
      <c r="U1263" s="17" t="n">
        <v>120</v>
      </c>
      <c r="V1263" s="17">
        <f>ROUNDUP((T1263+U1263+2*'Read Me'!$B$13)*(1+'Read Me'!$B$12),-1)</f>
        <v/>
      </c>
      <c r="W1263" s="17">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7" t="n">
        <v>43</v>
      </c>
      <c r="U1264" s="17" t="n">
        <v>10</v>
      </c>
      <c r="V1264" s="17">
        <f>ROUNDUP((T1264+U1264+2*'Read Me'!$B$13)*(1+'Read Me'!$B$12),-1)</f>
        <v/>
      </c>
      <c r="W1264" s="17">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7" t="n">
        <v>359</v>
      </c>
      <c r="U1265" s="17" t="n">
        <v>120</v>
      </c>
      <c r="V1265" s="17">
        <f>ROUNDUP((T1265+U1265+2*'Read Me'!$B$13)*(1+'Read Me'!$B$12),-1)</f>
        <v/>
      </c>
      <c r="W1265" s="17">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7" t="n">
        <v>43</v>
      </c>
      <c r="U1266" s="17" t="n">
        <v>10</v>
      </c>
      <c r="V1266" s="17">
        <f>ROUNDUP((T1266+U1266+2*'Read Me'!$B$13)*(1+'Read Me'!$B$12),-1)</f>
        <v/>
      </c>
      <c r="W1266" s="17">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7" t="n">
        <v>1233</v>
      </c>
      <c r="U1267" s="17" t="n">
        <v>210</v>
      </c>
      <c r="V1267" s="17">
        <f>ROUNDUP((T1267+U1267+2*'Read Me'!$B$13)*(1+'Read Me'!$B$12),-1)</f>
        <v/>
      </c>
      <c r="W1267" s="17">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7" t="n">
        <v>43</v>
      </c>
      <c r="U1268" s="17" t="n">
        <v>10</v>
      </c>
      <c r="V1268" s="17">
        <f>ROUNDUP((T1268+U1268+2*'Read Me'!$B$13)*(1+'Read Me'!$B$12),-1)</f>
        <v/>
      </c>
      <c r="W1268" s="17">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7" t="n">
        <v>1233</v>
      </c>
      <c r="U1269" s="17" t="n">
        <v>210</v>
      </c>
      <c r="V1269" s="17">
        <f>ROUNDUP((T1269+U1269+2*'Read Me'!$B$13)*(1+'Read Me'!$B$12),-1)</f>
        <v/>
      </c>
      <c r="W1269" s="17">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7" t="n">
        <v>43</v>
      </c>
      <c r="U1270" s="17" t="n">
        <v>10</v>
      </c>
      <c r="V1270" s="17">
        <f>ROUNDUP((T1270+U1270+2*'Read Me'!$B$13)*(1+'Read Me'!$B$12),-1)</f>
        <v/>
      </c>
      <c r="W1270" s="17">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7" t="n">
        <v>1229</v>
      </c>
      <c r="U1271" s="17" t="n">
        <v>198</v>
      </c>
      <c r="V1271" s="17">
        <f>ROUNDUP((T1271+U1271+2*'Read Me'!$B$13)*(1+'Read Me'!$B$12),-1)</f>
        <v/>
      </c>
      <c r="W1271" s="17">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7" t="n">
        <v>43</v>
      </c>
      <c r="U1272" s="17" t="n">
        <v>10</v>
      </c>
      <c r="V1272" s="17">
        <f>ROUNDUP((T1272+U1272+2*'Read Me'!$B$13)*(1+'Read Me'!$B$12),-1)</f>
        <v/>
      </c>
      <c r="W1272" s="17">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7" t="n">
        <v>1229</v>
      </c>
      <c r="U1273" s="17" t="n">
        <v>198</v>
      </c>
      <c r="V1273" s="17">
        <f>ROUNDUP((T1273+U1273+2*'Read Me'!$B$13)*(1+'Read Me'!$B$12),-1)</f>
        <v/>
      </c>
      <c r="W1273" s="17">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7" t="n">
        <v>43</v>
      </c>
      <c r="U1274" s="17" t="n">
        <v>10</v>
      </c>
      <c r="V1274" s="17">
        <f>ROUNDUP((T1274+U1274+2*'Read Me'!$B$13)*(1+'Read Me'!$B$12),-1)</f>
        <v/>
      </c>
      <c r="W1274" s="17">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7" t="n">
        <v>392</v>
      </c>
      <c r="U1275" s="17" t="n">
        <v>105</v>
      </c>
      <c r="V1275" s="17">
        <f>ROUNDUP((T1275+U1275+2*'Read Me'!$B$13)*(1+'Read Me'!$B$12),-1)</f>
        <v/>
      </c>
      <c r="W1275" s="17">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7" t="n">
        <v>43</v>
      </c>
      <c r="U1276" s="17" t="n">
        <v>10</v>
      </c>
      <c r="V1276" s="17">
        <f>ROUNDUP((T1276+U1276+2*'Read Me'!$B$13)*(1+'Read Me'!$B$12),-1)</f>
        <v/>
      </c>
      <c r="W1276" s="17">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7" t="n">
        <v>392</v>
      </c>
      <c r="U1277" s="17" t="n">
        <v>105</v>
      </c>
      <c r="V1277" s="17">
        <f>ROUNDUP((T1277+U1277+2*'Read Me'!$B$13)*(1+'Read Me'!$B$12),-1)</f>
        <v/>
      </c>
      <c r="W1277" s="17">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7" t="n">
        <v>0</v>
      </c>
      <c r="U1278" s="17" t="n">
        <v>73</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7" t="n">
        <v>0</v>
      </c>
      <c r="U1279" s="17" t="n">
        <v>109</v>
      </c>
      <c r="V1279" s="17">
        <f>ROUNDUP((T1279+U1279+2*'Read Me'!$B$13)*(1+'Read Me'!$B$12),-1)</f>
        <v/>
      </c>
      <c r="W1279" s="17">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7" t="n">
        <v>667</v>
      </c>
      <c r="U1280" s="17" t="n">
        <v>144</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7" t="n">
        <v>51</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7" t="n">
        <v>404</v>
      </c>
      <c r="U1282" s="17" t="n">
        <v>72</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7" t="n">
        <v>51</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7" t="n">
        <v>404</v>
      </c>
      <c r="U1284" s="17" t="n">
        <v>72</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7" t="n">
        <v>51</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7" t="n">
        <v>404</v>
      </c>
      <c r="U1286" s="17" t="n">
        <v>72</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7" t="n">
        <v>51</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7" t="n">
        <v>404</v>
      </c>
      <c r="U1288" s="17" t="n">
        <v>72</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7" t="n">
        <v>51</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7" t="n">
        <v>404</v>
      </c>
      <c r="U1290" s="17" t="n">
        <v>72</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7" t="n">
        <v>51</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7" t="n">
        <v>404</v>
      </c>
      <c r="U1292" s="17" t="n">
        <v>72</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7" t="n">
        <v>54</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7" t="n">
        <v>359</v>
      </c>
      <c r="U1294" s="17" t="n">
        <v>147</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7" t="n">
        <v>54</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7" t="n">
        <v>359</v>
      </c>
      <c r="U1296" s="17" t="n">
        <v>147</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7" t="n">
        <v>54</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7" t="n">
        <v>1233</v>
      </c>
      <c r="U1298" s="17" t="n">
        <v>237</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7" t="n">
        <v>54</v>
      </c>
      <c r="U1299" s="17" t="n">
        <v>10</v>
      </c>
      <c r="V1299" s="17">
        <f>ROUNDUP((T1299+U1299+2*'Read Me'!$B$13)*(1+'Read Me'!$B$12),-1)</f>
        <v/>
      </c>
      <c r="W1299" s="17">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7" t="n">
        <v>1233</v>
      </c>
      <c r="U1300" s="17" t="n">
        <v>237</v>
      </c>
      <c r="V1300" s="17">
        <f>ROUNDUP((T1300+U1300+2*'Read Me'!$B$13)*(1+'Read Me'!$B$12),-1)</f>
        <v/>
      </c>
      <c r="W1300" s="17">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7" t="n">
        <v>54</v>
      </c>
      <c r="U1301" s="17" t="n">
        <v>10</v>
      </c>
      <c r="V1301" s="17">
        <f>ROUNDUP((T1301+U1301+2*'Read Me'!$B$13)*(1+'Read Me'!$B$12),-1)</f>
        <v/>
      </c>
      <c r="W1301" s="17">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7" t="n">
        <v>987</v>
      </c>
      <c r="U1302" s="17" t="n">
        <v>184</v>
      </c>
      <c r="V1302" s="17">
        <f>ROUNDUP((T1302+U1302+2*'Read Me'!$B$13)*(1+'Read Me'!$B$12),-1)</f>
        <v/>
      </c>
      <c r="W1302" s="17">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7" t="n">
        <v>54</v>
      </c>
      <c r="U1303" s="17" t="n">
        <v>10</v>
      </c>
      <c r="V1303" s="17">
        <f>ROUNDUP((T1303+U1303+2*'Read Me'!$B$13)*(1+'Read Me'!$B$12),-1)</f>
        <v/>
      </c>
      <c r="W1303" s="17">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7" t="n">
        <v>987</v>
      </c>
      <c r="U1304" s="17" t="n">
        <v>184</v>
      </c>
      <c r="V1304" s="17">
        <f>ROUNDUP((T1304+U1304+2*'Read Me'!$B$13)*(1+'Read Me'!$B$12),-1)</f>
        <v/>
      </c>
      <c r="W1304" s="17">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7" t="n">
        <v>52</v>
      </c>
      <c r="U1305" s="17" t="n">
        <v>10</v>
      </c>
      <c r="V1305" s="17">
        <f>ROUNDUP((T1305+U1305+2*'Read Me'!$B$13)*(1+'Read Me'!$B$12),-1)</f>
        <v/>
      </c>
      <c r="W1305" s="17">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7" t="n">
        <v>403</v>
      </c>
      <c r="U1306" s="17" t="n">
        <v>138</v>
      </c>
      <c r="V1306" s="17">
        <f>ROUNDUP((T1306+U1306+2*'Read Me'!$B$13)*(1+'Read Me'!$B$12),-1)</f>
        <v/>
      </c>
      <c r="W1306" s="17">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7" t="n">
        <v>52</v>
      </c>
      <c r="U1307" s="17" t="n">
        <v>10</v>
      </c>
      <c r="V1307" s="17">
        <f>ROUNDUP((T1307+U1307+2*'Read Me'!$B$13)*(1+'Read Me'!$B$12),-1)</f>
        <v/>
      </c>
      <c r="W1307" s="17">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7" t="n">
        <v>403</v>
      </c>
      <c r="U1308" s="17" t="n">
        <v>138</v>
      </c>
      <c r="V1308" s="17">
        <f>ROUNDUP((T1308+U1308+2*'Read Me'!$B$13)*(1+'Read Me'!$B$12),-1)</f>
        <v/>
      </c>
      <c r="W1308" s="17">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7" t="n">
        <v>52</v>
      </c>
      <c r="U1309" s="17" t="n">
        <v>10</v>
      </c>
      <c r="V1309" s="17">
        <f>ROUNDUP((T1309+U1309+2*'Read Me'!$B$13)*(1+'Read Me'!$B$12),-1)</f>
        <v/>
      </c>
      <c r="W1309" s="17">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7" t="n">
        <v>1277</v>
      </c>
      <c r="U1310" s="17" t="n">
        <v>228</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7" t="n">
        <v>52</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7" t="n">
        <v>1277</v>
      </c>
      <c r="U1312" s="17" t="n">
        <v>228</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7" t="n">
        <v>52</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7" t="n">
        <v>1214</v>
      </c>
      <c r="U1314" s="17" t="n">
        <v>126</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7" t="n">
        <v>52</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7" t="n">
        <v>1214</v>
      </c>
      <c r="U1316" s="17" t="n">
        <v>126</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7" t="n">
        <v>40</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395</v>
      </c>
      <c r="U1318" s="17" t="n">
        <v>124</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7" t="n">
        <v>40</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395</v>
      </c>
      <c r="U1320" s="17" t="n">
        <v>124</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7" t="n">
        <v>40</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1269</v>
      </c>
      <c r="U1322" s="17" t="n">
        <v>214</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7" t="n">
        <v>40</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1269</v>
      </c>
      <c r="U1324" s="17" t="n">
        <v>214</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7" t="n">
        <v>40</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7" t="n">
        <v>1193</v>
      </c>
      <c r="U1326" s="17" t="n">
        <v>114</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7" t="n">
        <v>40</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7" t="n">
        <v>1193</v>
      </c>
      <c r="U1328" s="17" t="n">
        <v>114</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7" t="n">
        <v>62</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7" t="n">
        <v>67</v>
      </c>
      <c r="U1330" s="17" t="n">
        <v>84</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7" t="n">
        <v>62</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7" t="n">
        <v>67</v>
      </c>
      <c r="U1332" s="17" t="n">
        <v>84</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7" t="n">
        <v>62</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67</v>
      </c>
      <c r="U1334" s="17" t="n">
        <v>84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7" t="n">
        <v>62</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67</v>
      </c>
      <c r="U1336" s="17" t="n">
        <v>84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7" t="n">
        <v>119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7" t="n">
        <v>12</v>
      </c>
      <c r="U1338" s="17" t="n">
        <v>50</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7" t="n">
        <v>119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7" t="n">
        <v>12</v>
      </c>
      <c r="U1340" s="17" t="n">
        <v>50</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7" t="n">
        <v>119</v>
      </c>
      <c r="U1341" s="17" t="n">
        <v>10</v>
      </c>
      <c r="V1341" s="17">
        <f>ROUNDUP((T1341+U1341+2*'Read Me'!$B$13)*(1+'Read Me'!$B$12),-1)</f>
        <v/>
      </c>
      <c r="W1341" s="17">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7" t="n">
        <v>12</v>
      </c>
      <c r="U1342" s="17" t="n">
        <v>50</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7" t="n">
        <v>119</v>
      </c>
      <c r="U1343" s="17" t="n">
        <v>10</v>
      </c>
      <c r="V1343" s="17">
        <f>ROUNDUP((T1343+U1343+2*'Read Me'!$B$13)*(1+'Read Me'!$B$12),-1)</f>
        <v/>
      </c>
      <c r="W1343" s="17">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7" t="n">
        <v>12</v>
      </c>
      <c r="U1344" s="17" t="n">
        <v>50</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7" t="n">
        <v>119</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7" t="n">
        <v>12</v>
      </c>
      <c r="U1346" s="17" t="n">
        <v>50</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7" t="n">
        <v>119</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7" t="n">
        <v>12</v>
      </c>
      <c r="U1348" s="17" t="n">
        <v>50</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7" t="n">
        <v>119</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12</v>
      </c>
      <c r="U1350" s="17" t="n">
        <v>50</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7" t="n">
        <v>119</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12</v>
      </c>
      <c r="U1352" s="17" t="n">
        <v>50</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7" t="n">
        <v>119</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12</v>
      </c>
      <c r="U1354" s="17" t="n">
        <v>50</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7" t="n">
        <v>119</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12</v>
      </c>
      <c r="U1356" s="17" t="n">
        <v>50</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7" t="n">
        <v>119</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7" t="n">
        <v>12</v>
      </c>
      <c r="U1358" s="17" t="n">
        <v>50</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7" t="n">
        <v>119</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7" t="n">
        <v>12</v>
      </c>
      <c r="U1360" s="17" t="n">
        <v>50</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7" t="n">
        <v>119</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7" t="n">
        <v>12</v>
      </c>
      <c r="U1362" s="17" t="n">
        <v>50</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7" t="n">
        <v>119</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7" t="n">
        <v>12</v>
      </c>
      <c r="U1364" s="17" t="n">
        <v>50</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7" t="n">
        <v>119</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7" t="n">
        <v>12</v>
      </c>
      <c r="U1366" s="17" t="n">
        <v>50</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7" t="n">
        <v>12</v>
      </c>
      <c r="U1367" s="17" t="n">
        <v>50</v>
      </c>
      <c r="V1367" s="17">
        <f>ROUNDUP((T1367+U1367+2*'Read Me'!$B$13)*(1+'Read Me'!$B$12),-1)</f>
        <v/>
      </c>
      <c r="W1367" s="17">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7" t="n">
        <v>74</v>
      </c>
      <c r="U1368" s="17" t="n">
        <v>10</v>
      </c>
      <c r="V1368" s="17">
        <f>ROUNDUP((T1368+U1368+2*'Read Me'!$B$13)*(1+'Read Me'!$B$12),-1)</f>
        <v/>
      </c>
      <c r="W1368" s="17">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7" t="n">
        <v>517</v>
      </c>
      <c r="U1369" s="17" t="n">
        <v>35</v>
      </c>
      <c r="V1369" s="17">
        <f>ROUNDUP((T1369+U1369+2*'Read Me'!$B$13)*(1+'Read Me'!$B$12),-1)</f>
        <v/>
      </c>
      <c r="W1369" s="17">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7" t="n">
        <v>74</v>
      </c>
      <c r="U1370" s="17" t="n">
        <v>10</v>
      </c>
      <c r="V1370" s="17">
        <f>ROUNDUP((T1370+U1370+2*'Read Me'!$B$13)*(1+'Read Me'!$B$12),-1)</f>
        <v/>
      </c>
      <c r="W1370" s="17">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7" t="n">
        <v>517</v>
      </c>
      <c r="U1371" s="17" t="n">
        <v>35</v>
      </c>
      <c r="V1371" s="17">
        <f>ROUNDUP((T1371+U1371+2*'Read Me'!$B$13)*(1+'Read Me'!$B$12),-1)</f>
        <v/>
      </c>
      <c r="W1371" s="17">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7" t="n">
        <v>74</v>
      </c>
      <c r="U1372" s="17" t="n">
        <v>10</v>
      </c>
      <c r="V1372" s="17">
        <f>ROUNDUP((T1372+U1372+2*'Read Me'!$B$13)*(1+'Read Me'!$B$12),-1)</f>
        <v/>
      </c>
      <c r="W1372" s="17">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7" t="n">
        <v>517</v>
      </c>
      <c r="U1373" s="17" t="n">
        <v>35</v>
      </c>
      <c r="V1373" s="17">
        <f>ROUNDUP((T1373+U1373+2*'Read Me'!$B$13)*(1+'Read Me'!$B$12),-1)</f>
        <v/>
      </c>
      <c r="W1373" s="17">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7" t="n">
        <v>74</v>
      </c>
      <c r="U1374" s="17" t="n">
        <v>10</v>
      </c>
      <c r="V1374" s="17">
        <f>ROUNDUP((T1374+U1374+2*'Read Me'!$B$13)*(1+'Read Me'!$B$12),-1)</f>
        <v/>
      </c>
      <c r="W1374" s="17">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7" t="n">
        <v>517</v>
      </c>
      <c r="U1375" s="17" t="n">
        <v>35</v>
      </c>
      <c r="V1375" s="17">
        <f>ROUNDUP((T1375+U1375+2*'Read Me'!$B$13)*(1+'Read Me'!$B$12),-1)</f>
        <v/>
      </c>
      <c r="W1375" s="17">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7" t="n">
        <v>74</v>
      </c>
      <c r="U1376" s="17" t="n">
        <v>10</v>
      </c>
      <c r="V1376" s="17">
        <f>ROUNDUP((T1376+U1376+2*'Read Me'!$B$13)*(1+'Read Me'!$B$12),-1)</f>
        <v/>
      </c>
      <c r="W1376" s="17">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7" t="n">
        <v>517</v>
      </c>
      <c r="U1377" s="17" t="n">
        <v>35</v>
      </c>
      <c r="V1377" s="17">
        <f>ROUNDUP((T1377+U1377+2*'Read Me'!$B$13)*(1+'Read Me'!$B$12),-1)</f>
        <v/>
      </c>
      <c r="W1377" s="17">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7" t="n">
        <v>517</v>
      </c>
      <c r="U1378" s="17" t="n">
        <v>35</v>
      </c>
      <c r="V1378" s="17">
        <f>ROUNDUP((T1378+U1378+2*'Read Me'!$B$13)*(1+'Read Me'!$B$12),-1)</f>
        <v/>
      </c>
      <c r="W1378" s="17">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7" t="n">
        <v>75</v>
      </c>
      <c r="U1379" s="17" t="n">
        <v>10</v>
      </c>
      <c r="V1379" s="17">
        <f>ROUNDUP((T1379+U1379+2*'Read Me'!$B$13)*(1+'Read Me'!$B$12),-1)</f>
        <v/>
      </c>
      <c r="W1379" s="17">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7" t="n">
        <v>258</v>
      </c>
      <c r="U1380" s="17" t="n">
        <v>32</v>
      </c>
      <c r="V1380" s="17">
        <f>ROUNDUP((T1380+U1380+2*'Read Me'!$B$13)*(1+'Read Me'!$B$12),-1)</f>
        <v/>
      </c>
      <c r="W1380" s="17">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7" t="n">
        <v>75</v>
      </c>
      <c r="U1381" s="17" t="n">
        <v>10</v>
      </c>
      <c r="V1381" s="17">
        <f>ROUNDUP((T1381+U1381+2*'Read Me'!$B$13)*(1+'Read Me'!$B$12),-1)</f>
        <v/>
      </c>
      <c r="W1381" s="17">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7" t="n">
        <v>258</v>
      </c>
      <c r="U1382" s="17" t="n">
        <v>32</v>
      </c>
      <c r="V1382" s="17">
        <f>ROUNDUP((T1382+U1382+2*'Read Me'!$B$13)*(1+'Read Me'!$B$12),-1)</f>
        <v/>
      </c>
      <c r="W1382" s="17">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7" t="n">
        <v>75</v>
      </c>
      <c r="U1383" s="17" t="n">
        <v>10</v>
      </c>
      <c r="V1383" s="17">
        <f>ROUNDUP((T1383+U1383+2*'Read Me'!$B$13)*(1+'Read Me'!$B$12),-1)</f>
        <v/>
      </c>
      <c r="W1383" s="17">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7" t="n">
        <v>258</v>
      </c>
      <c r="U1384" s="17" t="n">
        <v>32</v>
      </c>
      <c r="V1384" s="17">
        <f>ROUNDUP((T1384+U1384+2*'Read Me'!$B$13)*(1+'Read Me'!$B$12),-1)</f>
        <v/>
      </c>
      <c r="W1384" s="17">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7" t="n">
        <v>41</v>
      </c>
      <c r="U1385" s="17" t="n">
        <v>10</v>
      </c>
      <c r="V1385" s="17">
        <f>ROUNDUP((T1385+U1385+2*'Read Me'!$B$13)*(1+'Read Me'!$B$12),-1)</f>
        <v/>
      </c>
      <c r="W1385" s="17">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7" t="n">
        <v>0</v>
      </c>
      <c r="U1386" s="17" t="n">
        <v>86</v>
      </c>
      <c r="V1386" s="17">
        <f>ROUNDUP((T1386+U1386+2*'Read Me'!$B$13)*(1+'Read Me'!$B$12),-1)</f>
        <v/>
      </c>
      <c r="W1386" s="17">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7" t="n">
        <v>41</v>
      </c>
      <c r="U1387" s="17" t="n">
        <v>10</v>
      </c>
      <c r="V1387" s="17">
        <f>ROUNDUP((T1387+U1387+2*'Read Me'!$B$13)*(1+'Read Me'!$B$12),-1)</f>
        <v/>
      </c>
      <c r="W1387" s="17">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7" t="n">
        <v>0</v>
      </c>
      <c r="U1388" s="17" t="n">
        <v>86</v>
      </c>
      <c r="V1388" s="17">
        <f>ROUNDUP((T1388+U1388+2*'Read Me'!$B$13)*(1+'Read Me'!$B$12),-1)</f>
        <v/>
      </c>
      <c r="W1388" s="17">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7" t="n">
        <v>41</v>
      </c>
      <c r="U1389" s="17" t="n">
        <v>10</v>
      </c>
      <c r="V1389" s="17">
        <f>ROUNDUP((T1389+U1389+2*'Read Me'!$B$13)*(1+'Read Me'!$B$12),-1)</f>
        <v/>
      </c>
      <c r="W1389" s="17">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7" t="n">
        <v>0</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7" t="n">
        <v>41</v>
      </c>
      <c r="U1391" s="17" t="n">
        <v>10</v>
      </c>
      <c r="V1391" s="17">
        <f>ROUNDUP((T1391+U1391+2*'Read Me'!$B$13)*(1+'Read Me'!$B$12),-1)</f>
        <v/>
      </c>
      <c r="W1391" s="17">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7" t="n">
        <v>0</v>
      </c>
      <c r="U1392" s="17" t="n">
        <v>97</v>
      </c>
      <c r="V1392" s="17">
        <f>ROUNDUP((T1392+U1392+2*'Read Me'!$B$13)*(1+'Read Me'!$B$12),-1)</f>
        <v/>
      </c>
      <c r="W1392" s="17">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7" t="n">
        <v>41</v>
      </c>
      <c r="U1393" s="17" t="n">
        <v>10</v>
      </c>
      <c r="V1393" s="17">
        <f>ROUNDUP((T1393+U1393+2*'Read Me'!$B$13)*(1+'Read Me'!$B$12),-1)</f>
        <v/>
      </c>
      <c r="W1393" s="17">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7" t="n">
        <v>0</v>
      </c>
      <c r="U1394" s="17" t="n">
        <v>97</v>
      </c>
      <c r="V1394" s="17">
        <f>ROUNDUP((T1394+U1394+2*'Read Me'!$B$13)*(1+'Read Me'!$B$12),-1)</f>
        <v/>
      </c>
      <c r="W1394" s="17">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7" t="n">
        <v>41</v>
      </c>
      <c r="U1395" s="17" t="n">
        <v>10</v>
      </c>
      <c r="V1395" s="17">
        <f>ROUNDUP((T1395+U1395+2*'Read Me'!$B$13)*(1+'Read Me'!$B$12),-1)</f>
        <v/>
      </c>
      <c r="W1395" s="17">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7" t="n">
        <v>0</v>
      </c>
      <c r="U1396" s="17" t="n">
        <v>97</v>
      </c>
      <c r="V1396" s="17">
        <f>ROUNDUP((T1396+U1396+2*'Read Me'!$B$13)*(1+'Read Me'!$B$12),-1)</f>
        <v/>
      </c>
      <c r="W1396" s="17">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7" t="n">
        <v>41</v>
      </c>
      <c r="U1397" s="17" t="n">
        <v>10</v>
      </c>
      <c r="V1397" s="17">
        <f>ROUNDUP((T1397+U1397+2*'Read Me'!$B$13)*(1+'Read Me'!$B$12),-1)</f>
        <v/>
      </c>
      <c r="W1397" s="17">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7" t="n">
        <v>0</v>
      </c>
      <c r="U1398" s="17" t="n">
        <v>71</v>
      </c>
      <c r="V1398" s="17">
        <f>ROUNDUP((T1398+U1398+2*'Read Me'!$B$13)*(1+'Read Me'!$B$12),-1)</f>
        <v/>
      </c>
      <c r="W1398" s="17">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7" t="n">
        <v>41</v>
      </c>
      <c r="U1399" s="17" t="n">
        <v>10</v>
      </c>
      <c r="V1399" s="17">
        <f>ROUNDUP((T1399+U1399+2*'Read Me'!$B$13)*(1+'Read Me'!$B$12),-1)</f>
        <v/>
      </c>
      <c r="W1399" s="17">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7" t="n">
        <v>0</v>
      </c>
      <c r="U1400" s="17" t="n">
        <v>71</v>
      </c>
      <c r="V1400" s="17">
        <f>ROUNDUP((T1400+U1400+2*'Read Me'!$B$13)*(1+'Read Me'!$B$12),-1)</f>
        <v/>
      </c>
      <c r="W1400" s="17">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7" t="n">
        <v>49</v>
      </c>
      <c r="U1401" s="17" t="n">
        <v>10</v>
      </c>
      <c r="V1401" s="17">
        <f>ROUNDUP((T1401+U1401+2*'Read Me'!$B$13)*(1+'Read Me'!$B$12),-1)</f>
        <v/>
      </c>
      <c r="W1401" s="17">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7" t="n">
        <v>730</v>
      </c>
      <c r="U1402" s="17" t="n">
        <v>124</v>
      </c>
      <c r="V1402" s="17">
        <f>ROUNDUP((T1402+U1402+2*'Read Me'!$B$13)*(1+'Read Me'!$B$12),-1)</f>
        <v/>
      </c>
      <c r="W1402" s="17">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7" t="n">
        <v>49</v>
      </c>
      <c r="U1403" s="17" t="n">
        <v>10</v>
      </c>
      <c r="V1403" s="17">
        <f>ROUNDUP((T1403+U1403+2*'Read Me'!$B$13)*(1+'Read Me'!$B$12),-1)</f>
        <v/>
      </c>
      <c r="W1403" s="17">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7" t="n">
        <v>730</v>
      </c>
      <c r="U1404" s="17" t="n">
        <v>124</v>
      </c>
      <c r="V1404" s="17">
        <f>ROUNDUP((T1404+U1404+2*'Read Me'!$B$13)*(1+'Read Me'!$B$12),-1)</f>
        <v/>
      </c>
      <c r="W1404" s="17">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7" t="n">
        <v>49</v>
      </c>
      <c r="U1405" s="17" t="n">
        <v>10</v>
      </c>
      <c r="V1405" s="17">
        <f>ROUNDUP((T1405+U1405+2*'Read Me'!$B$13)*(1+'Read Me'!$B$12),-1)</f>
        <v/>
      </c>
      <c r="W1405" s="17">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7" t="n">
        <v>752</v>
      </c>
      <c r="U1406" s="17" t="n">
        <v>124</v>
      </c>
      <c r="V1406" s="17">
        <f>ROUNDUP((T1406+U1406+2*'Read Me'!$B$13)*(1+'Read Me'!$B$12),-1)</f>
        <v/>
      </c>
      <c r="W1406" s="17">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7" t="n">
        <v>49</v>
      </c>
      <c r="U1407" s="17" t="n">
        <v>10</v>
      </c>
      <c r="V1407" s="17">
        <f>ROUNDUP((T1407+U1407+2*'Read Me'!$B$13)*(1+'Read Me'!$B$12),-1)</f>
        <v/>
      </c>
      <c r="W1407" s="17">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7" t="n">
        <v>752</v>
      </c>
      <c r="U1408" s="17" t="n">
        <v>124</v>
      </c>
      <c r="V1408" s="17">
        <f>ROUNDUP((T1408+U1408+2*'Read Me'!$B$13)*(1+'Read Me'!$B$12),-1)</f>
        <v/>
      </c>
      <c r="W1408" s="17">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7" t="n">
        <v>178</v>
      </c>
      <c r="U1409" s="17" t="n">
        <v>94</v>
      </c>
      <c r="V1409" s="17">
        <f>ROUNDUP((T1409+U1409+2*'Read Me'!$B$13)*(1+'Read Me'!$B$12),-1)</f>
        <v/>
      </c>
      <c r="W1409" s="17">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7" t="n">
        <v>1069</v>
      </c>
      <c r="U1410" s="17" t="n">
        <v>184</v>
      </c>
      <c r="V1410" s="17">
        <f>ROUNDUP((T1410+U1410+2*'Read Me'!$B$13)*(1+'Read Me'!$B$12),-1)</f>
        <v/>
      </c>
      <c r="W1410" s="17">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7" t="n">
        <v>1024</v>
      </c>
      <c r="U1411" s="17" t="n">
        <v>240</v>
      </c>
      <c r="V1411" s="17">
        <f>ROUNDUP((T1411+U1411+2*'Read Me'!$B$13)*(1+'Read Me'!$B$12),-1)</f>
        <v/>
      </c>
      <c r="W1411" s="17">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7" t="n">
        <v>408</v>
      </c>
      <c r="U1412" s="17" t="n">
        <v>183</v>
      </c>
      <c r="V1412" s="17">
        <f>ROUNDUP((T1412+U1412+2*'Read Me'!$B$13)*(1+'Read Me'!$B$12),-1)</f>
        <v/>
      </c>
      <c r="W1412" s="17">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7" t="n">
        <v>51</v>
      </c>
      <c r="U1413" s="17" t="n">
        <v>10</v>
      </c>
      <c r="V1413" s="17">
        <f>ROUNDUP((T1413+U1413+2*'Read Me'!$B$13)*(1+'Read Me'!$B$12),-1)</f>
        <v/>
      </c>
      <c r="W1413" s="17">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7" t="n">
        <v>566</v>
      </c>
      <c r="U1414" s="17" t="n">
        <v>158</v>
      </c>
      <c r="V1414" s="17">
        <f>ROUNDUP((T1414+U1414+2*'Read Me'!$B$13)*(1+'Read Me'!$B$12),-1)</f>
        <v/>
      </c>
      <c r="W1414" s="17">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7" t="n">
        <v>51</v>
      </c>
      <c r="U1415" s="17" t="n">
        <v>10</v>
      </c>
      <c r="V1415" s="17">
        <f>ROUNDUP((T1415+U1415+2*'Read Me'!$B$13)*(1+'Read Me'!$B$12),-1)</f>
        <v/>
      </c>
      <c r="W1415" s="17">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7" t="n">
        <v>566</v>
      </c>
      <c r="U1416" s="17" t="n">
        <v>158</v>
      </c>
      <c r="V1416" s="17">
        <f>ROUNDUP((T1416+U1416+2*'Read Me'!$B$13)*(1+'Read Me'!$B$12),-1)</f>
        <v/>
      </c>
      <c r="W1416" s="17">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7" t="n">
        <v>51</v>
      </c>
      <c r="U1417" s="17" t="n">
        <v>10</v>
      </c>
      <c r="V1417" s="17">
        <f>ROUNDUP((T1417+U1417+2*'Read Me'!$B$13)*(1+'Read Me'!$B$12),-1)</f>
        <v/>
      </c>
      <c r="W1417" s="17">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7" t="n">
        <v>1423</v>
      </c>
      <c r="U1418" s="17" t="n">
        <v>96</v>
      </c>
      <c r="V1418" s="17">
        <f>ROUNDUP((T1418+U1418+2*'Read Me'!$B$13)*(1+'Read Me'!$B$12),-1)</f>
        <v/>
      </c>
      <c r="W1418" s="17">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7" t="n">
        <v>51</v>
      </c>
      <c r="U1419" s="17" t="n">
        <v>10</v>
      </c>
      <c r="V1419" s="17">
        <f>ROUNDUP((T1419+U1419+2*'Read Me'!$B$13)*(1+'Read Me'!$B$12),-1)</f>
        <v/>
      </c>
      <c r="W1419" s="17">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7" t="n">
        <v>1423</v>
      </c>
      <c r="U1420" s="17" t="n">
        <v>96</v>
      </c>
      <c r="V1420" s="17">
        <f>ROUNDUP((T1420+U1420+2*'Read Me'!$B$13)*(1+'Read Me'!$B$12),-1)</f>
        <v/>
      </c>
      <c r="W1420" s="17">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7" t="n">
        <v>51</v>
      </c>
      <c r="U1421" s="17" t="n">
        <v>10</v>
      </c>
      <c r="V1421" s="17">
        <f>ROUNDUP((T1421+U1421+2*'Read Me'!$B$13)*(1+'Read Me'!$B$12),-1)</f>
        <v/>
      </c>
      <c r="W1421" s="17">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7" t="n">
        <v>1103</v>
      </c>
      <c r="U1422" s="17" t="n">
        <v>96</v>
      </c>
      <c r="V1422" s="17">
        <f>ROUNDUP((T1422+U1422+2*'Read Me'!$B$13)*(1+'Read Me'!$B$12),-1)</f>
        <v/>
      </c>
      <c r="W1422" s="17">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7" t="n">
        <v>51</v>
      </c>
      <c r="U1423" s="17" t="n">
        <v>10</v>
      </c>
      <c r="V1423" s="17">
        <f>ROUNDUP((T1423+U1423+2*'Read Me'!$B$13)*(1+'Read Me'!$B$12),-1)</f>
        <v/>
      </c>
      <c r="W1423" s="17">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7" t="n">
        <v>1103</v>
      </c>
      <c r="U1424" s="17" t="n">
        <v>96</v>
      </c>
      <c r="V1424" s="17">
        <f>ROUNDUP((T1424+U1424+2*'Read Me'!$B$13)*(1+'Read Me'!$B$12),-1)</f>
        <v/>
      </c>
      <c r="W1424" s="17">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7" t="n">
        <v>52</v>
      </c>
      <c r="U1425" s="17" t="n">
        <v>10</v>
      </c>
      <c r="V1425" s="17">
        <f>ROUNDUP((T1425+U1425+2*'Read Me'!$B$13)*(1+'Read Me'!$B$12),-1)</f>
        <v/>
      </c>
      <c r="W1425" s="17">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7" t="n">
        <v>183</v>
      </c>
      <c r="U1426" s="17" t="n">
        <v>94</v>
      </c>
      <c r="V1426" s="17">
        <f>ROUNDUP((T1426+U1426+2*'Read Me'!$B$13)*(1+'Read Me'!$B$12),-1)</f>
        <v/>
      </c>
      <c r="W1426" s="17">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7" t="n">
        <v>52</v>
      </c>
      <c r="U1427" s="17" t="n">
        <v>10</v>
      </c>
      <c r="V1427" s="17">
        <f>ROUNDUP((T1427+U1427+2*'Read Me'!$B$13)*(1+'Read Me'!$B$12),-1)</f>
        <v/>
      </c>
      <c r="W1427" s="17">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7" t="n">
        <v>183</v>
      </c>
      <c r="U1428" s="17" t="n">
        <v>94</v>
      </c>
      <c r="V1428" s="17">
        <f>ROUNDUP((T1428+U1428+2*'Read Me'!$B$13)*(1+'Read Me'!$B$12),-1)</f>
        <v/>
      </c>
      <c r="W1428" s="17">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7" t="n">
        <v>52</v>
      </c>
      <c r="U1429" s="17" t="n">
        <v>10</v>
      </c>
      <c r="V1429" s="17">
        <f>ROUNDUP((T1429+U1429+2*'Read Me'!$B$13)*(1+'Read Me'!$B$12),-1)</f>
        <v/>
      </c>
      <c r="W1429" s="17">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7" t="n">
        <v>1075</v>
      </c>
      <c r="U1430" s="17" t="n">
        <v>188</v>
      </c>
      <c r="V1430" s="17">
        <f>ROUNDUP((T1430+U1430+2*'Read Me'!$B$13)*(1+'Read Me'!$B$12),-1)</f>
        <v/>
      </c>
      <c r="W1430" s="17">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7" t="n">
        <v>52</v>
      </c>
      <c r="U1431" s="17" t="n">
        <v>10</v>
      </c>
      <c r="V1431" s="17">
        <f>ROUNDUP((T1431+U1431+2*'Read Me'!$B$13)*(1+'Read Me'!$B$12),-1)</f>
        <v/>
      </c>
      <c r="W1431" s="17">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7" t="n">
        <v>1075</v>
      </c>
      <c r="U1432" s="17" t="n">
        <v>188</v>
      </c>
      <c r="V1432" s="17">
        <f>ROUNDUP((T1432+U1432+2*'Read Me'!$B$13)*(1+'Read Me'!$B$12),-1)</f>
        <v/>
      </c>
      <c r="W1432" s="17">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7" t="n">
        <v>52</v>
      </c>
      <c r="U1433" s="17" t="n">
        <v>10</v>
      </c>
      <c r="V1433" s="17">
        <f>ROUNDUP((T1433+U1433+2*'Read Me'!$B$13)*(1+'Read Me'!$B$12),-1)</f>
        <v/>
      </c>
      <c r="W1433" s="17">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7" t="n">
        <v>1024</v>
      </c>
      <c r="U1434" s="17" t="n">
        <v>267</v>
      </c>
      <c r="V1434" s="17">
        <f>ROUNDUP((T1434+U1434+2*'Read Me'!$B$13)*(1+'Read Me'!$B$12),-1)</f>
        <v/>
      </c>
      <c r="W1434" s="17">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7" t="n">
        <v>52</v>
      </c>
      <c r="U1435" s="17" t="n">
        <v>10</v>
      </c>
      <c r="V1435" s="17">
        <f>ROUNDUP((T1435+U1435+2*'Read Me'!$B$13)*(1+'Read Me'!$B$12),-1)</f>
        <v/>
      </c>
      <c r="W1435" s="17">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7" t="n">
        <v>1024</v>
      </c>
      <c r="U1436" s="17" t="n">
        <v>267</v>
      </c>
      <c r="V1436" s="17">
        <f>ROUNDUP((T1436+U1436+2*'Read Me'!$B$13)*(1+'Read Me'!$B$12),-1)</f>
        <v/>
      </c>
      <c r="W1436" s="17">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7" t="n">
        <v>88</v>
      </c>
      <c r="U1437" s="17" t="n">
        <v>84</v>
      </c>
      <c r="V1437" s="17">
        <f>ROUNDUP((T1437+U1437+2*'Read Me'!$B$13)*(1+'Read Me'!$B$12),-1)</f>
        <v/>
      </c>
      <c r="W1437" s="17">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7" t="n">
        <v>88</v>
      </c>
      <c r="U1438" s="17" t="n">
        <v>84</v>
      </c>
      <c r="V1438" s="17">
        <f>ROUNDUP((T1438+U1438+2*'Read Me'!$B$13)*(1+'Read Me'!$B$12),-1)</f>
        <v/>
      </c>
      <c r="W1438" s="17">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7" t="n">
        <v>88</v>
      </c>
      <c r="U1439" s="17" t="n">
        <v>84</v>
      </c>
      <c r="V1439" s="17">
        <f>ROUNDUP((T1439+U1439+2*'Read Me'!$B$13)*(1+'Read Me'!$B$12),-1)</f>
        <v/>
      </c>
      <c r="W1439" s="17">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7" t="n">
        <v>481</v>
      </c>
      <c r="U1440" s="17" t="n">
        <v>84</v>
      </c>
      <c r="V1440" s="17">
        <f>ROUNDUP((T1440+U1440+2*'Read Me'!$B$13)*(1+'Read Me'!$B$12),-1)</f>
        <v/>
      </c>
      <c r="W1440" s="17">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7" t="n">
        <v>481</v>
      </c>
      <c r="U1441" s="17" t="n">
        <v>84</v>
      </c>
      <c r="V1441" s="17">
        <f>ROUNDUP((T1441+U1441+2*'Read Me'!$B$13)*(1+'Read Me'!$B$12),-1)</f>
        <v/>
      </c>
      <c r="W1441" s="17">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7" t="n">
        <v>481</v>
      </c>
      <c r="U1442" s="17" t="n">
        <v>84</v>
      </c>
      <c r="V1442" s="17">
        <f>ROUNDUP((T1442+U1442+2*'Read Me'!$B$13)*(1+'Read Me'!$B$12),-1)</f>
        <v/>
      </c>
      <c r="W1442" s="17">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7" t="n">
        <v>481</v>
      </c>
      <c r="U1443" s="17" t="n">
        <v>84</v>
      </c>
      <c r="V1443" s="17">
        <f>ROUNDUP((T1443+U1443+2*'Read Me'!$B$13)*(1+'Read Me'!$B$12),-1)</f>
        <v/>
      </c>
      <c r="W1443" s="17">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7" t="n">
        <v>481</v>
      </c>
      <c r="U1444" s="17" t="n">
        <v>85</v>
      </c>
      <c r="V1444" s="17">
        <f>ROUNDUP((T1444+U1444+2*'Read Me'!$B$13)*(1+'Read Me'!$B$12),-1)</f>
        <v/>
      </c>
      <c r="W1444" s="17">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7" t="n">
        <v>481</v>
      </c>
      <c r="U1445" s="17" t="n">
        <v>85</v>
      </c>
      <c r="V1445" s="17">
        <f>ROUNDUP((T1445+U1445+2*'Read Me'!$B$13)*(1+'Read Me'!$B$12),-1)</f>
        <v/>
      </c>
      <c r="W1445" s="17">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7" t="n">
        <v>481</v>
      </c>
      <c r="U1446" s="17" t="n">
        <v>85</v>
      </c>
      <c r="V1446" s="17">
        <f>ROUNDUP((T1446+U1446+2*'Read Me'!$B$13)*(1+'Read Me'!$B$12),-1)</f>
        <v/>
      </c>
      <c r="W1446" s="17">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7" t="n">
        <v>481</v>
      </c>
      <c r="U1447" s="17" t="n">
        <v>85</v>
      </c>
      <c r="V1447" s="17">
        <f>ROUNDUP((T1447+U1447+2*'Read Me'!$B$13)*(1+'Read Me'!$B$12),-1)</f>
        <v/>
      </c>
      <c r="W1447" s="17">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7" t="n">
        <v>479</v>
      </c>
      <c r="U1448" s="17" t="n">
        <v>84</v>
      </c>
      <c r="V1448" s="17">
        <f>ROUNDUP((T1448+U1448+2*'Read Me'!$B$13)*(1+'Read Me'!$B$12),-1)</f>
        <v/>
      </c>
      <c r="W1448" s="17">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7" t="n">
        <v>479</v>
      </c>
      <c r="U1449" s="17" t="n">
        <v>84</v>
      </c>
      <c r="V1449" s="17">
        <f>ROUNDUP((T1449+U1449+2*'Read Me'!$B$13)*(1+'Read Me'!$B$12),-1)</f>
        <v/>
      </c>
      <c r="W1449" s="17">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7" t="n">
        <v>479</v>
      </c>
      <c r="U1450" s="17" t="n">
        <v>84</v>
      </c>
      <c r="V1450" s="17">
        <f>ROUNDUP((T1450+U1450+2*'Read Me'!$B$13)*(1+'Read Me'!$B$12),-1)</f>
        <v/>
      </c>
      <c r="W1450" s="17">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7" t="n">
        <v>479</v>
      </c>
      <c r="U1451" s="17" t="n">
        <v>84</v>
      </c>
      <c r="V1451" s="17">
        <f>ROUNDUP((T1451+U1451+2*'Read Me'!$B$13)*(1+'Read Me'!$B$12),-1)</f>
        <v/>
      </c>
      <c r="W1451" s="17">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7" t="n">
        <v>481</v>
      </c>
      <c r="U1452" s="17" t="n">
        <v>84</v>
      </c>
      <c r="V1452" s="17">
        <f>ROUNDUP((T1452+U1452+2*'Read Me'!$B$13)*(1+'Read Me'!$B$12),-1)</f>
        <v/>
      </c>
      <c r="W1452" s="17">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7" t="n">
        <v>481</v>
      </c>
      <c r="U1453" s="17" t="n">
        <v>84</v>
      </c>
      <c r="V1453" s="17">
        <f>ROUNDUP((T1453+U1453+2*'Read Me'!$B$13)*(1+'Read Me'!$B$12),-1)</f>
        <v/>
      </c>
      <c r="W1453" s="17">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7" t="n">
        <v>481</v>
      </c>
      <c r="U1454" s="17" t="n">
        <v>84</v>
      </c>
      <c r="V1454" s="17">
        <f>ROUNDUP((T1454+U1454+2*'Read Me'!$B$13)*(1+'Read Me'!$B$12),-1)</f>
        <v/>
      </c>
      <c r="W1454" s="17">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7" t="n">
        <v>481</v>
      </c>
      <c r="U1455" s="17" t="n">
        <v>84</v>
      </c>
      <c r="V1455" s="17">
        <f>ROUNDUP((T1455+U1455+2*'Read Me'!$B$13)*(1+'Read Me'!$B$12),-1)</f>
        <v/>
      </c>
      <c r="W1455" s="17">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7" t="n">
        <v>361</v>
      </c>
      <c r="U1456" s="17" t="n">
        <v>160</v>
      </c>
      <c r="V1456" s="17">
        <f>ROUNDUP((T1456+U1456+2*'Read Me'!$B$13)*(1+'Read Me'!$B$12),-1)</f>
        <v/>
      </c>
      <c r="W1456" s="17">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7" t="n">
        <v>277</v>
      </c>
      <c r="U1457" s="17" t="n">
        <v>97</v>
      </c>
      <c r="V1457" s="17">
        <f>ROUNDUP((T1457+U1457+2*'Read Me'!$B$13)*(1+'Read Me'!$B$12),-1)</f>
        <v/>
      </c>
      <c r="W1457" s="17">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7" t="n">
        <v>277</v>
      </c>
      <c r="U1458" s="17" t="n">
        <v>97</v>
      </c>
      <c r="V1458" s="17">
        <f>ROUNDUP((T1458+U1458+2*'Read Me'!$B$13)*(1+'Read Me'!$B$12),-1)</f>
        <v/>
      </c>
      <c r="W1458" s="17">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7" t="n">
        <v>273</v>
      </c>
      <c r="U1459" s="17" t="n">
        <v>93</v>
      </c>
      <c r="V1459" s="17">
        <f>ROUNDUP((T1459+U1459+2*'Read Me'!$B$13)*(1+'Read Me'!$B$12),-1)</f>
        <v/>
      </c>
      <c r="W1459" s="17">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7" t="n">
        <v>273</v>
      </c>
      <c r="U1460" s="17" t="n">
        <v>93</v>
      </c>
      <c r="V1460" s="17">
        <f>ROUNDUP((T1460+U1460+2*'Read Me'!$B$13)*(1+'Read Me'!$B$12),-1)</f>
        <v/>
      </c>
      <c r="W1460" s="17">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7" t="n">
        <v>277</v>
      </c>
      <c r="U1461" s="17" t="n">
        <v>97</v>
      </c>
      <c r="V1461" s="17">
        <f>ROUNDUP((T1461+U1461+2*'Read Me'!$B$13)*(1+'Read Me'!$B$12),-1)</f>
        <v/>
      </c>
      <c r="W1461" s="17">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7" t="n">
        <v>277</v>
      </c>
      <c r="U1462" s="17" t="n">
        <v>97</v>
      </c>
      <c r="V1462" s="17">
        <f>ROUNDUP((T1462+U1462+2*'Read Me'!$B$13)*(1+'Read Me'!$B$12),-1)</f>
        <v/>
      </c>
      <c r="W1462" s="17">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258</v>
      </c>
      <c r="U1463" s="17" t="n">
        <v>35</v>
      </c>
      <c r="V1463" s="17">
        <f>ROUNDUP((T1463+U1463+2*'Read Me'!$B$13)*(1+'Read Me'!$B$12),-1)</f>
        <v/>
      </c>
      <c r="W1463" s="17">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258</v>
      </c>
      <c r="U1464" s="17" t="n">
        <v>35</v>
      </c>
      <c r="V1464" s="17">
        <f>ROUNDUP((T1464+U1464+2*'Read Me'!$B$13)*(1+'Read Me'!$B$12),-1)</f>
        <v/>
      </c>
      <c r="W1464" s="17">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258</v>
      </c>
      <c r="U1465" s="17" t="n">
        <v>35</v>
      </c>
      <c r="V1465" s="17">
        <f>ROUNDUP((T1465+U1465+2*'Read Me'!$B$13)*(1+'Read Me'!$B$12),-1)</f>
        <v/>
      </c>
      <c r="W1465" s="17">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258</v>
      </c>
      <c r="U1466" s="17" t="n">
        <v>35</v>
      </c>
      <c r="V1466" s="17">
        <f>ROUNDUP((T1466+U1466+2*'Read Me'!$B$13)*(1+'Read Me'!$B$12),-1)</f>
        <v/>
      </c>
      <c r="W1466" s="17">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258</v>
      </c>
      <c r="U1467" s="17" t="n">
        <v>35</v>
      </c>
      <c r="V1467" s="17">
        <f>ROUNDUP((T1467+U1467+2*'Read Me'!$B$13)*(1+'Read Me'!$B$12),-1)</f>
        <v/>
      </c>
      <c r="W1467" s="17">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7" t="n">
        <v>258</v>
      </c>
      <c r="U1468" s="17" t="n">
        <v>35</v>
      </c>
      <c r="V1468" s="17">
        <f>ROUNDUP((T1468+U1468+2*'Read Me'!$B$13)*(1+'Read Me'!$B$12),-1)</f>
        <v/>
      </c>
      <c r="W1468" s="17">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7" t="n">
        <v>1069</v>
      </c>
      <c r="U1469" s="17" t="n">
        <v>184</v>
      </c>
      <c r="V1469" s="17">
        <f>ROUNDUP((T1469+U1469+2*'Read Me'!$B$13)*(1+'Read Me'!$B$12),-1)</f>
        <v/>
      </c>
      <c r="W1469" s="17">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7" t="n">
        <v>67</v>
      </c>
      <c r="U1470" s="17" t="n">
        <v>89</v>
      </c>
      <c r="V1470" s="17">
        <f>ROUNDUP((T1470+U1470+2*'Read Me'!$B$13)*(1+'Read Me'!$B$12),-1)</f>
        <v/>
      </c>
      <c r="W1470" s="17">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7" t="n">
        <v>67</v>
      </c>
      <c r="U1471" s="17" t="n">
        <v>89</v>
      </c>
      <c r="V1471" s="17">
        <f>ROUNDUP((T1471+U1471+2*'Read Me'!$B$13)*(1+'Read Me'!$B$12),-1)</f>
        <v/>
      </c>
      <c r="W1471" s="17">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7" t="n">
        <v>67</v>
      </c>
      <c r="U1472" s="17" t="n">
        <v>89</v>
      </c>
      <c r="V1472" s="17">
        <f>ROUNDUP((T1472+U1472+2*'Read Me'!$B$13)*(1+'Read Me'!$B$12),-1)</f>
        <v/>
      </c>
      <c r="W1472" s="17">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7" t="n">
        <v>907</v>
      </c>
      <c r="U1473" s="17" t="n">
        <v>98</v>
      </c>
      <c r="V1473" s="17">
        <f>ROUNDUP((T1473+U1473+2*'Read Me'!$B$13)*(1+'Read Me'!$B$12),-1)</f>
        <v/>
      </c>
      <c r="W1473" s="17">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7" t="n">
        <v>451</v>
      </c>
      <c r="U1474" s="17" t="n">
        <v>157</v>
      </c>
      <c r="V1474" s="17">
        <f>ROUNDUP((T1474+U1474+2*'Read Me'!$B$13)*(1+'Read Me'!$B$12),-1)</f>
        <v/>
      </c>
      <c r="W1474" s="17">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7" t="n">
        <v>451</v>
      </c>
      <c r="U1475" s="17" t="n">
        <v>157</v>
      </c>
      <c r="V1475" s="17">
        <f>ROUNDUP((T1475+U1475+2*'Read Me'!$B$13)*(1+'Read Me'!$B$12),-1)</f>
        <v/>
      </c>
      <c r="W1475" s="17">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7" t="n">
        <v>751</v>
      </c>
      <c r="U1476" s="17" t="n">
        <v>157</v>
      </c>
      <c r="V1476" s="17">
        <f>ROUNDUP((T1476+U1476+2*'Read Me'!$B$13)*(1+'Read Me'!$B$12),-1)</f>
        <v/>
      </c>
      <c r="W1476" s="17">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7" t="n">
        <v>1071</v>
      </c>
      <c r="U1477" s="17" t="n">
        <v>110</v>
      </c>
      <c r="V1477" s="17">
        <f>ROUNDUP((T1477+U1477+2*'Read Me'!$B$13)*(1+'Read Me'!$B$12),-1)</f>
        <v/>
      </c>
      <c r="W1477" s="17">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7" t="n">
        <v>631</v>
      </c>
      <c r="U1478" s="17" t="n">
        <v>137</v>
      </c>
      <c r="V1478" s="17">
        <f>ROUNDUP((T1478+U1478+2*'Read Me'!$B$13)*(1+'Read Me'!$B$12),-1)</f>
        <v/>
      </c>
      <c r="W1478" s="17">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7" t="n">
        <v>631</v>
      </c>
      <c r="U1479" s="17" t="n">
        <v>137</v>
      </c>
      <c r="V1479" s="17">
        <f>ROUNDUP((T1479+U1479+2*'Read Me'!$B$13)*(1+'Read Me'!$B$12),-1)</f>
        <v/>
      </c>
      <c r="W1479" s="17">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7" t="n">
        <v>931</v>
      </c>
      <c r="U1480" s="17" t="n">
        <v>137</v>
      </c>
      <c r="V1480" s="17">
        <f>ROUNDUP((T1480+U1480+2*'Read Me'!$B$13)*(1+'Read Me'!$B$12),-1)</f>
        <v/>
      </c>
      <c r="W1480" s="17">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7" t="n">
        <v>1179</v>
      </c>
      <c r="U1481" s="17" t="n">
        <v>172</v>
      </c>
      <c r="V1481" s="17">
        <f>ROUNDUP((T1481+U1481+2*'Read Me'!$B$13)*(1+'Read Me'!$B$12),-1)</f>
        <v/>
      </c>
      <c r="W1481" s="17">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7" t="n">
        <v>799</v>
      </c>
      <c r="U1482" s="17" t="n">
        <v>145</v>
      </c>
      <c r="V1482" s="17">
        <f>ROUNDUP((T1482+U1482+2*'Read Me'!$B$13)*(1+'Read Me'!$B$12),-1)</f>
        <v/>
      </c>
      <c r="W1482" s="17">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7" t="n">
        <v>799</v>
      </c>
      <c r="U1483" s="17" t="n">
        <v>145</v>
      </c>
      <c r="V1483" s="17">
        <f>ROUNDUP((T1483+U1483+2*'Read Me'!$B$13)*(1+'Read Me'!$B$12),-1)</f>
        <v/>
      </c>
      <c r="W1483" s="17">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7" t="n">
        <v>1099</v>
      </c>
      <c r="U1484" s="17" t="n">
        <v>145</v>
      </c>
      <c r="V1484" s="17">
        <f>ROUNDUP((T1484+U1484+2*'Read Me'!$B$13)*(1+'Read Me'!$B$12),-1)</f>
        <v/>
      </c>
      <c r="W1484" s="17">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7" t="n">
        <v>288</v>
      </c>
      <c r="U1485" s="17" t="n">
        <v>155</v>
      </c>
      <c r="V1485" s="17">
        <f>ROUNDUP((T1485+U1485+2*'Read Me'!$B$13)*(1+'Read Me'!$B$12),-1)</f>
        <v/>
      </c>
      <c r="W1485" s="17">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7" t="n">
        <v>468</v>
      </c>
      <c r="U1486" s="17" t="n">
        <v>135</v>
      </c>
      <c r="V1486" s="17">
        <f>ROUNDUP((T1486+U1486+2*'Read Me'!$B$13)*(1+'Read Me'!$B$12),-1)</f>
        <v/>
      </c>
      <c r="W1486" s="17">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7" t="n">
        <v>636</v>
      </c>
      <c r="U1487" s="17" t="n">
        <v>143</v>
      </c>
      <c r="V1487" s="17">
        <f>ROUNDUP((T1487+U1487+2*'Read Me'!$B$13)*(1+'Read Me'!$B$12),-1)</f>
        <v/>
      </c>
      <c r="W1487" s="17">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7" t="n">
        <v>373</v>
      </c>
      <c r="U1488" s="17" t="n">
        <v>118</v>
      </c>
      <c r="V1488" s="17">
        <f>ROUNDUP((T1488+U1488+2*'Read Me'!$B$13)*(1+'Read Me'!$B$12),-1)</f>
        <v/>
      </c>
      <c r="W1488" s="17">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7" t="n">
        <v>373</v>
      </c>
      <c r="U1489" s="17" t="n">
        <v>118</v>
      </c>
      <c r="V1489" s="17">
        <f>ROUNDUP((T1489+U1489+2*'Read Me'!$B$13)*(1+'Read Me'!$B$12),-1)</f>
        <v/>
      </c>
      <c r="W1489" s="17">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7" t="n">
        <v>1247</v>
      </c>
      <c r="U1490" s="17" t="n">
        <v>208</v>
      </c>
      <c r="V1490" s="17">
        <f>ROUNDUP((T1490+U1490+2*'Read Me'!$B$13)*(1+'Read Me'!$B$12),-1)</f>
        <v/>
      </c>
      <c r="W1490" s="17">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7" t="n">
        <v>1247</v>
      </c>
      <c r="U1491" s="17" t="n">
        <v>208</v>
      </c>
      <c r="V1491" s="17">
        <f>ROUNDUP((T1491+U1491+2*'Read Me'!$B$13)*(1+'Read Me'!$B$12),-1)</f>
        <v/>
      </c>
      <c r="W1491" s="17">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7" t="n">
        <v>1193</v>
      </c>
      <c r="U1492" s="17" t="n">
        <v>97</v>
      </c>
      <c r="V1492" s="17">
        <f>ROUNDUP((T1492+U1492+2*'Read Me'!$B$13)*(1+'Read Me'!$B$12),-1)</f>
        <v/>
      </c>
      <c r="W1492" s="17">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7" t="n">
        <v>1193</v>
      </c>
      <c r="U1493" s="17" t="n">
        <v>97</v>
      </c>
      <c r="V1493" s="17">
        <f>ROUNDUP((T1493+U1493+2*'Read Me'!$B$13)*(1+'Read Me'!$B$12),-1)</f>
        <v/>
      </c>
      <c r="W1493" s="17">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7" t="n">
        <v>366</v>
      </c>
      <c r="U1494" s="17" t="n">
        <v>111</v>
      </c>
      <c r="V1494" s="17">
        <f>ROUNDUP((T1494+U1494+2*'Read Me'!$B$13)*(1+'Read Me'!$B$12),-1)</f>
        <v/>
      </c>
      <c r="W1494" s="17">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7" t="n">
        <v>366</v>
      </c>
      <c r="U1495" s="17" t="n">
        <v>111</v>
      </c>
      <c r="V1495" s="17">
        <f>ROUNDUP((T1495+U1495+2*'Read Me'!$B$13)*(1+'Read Me'!$B$12),-1)</f>
        <v/>
      </c>
      <c r="W1495" s="17">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7" t="n">
        <v>298</v>
      </c>
      <c r="U1496" s="17" t="n">
        <v>145</v>
      </c>
      <c r="V1496" s="17">
        <f>ROUNDUP((T1496+U1496+2*'Read Me'!$B$13)*(1+'Read Me'!$B$12),-1)</f>
        <v/>
      </c>
      <c r="W1496" s="17">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7" t="n">
        <v>478</v>
      </c>
      <c r="U1497" s="17" t="n">
        <v>125</v>
      </c>
      <c r="V1497" s="17">
        <f>ROUNDUP((T1497+U1497+2*'Read Me'!$B$13)*(1+'Read Me'!$B$12),-1)</f>
        <v/>
      </c>
      <c r="W1497" s="17">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7" t="n">
        <v>646</v>
      </c>
      <c r="U1498" s="17" t="n">
        <v>133</v>
      </c>
      <c r="V1498" s="17">
        <f>ROUNDUP((T1498+U1498+2*'Read Me'!$B$13)*(1+'Read Me'!$B$12),-1)</f>
        <v/>
      </c>
      <c r="W1498" s="17">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7" t="n">
        <v>72</v>
      </c>
      <c r="U1499" s="17" t="n">
        <v>139</v>
      </c>
      <c r="V1499" s="17">
        <f>ROUNDUP((T1499+U1499+2*'Read Me'!$B$13)*(1+'Read Me'!$B$12),-1)</f>
        <v/>
      </c>
      <c r="W1499" s="17">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7" t="n">
        <v>72</v>
      </c>
      <c r="U1500" s="17" t="n">
        <v>139</v>
      </c>
      <c r="V1500" s="17">
        <f>ROUNDUP((T1500+U1500+2*'Read Me'!$B$13)*(1+'Read Me'!$B$12),-1)</f>
        <v/>
      </c>
      <c r="W1500" s="17">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7" t="n">
        <v>416</v>
      </c>
      <c r="U1501" s="17" t="n">
        <v>181</v>
      </c>
      <c r="V1501" s="17">
        <f>ROUNDUP((T1501+U1501+2*'Read Me'!$B$13)*(1+'Read Me'!$B$12),-1)</f>
        <v/>
      </c>
      <c r="W1501" s="17">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7" t="n">
        <v>416</v>
      </c>
      <c r="U1502" s="17" t="n">
        <v>181</v>
      </c>
      <c r="V1502" s="17">
        <f>ROUNDUP((T1502+U1502+2*'Read Me'!$B$13)*(1+'Read Me'!$B$12),-1)</f>
        <v/>
      </c>
      <c r="W1502" s="17">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7" t="n">
        <v>416</v>
      </c>
      <c r="U1503" s="17" t="n">
        <v>181</v>
      </c>
      <c r="V1503" s="17">
        <f>ROUNDUP((T1503+U1503+2*'Read Me'!$B$13)*(1+'Read Me'!$B$12),-1)</f>
        <v/>
      </c>
      <c r="W1503" s="17">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7" t="n">
        <v>416</v>
      </c>
      <c r="U1504" s="17" t="n">
        <v>181</v>
      </c>
      <c r="V1504" s="17">
        <f>ROUNDUP((T1504+U1504+2*'Read Me'!$B$13)*(1+'Read Me'!$B$12),-1)</f>
        <v/>
      </c>
      <c r="W1504" s="17">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7" t="n">
        <v>416</v>
      </c>
      <c r="U1505" s="17" t="n">
        <v>181</v>
      </c>
      <c r="V1505" s="17">
        <f>ROUNDUP((T1505+U1505+2*'Read Me'!$B$13)*(1+'Read Me'!$B$12),-1)</f>
        <v/>
      </c>
      <c r="W1505" s="17">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7" t="n">
        <v>416</v>
      </c>
      <c r="U1506" s="17" t="n">
        <v>181</v>
      </c>
      <c r="V1506" s="17">
        <f>ROUNDUP((T1506+U1506+2*'Read Me'!$B$13)*(1+'Read Me'!$B$12),-1)</f>
        <v/>
      </c>
      <c r="W1506" s="17">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7" t="n">
        <v>419</v>
      </c>
      <c r="U1507" s="17" t="n">
        <v>179</v>
      </c>
      <c r="V1507" s="17">
        <f>ROUNDUP((T1507+U1507+2*'Read Me'!$B$13)*(1+'Read Me'!$B$12),-1)</f>
        <v/>
      </c>
      <c r="W1507" s="17">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7" t="n">
        <v>419</v>
      </c>
      <c r="U1508" s="17" t="n">
        <v>179</v>
      </c>
      <c r="V1508" s="17">
        <f>ROUNDUP((T1508+U1508+2*'Read Me'!$B$13)*(1+'Read Me'!$B$12),-1)</f>
        <v/>
      </c>
      <c r="W1508" s="17">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7" t="n">
        <v>419</v>
      </c>
      <c r="U1509" s="17" t="n">
        <v>179</v>
      </c>
      <c r="V1509" s="17">
        <f>ROUNDUP((T1509+U1509+2*'Read Me'!$B$13)*(1+'Read Me'!$B$12),-1)</f>
        <v/>
      </c>
      <c r="W1509" s="17">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7" t="n">
        <v>419</v>
      </c>
      <c r="U1510" s="17" t="n">
        <v>179</v>
      </c>
      <c r="V1510" s="17">
        <f>ROUNDUP((T1510+U1510+2*'Read Me'!$B$13)*(1+'Read Me'!$B$12),-1)</f>
        <v/>
      </c>
      <c r="W1510" s="17">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7" t="n">
        <v>419</v>
      </c>
      <c r="U1511" s="17" t="n">
        <v>179</v>
      </c>
      <c r="V1511" s="17">
        <f>ROUNDUP((T1511+U1511+2*'Read Me'!$B$13)*(1+'Read Me'!$B$12),-1)</f>
        <v/>
      </c>
      <c r="W1511" s="17">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7" t="n">
        <v>419</v>
      </c>
      <c r="U1512" s="17" t="n">
        <v>179</v>
      </c>
      <c r="V1512" s="17">
        <f>ROUNDUP((T1512+U1512+2*'Read Me'!$B$13)*(1+'Read Me'!$B$12),-1)</f>
        <v/>
      </c>
      <c r="W1512" s="17">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7" t="n">
        <v>1290</v>
      </c>
      <c r="U1513" s="17" t="n">
        <v>271</v>
      </c>
      <c r="V1513" s="17">
        <f>ROUNDUP((T1513+U1513+2*'Read Me'!$B$13)*(1+'Read Me'!$B$12),-1)</f>
        <v/>
      </c>
      <c r="W1513" s="17">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7" t="n">
        <v>1290</v>
      </c>
      <c r="U1514" s="17" t="n">
        <v>271</v>
      </c>
      <c r="V1514" s="17">
        <f>ROUNDUP((T1514+U1514+2*'Read Me'!$B$13)*(1+'Read Me'!$B$12),-1)</f>
        <v/>
      </c>
      <c r="W1514" s="17">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7" t="n">
        <v>1290</v>
      </c>
      <c r="U1515" s="17" t="n">
        <v>271</v>
      </c>
      <c r="V1515" s="17">
        <f>ROUNDUP((T1515+U1515+2*'Read Me'!$B$13)*(1+'Read Me'!$B$12),-1)</f>
        <v/>
      </c>
      <c r="W1515" s="17">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7" t="n">
        <v>1290</v>
      </c>
      <c r="U1516" s="17" t="n">
        <v>271</v>
      </c>
      <c r="V1516" s="17">
        <f>ROUNDUP((T1516+U1516+2*'Read Me'!$B$13)*(1+'Read Me'!$B$12),-1)</f>
        <v/>
      </c>
      <c r="W1516" s="17">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7" t="n">
        <v>1290</v>
      </c>
      <c r="U1517" s="17" t="n">
        <v>271</v>
      </c>
      <c r="V1517" s="17">
        <f>ROUNDUP((T1517+U1517+2*'Read Me'!$B$13)*(1+'Read Me'!$B$12),-1)</f>
        <v/>
      </c>
      <c r="W1517" s="17">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7" t="n">
        <v>1290</v>
      </c>
      <c r="U1518" s="17" t="n">
        <v>271</v>
      </c>
      <c r="V1518" s="17">
        <f>ROUNDUP((T1518+U1518+2*'Read Me'!$B$13)*(1+'Read Me'!$B$12),-1)</f>
        <v/>
      </c>
      <c r="W1518" s="17">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7" t="n">
        <v>1423</v>
      </c>
      <c r="U1519" s="17" t="n">
        <v>113</v>
      </c>
      <c r="V1519" s="17">
        <f>ROUNDUP((T1519+U1519+2*'Read Me'!$B$13)*(1+'Read Me'!$B$12),-1)</f>
        <v/>
      </c>
      <c r="W1519" s="17">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7" t="n">
        <v>1423</v>
      </c>
      <c r="U1520" s="17" t="n">
        <v>113</v>
      </c>
      <c r="V1520" s="17">
        <f>ROUNDUP((T1520+U1520+2*'Read Me'!$B$13)*(1+'Read Me'!$B$12),-1)</f>
        <v/>
      </c>
      <c r="W1520" s="17">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7" t="n">
        <v>1423</v>
      </c>
      <c r="U1521" s="17" t="n">
        <v>113</v>
      </c>
      <c r="V1521" s="17">
        <f>ROUNDUP((T1521+U1521+2*'Read Me'!$B$13)*(1+'Read Me'!$B$12),-1)</f>
        <v/>
      </c>
      <c r="W1521" s="17">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7" t="n">
        <v>1423</v>
      </c>
      <c r="U1522" s="17" t="n">
        <v>113</v>
      </c>
      <c r="V1522" s="17">
        <f>ROUNDUP((T1522+U1522+2*'Read Me'!$B$13)*(1+'Read Me'!$B$12),-1)</f>
        <v/>
      </c>
      <c r="W1522" s="17">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7" t="n">
        <v>1423</v>
      </c>
      <c r="U1523" s="17" t="n">
        <v>113</v>
      </c>
      <c r="V1523" s="17">
        <f>ROUNDUP((T1523+U1523+2*'Read Me'!$B$13)*(1+'Read Me'!$B$12),-1)</f>
        <v/>
      </c>
      <c r="W1523" s="17">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7" t="n">
        <v>1423</v>
      </c>
      <c r="U1524" s="17" t="n">
        <v>113</v>
      </c>
      <c r="V1524" s="17">
        <f>ROUNDUP((T1524+U1524+2*'Read Me'!$B$13)*(1+'Read Me'!$B$12),-1)</f>
        <v/>
      </c>
      <c r="W1524" s="17">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7" t="n">
        <v>1140</v>
      </c>
      <c r="U1525" s="17" t="n">
        <v>110</v>
      </c>
      <c r="V1525" s="17">
        <f>ROUNDUP((T1525+U1525+2*'Read Me'!$B$13)*(1+'Read Me'!$B$12),-1)</f>
        <v/>
      </c>
      <c r="W1525" s="17">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7" t="n">
        <v>1140</v>
      </c>
      <c r="U1526" s="17" t="n">
        <v>110</v>
      </c>
      <c r="V1526" s="17">
        <f>ROUNDUP((T1526+U1526+2*'Read Me'!$B$13)*(1+'Read Me'!$B$12),-1)</f>
        <v/>
      </c>
      <c r="W1526" s="17">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7" t="n">
        <v>1140</v>
      </c>
      <c r="U1527" s="17" t="n">
        <v>110</v>
      </c>
      <c r="V1527" s="17">
        <f>ROUNDUP((T1527+U1527+2*'Read Me'!$B$13)*(1+'Read Me'!$B$12),-1)</f>
        <v/>
      </c>
      <c r="W1527" s="17">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7" t="n">
        <v>1140</v>
      </c>
      <c r="U1528" s="17" t="n">
        <v>110</v>
      </c>
      <c r="V1528" s="17">
        <f>ROUNDUP((T1528+U1528+2*'Read Me'!$B$13)*(1+'Read Me'!$B$12),-1)</f>
        <v/>
      </c>
      <c r="W1528" s="17">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7" t="n">
        <v>1140</v>
      </c>
      <c r="U1529" s="17" t="n">
        <v>110</v>
      </c>
      <c r="V1529" s="17">
        <f>ROUNDUP((T1529+U1529+2*'Read Me'!$B$13)*(1+'Read Me'!$B$12),-1)</f>
        <v/>
      </c>
      <c r="W1529" s="17">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7" t="n">
        <v>1140</v>
      </c>
      <c r="U1530" s="17" t="n">
        <v>110</v>
      </c>
      <c r="V1530" s="17">
        <f>ROUNDUP((T1530+U1530+2*'Read Me'!$B$13)*(1+'Read Me'!$B$12),-1)</f>
        <v/>
      </c>
      <c r="W1530" s="17">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7" t="n">
        <v>1103</v>
      </c>
      <c r="U1531" s="17" t="n">
        <v>113</v>
      </c>
      <c r="V1531" s="17">
        <f>ROUNDUP((T1531+U1531+2*'Read Me'!$B$13)*(1+'Read Me'!$B$12),-1)</f>
        <v/>
      </c>
      <c r="W1531" s="17">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7" t="n">
        <v>1103</v>
      </c>
      <c r="U1532" s="17" t="n">
        <v>113</v>
      </c>
      <c r="V1532" s="17">
        <f>ROUNDUP((T1532+U1532+2*'Read Me'!$B$13)*(1+'Read Me'!$B$12),-1)</f>
        <v/>
      </c>
      <c r="W1532" s="17">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7" t="n">
        <v>1103</v>
      </c>
      <c r="U1533" s="17" t="n">
        <v>113</v>
      </c>
      <c r="V1533" s="17">
        <f>ROUNDUP((T1533+U1533+2*'Read Me'!$B$13)*(1+'Read Me'!$B$12),-1)</f>
        <v/>
      </c>
      <c r="W1533" s="17">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7" t="n">
        <v>1103</v>
      </c>
      <c r="U1534" s="17" t="n">
        <v>113</v>
      </c>
      <c r="V1534" s="17">
        <f>ROUNDUP((T1534+U1534+2*'Read Me'!$B$13)*(1+'Read Me'!$B$12),-1)</f>
        <v/>
      </c>
      <c r="W1534" s="17">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7" t="n">
        <v>1103</v>
      </c>
      <c r="U1535" s="17" t="n">
        <v>113</v>
      </c>
      <c r="V1535" s="17">
        <f>ROUNDUP((T1535+U1535+2*'Read Me'!$B$13)*(1+'Read Me'!$B$12),-1)</f>
        <v/>
      </c>
      <c r="W1535" s="17">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7" t="n">
        <v>1103</v>
      </c>
      <c r="U1536" s="17" t="n">
        <v>113</v>
      </c>
      <c r="V1536" s="17">
        <f>ROUNDUP((T1536+U1536+2*'Read Me'!$B$13)*(1+'Read Me'!$B$12),-1)</f>
        <v/>
      </c>
      <c r="W1536" s="17">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7" t="n">
        <v>463</v>
      </c>
      <c r="U1537" s="17" t="n">
        <v>35</v>
      </c>
      <c r="V1537" s="17">
        <f>ROUNDUP((T1537+U1537+2*'Read Me'!$B$13)*(1+'Read Me'!$B$12),-1)</f>
        <v/>
      </c>
      <c r="W1537" s="17">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7" t="n">
        <v>463</v>
      </c>
      <c r="U1538" s="17" t="n">
        <v>35</v>
      </c>
      <c r="V1538" s="17">
        <f>ROUNDUP((T1538+U1538+2*'Read Me'!$B$13)*(1+'Read Me'!$B$12),-1)</f>
        <v/>
      </c>
      <c r="W1538" s="17">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7" t="n">
        <v>463</v>
      </c>
      <c r="U1539" s="17" t="n">
        <v>35</v>
      </c>
      <c r="V1539" s="17">
        <f>ROUNDUP((T1539+U1539+2*'Read Me'!$B$13)*(1+'Read Me'!$B$12),-1)</f>
        <v/>
      </c>
      <c r="W1539" s="17">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7" t="n">
        <v>463</v>
      </c>
      <c r="U1540" s="17" t="n">
        <v>35</v>
      </c>
      <c r="V1540" s="17">
        <f>ROUNDUP((T1540+U1540+2*'Read Me'!$B$13)*(1+'Read Me'!$B$12),-1)</f>
        <v/>
      </c>
      <c r="W1540" s="17">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7" t="n">
        <v>463</v>
      </c>
      <c r="U1541" s="17" t="n">
        <v>35</v>
      </c>
      <c r="V1541" s="17">
        <f>ROUNDUP((T1541+U1541+2*'Read Me'!$B$13)*(1+'Read Me'!$B$12),-1)</f>
        <v/>
      </c>
      <c r="W1541" s="17">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7" t="n">
        <v>463</v>
      </c>
      <c r="U1542" s="17" t="n">
        <v>35</v>
      </c>
      <c r="V1542" s="17">
        <f>ROUNDUP((T1542+U1542+2*'Read Me'!$B$13)*(1+'Read Me'!$B$12),-1)</f>
        <v/>
      </c>
      <c r="W1542" s="17">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7" t="n">
        <v>408</v>
      </c>
      <c r="U1543" s="17" t="n">
        <v>32</v>
      </c>
      <c r="V1543" s="17">
        <f>ROUNDUP((T1543+U1543+2*'Read Me'!$B$13)*(1+'Read Me'!$B$12),-1)</f>
        <v/>
      </c>
      <c r="W1543" s="17">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7" t="n">
        <v>408</v>
      </c>
      <c r="U1544" s="17" t="n">
        <v>32</v>
      </c>
      <c r="V1544" s="17">
        <f>ROUNDUP((T1544+U1544+2*'Read Me'!$B$13)*(1+'Read Me'!$B$12),-1)</f>
        <v/>
      </c>
      <c r="W1544" s="17">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7" t="n">
        <v>408</v>
      </c>
      <c r="U1545" s="17" t="n">
        <v>32</v>
      </c>
      <c r="V1545" s="17">
        <f>ROUNDUP((T1545+U1545+2*'Read Me'!$B$13)*(1+'Read Me'!$B$12),-1)</f>
        <v/>
      </c>
      <c r="W1545" s="17">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7" t="n">
        <v>408</v>
      </c>
      <c r="U1546" s="17" t="n">
        <v>32</v>
      </c>
      <c r="V1546" s="17">
        <f>ROUNDUP((T1546+U1546+2*'Read Me'!$B$13)*(1+'Read Me'!$B$12),-1)</f>
        <v/>
      </c>
      <c r="W1546" s="17">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7" t="n">
        <v>408</v>
      </c>
      <c r="U1547" s="17" t="n">
        <v>32</v>
      </c>
      <c r="V1547" s="17">
        <f>ROUNDUP((T1547+U1547+2*'Read Me'!$B$13)*(1+'Read Me'!$B$12),-1)</f>
        <v/>
      </c>
      <c r="W1547" s="17">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7" t="n">
        <v>408</v>
      </c>
      <c r="U1548" s="17" t="n">
        <v>32</v>
      </c>
      <c r="V1548" s="17">
        <f>ROUNDUP((T1548+U1548+2*'Read Me'!$B$13)*(1+'Read Me'!$B$12),-1)</f>
        <v/>
      </c>
      <c r="W1548" s="17">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7" t="n">
        <v>302</v>
      </c>
      <c r="U1549" s="17" t="n">
        <v>170</v>
      </c>
      <c r="V1549" s="17">
        <f>ROUNDUP((T1549+U1549+2*'Read Me'!$B$13)*(1+'Read Me'!$B$12),-1)</f>
        <v/>
      </c>
      <c r="W1549" s="17">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7" t="n">
        <v>302</v>
      </c>
      <c r="U1550" s="17" t="n">
        <v>170</v>
      </c>
      <c r="V1550" s="17">
        <f>ROUNDUP((T1550+U1550+2*'Read Me'!$B$13)*(1+'Read Me'!$B$12),-1)</f>
        <v/>
      </c>
      <c r="W1550" s="17">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7" t="n">
        <v>302</v>
      </c>
      <c r="U1551" s="17" t="n">
        <v>170</v>
      </c>
      <c r="V1551" s="17">
        <f>ROUNDUP((T1551+U1551+2*'Read Me'!$B$13)*(1+'Read Me'!$B$12),-1)</f>
        <v/>
      </c>
      <c r="W1551" s="17">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7" t="n">
        <v>302</v>
      </c>
      <c r="U1552" s="17" t="n">
        <v>170</v>
      </c>
      <c r="V1552" s="17">
        <f>ROUNDUP((T1552+U1552+2*'Read Me'!$B$13)*(1+'Read Me'!$B$12),-1)</f>
        <v/>
      </c>
      <c r="W1552" s="17">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7" t="n">
        <v>302</v>
      </c>
      <c r="U1553" s="17" t="n">
        <v>170</v>
      </c>
      <c r="V1553" s="17">
        <f>ROUNDUP((T1553+U1553+2*'Read Me'!$B$13)*(1+'Read Me'!$B$12),-1)</f>
        <v/>
      </c>
      <c r="W1553" s="17">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7" t="n">
        <v>302</v>
      </c>
      <c r="U1554" s="17" t="n">
        <v>170</v>
      </c>
      <c r="V1554" s="17">
        <f>ROUNDUP((T1554+U1554+2*'Read Me'!$B$13)*(1+'Read Me'!$B$12),-1)</f>
        <v/>
      </c>
      <c r="W1554" s="17">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7" t="n">
        <v>302</v>
      </c>
      <c r="U1555" s="17" t="n">
        <v>170</v>
      </c>
      <c r="V1555" s="17">
        <f>ROUNDUP((T1555+U1555+2*'Read Me'!$B$13)*(1+'Read Me'!$B$12),-1)</f>
        <v/>
      </c>
      <c r="W1555" s="17">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7" t="n">
        <v>302</v>
      </c>
      <c r="U1556" s="17" t="n">
        <v>170</v>
      </c>
      <c r="V1556" s="17">
        <f>ROUNDUP((T1556+U1556+2*'Read Me'!$B$13)*(1+'Read Me'!$B$12),-1)</f>
        <v/>
      </c>
      <c r="W1556" s="17">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7" t="n">
        <v>302</v>
      </c>
      <c r="U1557" s="17" t="n">
        <v>170</v>
      </c>
      <c r="V1557" s="17">
        <f>ROUNDUP((T1557+U1557+2*'Read Me'!$B$13)*(1+'Read Me'!$B$12),-1)</f>
        <v/>
      </c>
      <c r="W1557" s="17">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7" t="n">
        <v>302</v>
      </c>
      <c r="U1558" s="17" t="n">
        <v>170</v>
      </c>
      <c r="V1558" s="17">
        <f>ROUNDUP((T1558+U1558+2*'Read Me'!$B$13)*(1+'Read Me'!$B$12),-1)</f>
        <v/>
      </c>
      <c r="W1558" s="17">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7" t="n">
        <v>302</v>
      </c>
      <c r="U1559" s="17" t="n">
        <v>170</v>
      </c>
      <c r="V1559" s="17">
        <f>ROUNDUP((T1559+U1559+2*'Read Me'!$B$13)*(1+'Read Me'!$B$12),-1)</f>
        <v/>
      </c>
      <c r="W1559" s="17">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7" t="n">
        <v>302</v>
      </c>
      <c r="U1560" s="17" t="n">
        <v>170</v>
      </c>
      <c r="V1560" s="17">
        <f>ROUNDUP((T1560+U1560+2*'Read Me'!$B$13)*(1+'Read Me'!$B$12),-1)</f>
        <v/>
      </c>
      <c r="W1560" s="17">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7" t="n">
        <v>232</v>
      </c>
      <c r="U1561" s="17" t="n">
        <v>154</v>
      </c>
      <c r="V1561" s="17">
        <f>ROUNDUP((T1561+U1561+2*'Read Me'!$B$13)*(1+'Read Me'!$B$12),-1)</f>
        <v/>
      </c>
      <c r="W1561" s="17">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7" t="n">
        <v>232</v>
      </c>
      <c r="U1562" s="17" t="n">
        <v>154</v>
      </c>
      <c r="V1562" s="17">
        <f>ROUNDUP((T1562+U1562+2*'Read Me'!$B$13)*(1+'Read Me'!$B$12),-1)</f>
        <v/>
      </c>
      <c r="W1562" s="17">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7" t="n">
        <v>232</v>
      </c>
      <c r="U1563" s="17" t="n">
        <v>154</v>
      </c>
      <c r="V1563" s="17">
        <f>ROUNDUP((T1563+U1563+2*'Read Me'!$B$13)*(1+'Read Me'!$B$12),-1)</f>
        <v/>
      </c>
      <c r="W1563" s="17">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7" t="n">
        <v>232</v>
      </c>
      <c r="U1564" s="17" t="n">
        <v>154</v>
      </c>
      <c r="V1564" s="17">
        <f>ROUNDUP((T1564+U1564+2*'Read Me'!$B$13)*(1+'Read Me'!$B$12),-1)</f>
        <v/>
      </c>
      <c r="W1564" s="17">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7" t="n">
        <v>232</v>
      </c>
      <c r="U1565" s="17" t="n">
        <v>154</v>
      </c>
      <c r="V1565" s="17">
        <f>ROUNDUP((T1565+U1565+2*'Read Me'!$B$13)*(1+'Read Me'!$B$12),-1)</f>
        <v/>
      </c>
      <c r="W1565" s="17">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7" t="n">
        <v>482</v>
      </c>
      <c r="U1566" s="17" t="n">
        <v>150</v>
      </c>
      <c r="V1566" s="17">
        <f>ROUNDUP((T1566+U1566+2*'Read Me'!$B$13)*(1+'Read Me'!$B$12),-1)</f>
        <v/>
      </c>
      <c r="W1566" s="17">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7" t="n">
        <v>482</v>
      </c>
      <c r="U1567" s="17" t="n">
        <v>150</v>
      </c>
      <c r="V1567" s="17">
        <f>ROUNDUP((T1567+U1567+2*'Read Me'!$B$13)*(1+'Read Me'!$B$12),-1)</f>
        <v/>
      </c>
      <c r="W1567" s="17">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7" t="n">
        <v>482</v>
      </c>
      <c r="U1568" s="17" t="n">
        <v>150</v>
      </c>
      <c r="V1568" s="17">
        <f>ROUNDUP((T1568+U1568+2*'Read Me'!$B$13)*(1+'Read Me'!$B$12),-1)</f>
        <v/>
      </c>
      <c r="W1568" s="17">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7" t="n">
        <v>482</v>
      </c>
      <c r="U1569" s="17" t="n">
        <v>150</v>
      </c>
      <c r="V1569" s="17">
        <f>ROUNDUP((T1569+U1569+2*'Read Me'!$B$13)*(1+'Read Me'!$B$12),-1)</f>
        <v/>
      </c>
      <c r="W1569" s="17">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7" t="n">
        <v>482</v>
      </c>
      <c r="U1570" s="17" t="n">
        <v>150</v>
      </c>
      <c r="V1570" s="17">
        <f>ROUNDUP((T1570+U1570+2*'Read Me'!$B$13)*(1+'Read Me'!$B$12),-1)</f>
        <v/>
      </c>
      <c r="W1570" s="17">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7" t="n">
        <v>482</v>
      </c>
      <c r="U1571" s="17" t="n">
        <v>150</v>
      </c>
      <c r="V1571" s="17">
        <f>ROUNDUP((T1571+U1571+2*'Read Me'!$B$13)*(1+'Read Me'!$B$12),-1)</f>
        <v/>
      </c>
      <c r="W1571" s="17">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7" t="n">
        <v>482</v>
      </c>
      <c r="U1572" s="17" t="n">
        <v>150</v>
      </c>
      <c r="V1572" s="17">
        <f>ROUNDUP((T1572+U1572+2*'Read Me'!$B$13)*(1+'Read Me'!$B$12),-1)</f>
        <v/>
      </c>
      <c r="W1572" s="17">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7" t="n">
        <v>482</v>
      </c>
      <c r="U1573" s="17" t="n">
        <v>150</v>
      </c>
      <c r="V1573" s="17">
        <f>ROUNDUP((T1573+U1573+2*'Read Me'!$B$13)*(1+'Read Me'!$B$12),-1)</f>
        <v/>
      </c>
      <c r="W1573" s="17">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7" t="n">
        <v>482</v>
      </c>
      <c r="U1574" s="17" t="n">
        <v>150</v>
      </c>
      <c r="V1574" s="17">
        <f>ROUNDUP((T1574+U1574+2*'Read Me'!$B$13)*(1+'Read Me'!$B$12),-1)</f>
        <v/>
      </c>
      <c r="W1574" s="17">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7" t="n">
        <v>482</v>
      </c>
      <c r="U1575" s="17" t="n">
        <v>150</v>
      </c>
      <c r="V1575" s="17">
        <f>ROUNDUP((T1575+U1575+2*'Read Me'!$B$13)*(1+'Read Me'!$B$12),-1)</f>
        <v/>
      </c>
      <c r="W1575" s="17">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7" t="n">
        <v>482</v>
      </c>
      <c r="U1576" s="17" t="n">
        <v>150</v>
      </c>
      <c r="V1576" s="17">
        <f>ROUNDUP((T1576+U1576+2*'Read Me'!$B$13)*(1+'Read Me'!$B$12),-1)</f>
        <v/>
      </c>
      <c r="W1576" s="17">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7" t="n">
        <v>482</v>
      </c>
      <c r="U1577" s="17" t="n">
        <v>150</v>
      </c>
      <c r="V1577" s="17">
        <f>ROUNDUP((T1577+U1577+2*'Read Me'!$B$13)*(1+'Read Me'!$B$12),-1)</f>
        <v/>
      </c>
      <c r="W1577" s="17">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7" t="n">
        <v>412</v>
      </c>
      <c r="U1578" s="17" t="n">
        <v>134</v>
      </c>
      <c r="V1578" s="17">
        <f>ROUNDUP((T1578+U1578+2*'Read Me'!$B$13)*(1+'Read Me'!$B$12),-1)</f>
        <v/>
      </c>
      <c r="W1578" s="17">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7" t="n">
        <v>412</v>
      </c>
      <c r="U1579" s="17" t="n">
        <v>134</v>
      </c>
      <c r="V1579" s="17">
        <f>ROUNDUP((T1579+U1579+2*'Read Me'!$B$13)*(1+'Read Me'!$B$12),-1)</f>
        <v/>
      </c>
      <c r="W1579" s="17">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7" t="n">
        <v>412</v>
      </c>
      <c r="U1580" s="17" t="n">
        <v>134</v>
      </c>
      <c r="V1580" s="17">
        <f>ROUNDUP((T1580+U1580+2*'Read Me'!$B$13)*(1+'Read Me'!$B$12),-1)</f>
        <v/>
      </c>
      <c r="W1580" s="17">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7" t="n">
        <v>412</v>
      </c>
      <c r="U1581" s="17" t="n">
        <v>134</v>
      </c>
      <c r="V1581" s="17">
        <f>ROUNDUP((T1581+U1581+2*'Read Me'!$B$13)*(1+'Read Me'!$B$12),-1)</f>
        <v/>
      </c>
      <c r="W1581" s="17">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7" t="n">
        <v>412</v>
      </c>
      <c r="U1582" s="17" t="n">
        <v>134</v>
      </c>
      <c r="V1582" s="17">
        <f>ROUNDUP((T1582+U1582+2*'Read Me'!$B$13)*(1+'Read Me'!$B$12),-1)</f>
        <v/>
      </c>
      <c r="W1582" s="17">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7" t="n">
        <v>693</v>
      </c>
      <c r="U1583" s="17" t="n">
        <v>149</v>
      </c>
      <c r="V1583" s="17">
        <f>ROUNDUP((T1583+U1583+2*'Read Me'!$B$13)*(1+'Read Me'!$B$12),-1)</f>
        <v/>
      </c>
      <c r="W1583" s="17">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7" t="n">
        <v>693</v>
      </c>
      <c r="U1584" s="17" t="n">
        <v>149</v>
      </c>
      <c r="V1584" s="17">
        <f>ROUNDUP((T1584+U1584+2*'Read Me'!$B$13)*(1+'Read Me'!$B$12),-1)</f>
        <v/>
      </c>
      <c r="W1584" s="17">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7" t="n">
        <v>693</v>
      </c>
      <c r="U1585" s="17" t="n">
        <v>149</v>
      </c>
      <c r="V1585" s="17">
        <f>ROUNDUP((T1585+U1585+2*'Read Me'!$B$13)*(1+'Read Me'!$B$12),-1)</f>
        <v/>
      </c>
      <c r="W1585" s="17">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7" t="n">
        <v>693</v>
      </c>
      <c r="U1586" s="17" t="n">
        <v>149</v>
      </c>
      <c r="V1586" s="17">
        <f>ROUNDUP((T1586+U1586+2*'Read Me'!$B$13)*(1+'Read Me'!$B$12),-1)</f>
        <v/>
      </c>
      <c r="W1586" s="17">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7" t="n">
        <v>693</v>
      </c>
      <c r="U1587" s="17" t="n">
        <v>149</v>
      </c>
      <c r="V1587" s="17">
        <f>ROUNDUP((T1587+U1587+2*'Read Me'!$B$13)*(1+'Read Me'!$B$12),-1)</f>
        <v/>
      </c>
      <c r="W1587" s="17">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7" t="n">
        <v>693</v>
      </c>
      <c r="U1588" s="17" t="n">
        <v>149</v>
      </c>
      <c r="V1588" s="17">
        <f>ROUNDUP((T1588+U1588+2*'Read Me'!$B$13)*(1+'Read Me'!$B$12),-1)</f>
        <v/>
      </c>
      <c r="W1588" s="17">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7" t="n">
        <v>693</v>
      </c>
      <c r="U1589" s="17" t="n">
        <v>149</v>
      </c>
      <c r="V1589" s="17">
        <f>ROUNDUP((T1589+U1589+2*'Read Me'!$B$13)*(1+'Read Me'!$B$12),-1)</f>
        <v/>
      </c>
      <c r="W1589" s="17">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7" t="n">
        <v>693</v>
      </c>
      <c r="U1590" s="17" t="n">
        <v>149</v>
      </c>
      <c r="V1590" s="17">
        <f>ROUNDUP((T1590+U1590+2*'Read Me'!$B$13)*(1+'Read Me'!$B$12),-1)</f>
        <v/>
      </c>
      <c r="W1590" s="17">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7" t="n">
        <v>693</v>
      </c>
      <c r="U1591" s="17" t="n">
        <v>149</v>
      </c>
      <c r="V1591" s="17">
        <f>ROUNDUP((T1591+U1591+2*'Read Me'!$B$13)*(1+'Read Me'!$B$12),-1)</f>
        <v/>
      </c>
      <c r="W1591" s="17">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7" t="n">
        <v>693</v>
      </c>
      <c r="U1592" s="17" t="n">
        <v>149</v>
      </c>
      <c r="V1592" s="17">
        <f>ROUNDUP((T1592+U1592+2*'Read Me'!$B$13)*(1+'Read Me'!$B$12),-1)</f>
        <v/>
      </c>
      <c r="W1592" s="17">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7" t="n">
        <v>693</v>
      </c>
      <c r="U1593" s="17" t="n">
        <v>149</v>
      </c>
      <c r="V1593" s="17">
        <f>ROUNDUP((T1593+U1593+2*'Read Me'!$B$13)*(1+'Read Me'!$B$12),-1)</f>
        <v/>
      </c>
      <c r="W1593" s="17">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7" t="n">
        <v>693</v>
      </c>
      <c r="U1594" s="17" t="n">
        <v>149</v>
      </c>
      <c r="V1594" s="17">
        <f>ROUNDUP((T1594+U1594+2*'Read Me'!$B$13)*(1+'Read Me'!$B$12),-1)</f>
        <v/>
      </c>
      <c r="W1594" s="17">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7" t="n">
        <v>580</v>
      </c>
      <c r="U1595" s="17" t="n">
        <v>142</v>
      </c>
      <c r="V1595" s="17">
        <f>ROUNDUP((T1595+U1595+2*'Read Me'!$B$13)*(1+'Read Me'!$B$12),-1)</f>
        <v/>
      </c>
      <c r="W1595" s="17">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7" t="n">
        <v>580</v>
      </c>
      <c r="U1596" s="17" t="n">
        <v>142</v>
      </c>
      <c r="V1596" s="17">
        <f>ROUNDUP((T1596+U1596+2*'Read Me'!$B$13)*(1+'Read Me'!$B$12),-1)</f>
        <v/>
      </c>
      <c r="W1596" s="17">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7" t="n">
        <v>580</v>
      </c>
      <c r="U1597" s="17" t="n">
        <v>142</v>
      </c>
      <c r="V1597" s="17">
        <f>ROUNDUP((T1597+U1597+2*'Read Me'!$B$13)*(1+'Read Me'!$B$12),-1)</f>
        <v/>
      </c>
      <c r="W1597" s="17">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7" t="n">
        <v>580</v>
      </c>
      <c r="U1598" s="17" t="n">
        <v>142</v>
      </c>
      <c r="V1598" s="17">
        <f>ROUNDUP((T1598+U1598+2*'Read Me'!$B$13)*(1+'Read Me'!$B$12),-1)</f>
        <v/>
      </c>
      <c r="W1598" s="17">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7" t="n">
        <v>580</v>
      </c>
      <c r="U1599" s="17" t="n">
        <v>142</v>
      </c>
      <c r="V1599" s="17">
        <f>ROUNDUP((T1599+U1599+2*'Read Me'!$B$13)*(1+'Read Me'!$B$12),-1)</f>
        <v/>
      </c>
      <c r="W1599" s="17">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7" t="n">
        <v>445</v>
      </c>
      <c r="U1600" s="17" t="n">
        <v>178</v>
      </c>
      <c r="V1600" s="17">
        <f>ROUNDUP((T1600+U1600+2*'Read Me'!$B$13)*(1+'Read Me'!$B$12),-1)</f>
        <v/>
      </c>
      <c r="W1600" s="17">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7" t="n">
        <v>445</v>
      </c>
      <c r="U1601" s="17" t="n">
        <v>178</v>
      </c>
      <c r="V1601" s="17">
        <f>ROUNDUP((T1601+U1601+2*'Read Me'!$B$13)*(1+'Read Me'!$B$12),-1)</f>
        <v/>
      </c>
      <c r="W1601" s="17">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7" t="n">
        <v>445</v>
      </c>
      <c r="U1602" s="17" t="n">
        <v>178</v>
      </c>
      <c r="V1602" s="17">
        <f>ROUNDUP((T1602+U1602+2*'Read Me'!$B$13)*(1+'Read Me'!$B$12),-1)</f>
        <v/>
      </c>
      <c r="W1602" s="17">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7" t="n">
        <v>445</v>
      </c>
      <c r="U1603" s="17" t="n">
        <v>178</v>
      </c>
      <c r="V1603" s="17">
        <f>ROUNDUP((T1603+U1603+2*'Read Me'!$B$13)*(1+'Read Me'!$B$12),-1)</f>
        <v/>
      </c>
      <c r="W1603" s="17">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7" t="n">
        <v>625</v>
      </c>
      <c r="U1604" s="17" t="n">
        <v>158</v>
      </c>
      <c r="V1604" s="17">
        <f>ROUNDUP((T1604+U1604+2*'Read Me'!$B$13)*(1+'Read Me'!$B$12),-1)</f>
        <v/>
      </c>
      <c r="W1604" s="17">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7" t="n">
        <v>625</v>
      </c>
      <c r="U1605" s="17" t="n">
        <v>158</v>
      </c>
      <c r="V1605" s="17">
        <f>ROUNDUP((T1605+U1605+2*'Read Me'!$B$13)*(1+'Read Me'!$B$12),-1)</f>
        <v/>
      </c>
      <c r="W1605" s="17">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7" t="n">
        <v>625</v>
      </c>
      <c r="U1606" s="17" t="n">
        <v>158</v>
      </c>
      <c r="V1606" s="17">
        <f>ROUNDUP((T1606+U1606+2*'Read Me'!$B$13)*(1+'Read Me'!$B$12),-1)</f>
        <v/>
      </c>
      <c r="W1606" s="17">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7" t="n">
        <v>625</v>
      </c>
      <c r="U1607" s="17" t="n">
        <v>158</v>
      </c>
      <c r="V1607" s="17">
        <f>ROUNDUP((T1607+U1607+2*'Read Me'!$B$13)*(1+'Read Me'!$B$12),-1)</f>
        <v/>
      </c>
      <c r="W1607" s="17">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7" t="n">
        <v>793</v>
      </c>
      <c r="U1608" s="17" t="n">
        <v>166</v>
      </c>
      <c r="V1608" s="17">
        <f>ROUNDUP((T1608+U1608+2*'Read Me'!$B$13)*(1+'Read Me'!$B$12),-1)</f>
        <v/>
      </c>
      <c r="W1608" s="17">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7" t="n">
        <v>793</v>
      </c>
      <c r="U1609" s="17" t="n">
        <v>166</v>
      </c>
      <c r="V1609" s="17">
        <f>ROUNDUP((T1609+U1609+2*'Read Me'!$B$13)*(1+'Read Me'!$B$12),-1)</f>
        <v/>
      </c>
      <c r="W1609" s="17">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7" t="n">
        <v>793</v>
      </c>
      <c r="U1610" s="17" t="n">
        <v>166</v>
      </c>
      <c r="V1610" s="17">
        <f>ROUNDUP((T1610+U1610+2*'Read Me'!$B$13)*(1+'Read Me'!$B$12),-1)</f>
        <v/>
      </c>
      <c r="W1610" s="17">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7" t="n">
        <v>793</v>
      </c>
      <c r="U1611" s="17" t="n">
        <v>166</v>
      </c>
      <c r="V1611" s="17">
        <f>ROUNDUP((T1611+U1611+2*'Read Me'!$B$13)*(1+'Read Me'!$B$12),-1)</f>
        <v/>
      </c>
      <c r="W1611" s="17">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7" t="n">
        <v>0</v>
      </c>
      <c r="U1612" s="17" t="n">
        <v>87</v>
      </c>
      <c r="V1612" s="17">
        <f>ROUNDUP((T1612+U1612+2*'Read Me'!$B$13)*(1+'Read Me'!$B$12),-1)</f>
        <v/>
      </c>
      <c r="W1612" s="17">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7" t="n">
        <v>0</v>
      </c>
      <c r="U1613" s="17" t="n">
        <v>87</v>
      </c>
      <c r="V1613" s="17">
        <f>ROUNDUP((T1613+U1613+2*'Read Me'!$B$13)*(1+'Read Me'!$B$12),-1)</f>
        <v/>
      </c>
      <c r="W1613" s="17">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7" t="n">
        <v>0</v>
      </c>
      <c r="U1614" s="17" t="n">
        <v>87</v>
      </c>
      <c r="V1614" s="17">
        <f>ROUNDUP((T1614+U1614+2*'Read Me'!$B$13)*(1+'Read Me'!$B$12),-1)</f>
        <v/>
      </c>
      <c r="W1614" s="17">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7" t="n">
        <v>0</v>
      </c>
      <c r="U1615" s="17" t="n">
        <v>87</v>
      </c>
      <c r="V1615" s="17">
        <f>ROUNDUP((T1615+U1615+2*'Read Me'!$B$13)*(1+'Read Me'!$B$12),-1)</f>
        <v/>
      </c>
      <c r="W1615" s="17">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0</v>
      </c>
      <c r="U1616" s="17" t="n">
        <v>87</v>
      </c>
      <c r="V1616" s="17">
        <f>ROUNDUP((T1616+U1616+2*'Read Me'!$B$13)*(1+'Read Me'!$B$12),-1)</f>
        <v/>
      </c>
      <c r="W1616" s="17">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0</v>
      </c>
      <c r="U1617" s="17" t="n">
        <v>87</v>
      </c>
      <c r="V1617" s="17">
        <f>ROUNDUP((T1617+U1617+2*'Read Me'!$B$13)*(1+'Read Me'!$B$12),-1)</f>
        <v/>
      </c>
      <c r="W1617" s="17">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0</v>
      </c>
      <c r="U1618" s="17" t="n">
        <v>87</v>
      </c>
      <c r="V1618" s="17">
        <f>ROUNDUP((T1618+U1618+2*'Read Me'!$B$13)*(1+'Read Me'!$B$12),-1)</f>
        <v/>
      </c>
      <c r="W1618" s="17">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0</v>
      </c>
      <c r="U1619" s="17" t="n">
        <v>87</v>
      </c>
      <c r="V1619" s="17">
        <f>ROUNDUP((T1619+U1619+2*'Read Me'!$B$13)*(1+'Read Me'!$B$12),-1)</f>
        <v/>
      </c>
      <c r="W1619" s="17">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0</v>
      </c>
      <c r="U1620" s="17" t="n">
        <v>87</v>
      </c>
      <c r="V1620" s="17">
        <f>ROUNDUP((T1620+U1620+2*'Read Me'!$B$13)*(1+'Read Me'!$B$12),-1)</f>
        <v/>
      </c>
      <c r="W1620" s="17">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0</v>
      </c>
      <c r="U1621" s="17" t="n">
        <v>87</v>
      </c>
      <c r="V1621" s="17">
        <f>ROUNDUP((T1621+U1621+2*'Read Me'!$B$13)*(1+'Read Me'!$B$12),-1)</f>
        <v/>
      </c>
      <c r="W1621" s="17">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0</v>
      </c>
      <c r="U1622" s="17" t="n">
        <v>87</v>
      </c>
      <c r="V1622" s="17">
        <f>ROUNDUP((T1622+U1622+2*'Read Me'!$B$13)*(1+'Read Me'!$B$12),-1)</f>
        <v/>
      </c>
      <c r="W1622" s="17">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0</v>
      </c>
      <c r="U1623" s="17" t="n">
        <v>87</v>
      </c>
      <c r="V1623" s="17">
        <f>ROUNDUP((T1623+U1623+2*'Read Me'!$B$13)*(1+'Read Me'!$B$12),-1)</f>
        <v/>
      </c>
      <c r="W1623" s="17">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0</v>
      </c>
      <c r="U1624" s="17" t="n">
        <v>87</v>
      </c>
      <c r="V1624" s="17">
        <f>ROUNDUP((T1624+U1624+2*'Read Me'!$B$13)*(1+'Read Me'!$B$12),-1)</f>
        <v/>
      </c>
      <c r="W1624" s="17">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0</v>
      </c>
      <c r="U1625" s="17" t="n">
        <v>87</v>
      </c>
      <c r="V1625" s="17">
        <f>ROUNDUP((T1625+U1625+2*'Read Me'!$B$13)*(1+'Read Me'!$B$12),-1)</f>
        <v/>
      </c>
      <c r="W1625" s="17">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0</v>
      </c>
      <c r="U1626" s="17" t="n">
        <v>87</v>
      </c>
      <c r="V1626" s="17">
        <f>ROUNDUP((T1626+U1626+2*'Read Me'!$B$13)*(1+'Read Me'!$B$12),-1)</f>
        <v/>
      </c>
      <c r="W1626" s="17">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0</v>
      </c>
      <c r="U1627" s="17" t="n">
        <v>87</v>
      </c>
      <c r="V1627" s="17">
        <f>ROUNDUP((T1627+U1627+2*'Read Me'!$B$13)*(1+'Read Me'!$B$12),-1)</f>
        <v/>
      </c>
      <c r="W1627" s="17">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0</v>
      </c>
      <c r="U1628" s="17" t="n">
        <v>87</v>
      </c>
      <c r="V1628" s="17">
        <f>ROUNDUP((T1628+U1628+2*'Read Me'!$B$13)*(1+'Read Me'!$B$12),-1)</f>
        <v/>
      </c>
      <c r="W1628" s="17">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0</v>
      </c>
      <c r="U1629" s="17" t="n">
        <v>87</v>
      </c>
      <c r="V1629" s="17">
        <f>ROUNDUP((T1629+U1629+2*'Read Me'!$B$13)*(1+'Read Me'!$B$12),-1)</f>
        <v/>
      </c>
      <c r="W1629" s="17">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0</v>
      </c>
      <c r="U1630" s="17" t="n">
        <v>87</v>
      </c>
      <c r="V1630" s="17">
        <f>ROUNDUP((T1630+U1630+2*'Read Me'!$B$13)*(1+'Read Me'!$B$12),-1)</f>
        <v/>
      </c>
      <c r="W1630" s="17">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0</v>
      </c>
      <c r="U1631" s="17" t="n">
        <v>87</v>
      </c>
      <c r="V1631" s="17">
        <f>ROUNDUP((T1631+U1631+2*'Read Me'!$B$13)*(1+'Read Me'!$B$12),-1)</f>
        <v/>
      </c>
      <c r="W1631" s="17">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0</v>
      </c>
      <c r="U1632" s="17" t="n">
        <v>87</v>
      </c>
      <c r="V1632" s="17">
        <f>ROUNDUP((T1632+U1632+2*'Read Me'!$B$13)*(1+'Read Me'!$B$12),-1)</f>
        <v/>
      </c>
      <c r="W1632" s="17">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0</v>
      </c>
      <c r="U1633" s="17" t="n">
        <v>87</v>
      </c>
      <c r="V1633" s="17">
        <f>ROUNDUP((T1633+U1633+2*'Read Me'!$B$13)*(1+'Read Me'!$B$12),-1)</f>
        <v/>
      </c>
      <c r="W1633" s="17">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0</v>
      </c>
      <c r="U1634" s="17" t="n">
        <v>87</v>
      </c>
      <c r="V1634" s="17">
        <f>ROUNDUP((T1634+U1634+2*'Read Me'!$B$13)*(1+'Read Me'!$B$12),-1)</f>
        <v/>
      </c>
      <c r="W1634" s="17">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0</v>
      </c>
      <c r="U1635" s="17" t="n">
        <v>87</v>
      </c>
      <c r="V1635" s="17">
        <f>ROUNDUP((T1635+U1635+2*'Read Me'!$B$13)*(1+'Read Me'!$B$12),-1)</f>
        <v/>
      </c>
      <c r="W1635" s="17">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0</v>
      </c>
      <c r="U1636" s="17" t="n">
        <v>87</v>
      </c>
      <c r="V1636" s="17">
        <f>ROUNDUP((T1636+U1636+2*'Read Me'!$B$13)*(1+'Read Me'!$B$12),-1)</f>
        <v/>
      </c>
      <c r="W1636" s="17">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0</v>
      </c>
      <c r="U1637" s="17" t="n">
        <v>87</v>
      </c>
      <c r="V1637" s="17">
        <f>ROUNDUP((T1637+U1637+2*'Read Me'!$B$13)*(1+'Read Me'!$B$12),-1)</f>
        <v/>
      </c>
      <c r="W1637" s="17">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0</v>
      </c>
      <c r="U1638" s="17" t="n">
        <v>87</v>
      </c>
      <c r="V1638" s="17">
        <f>ROUNDUP((T1638+U1638+2*'Read Me'!$B$13)*(1+'Read Me'!$B$12),-1)</f>
        <v/>
      </c>
      <c r="W1638" s="17">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0</v>
      </c>
      <c r="U1639" s="17" t="n">
        <v>87</v>
      </c>
      <c r="V1639" s="17">
        <f>ROUNDUP((T1639+U1639+2*'Read Me'!$B$13)*(1+'Read Me'!$B$12),-1)</f>
        <v/>
      </c>
      <c r="W1639" s="17">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0</v>
      </c>
      <c r="U1640" s="17" t="n">
        <v>87</v>
      </c>
      <c r="V1640" s="17">
        <f>ROUNDUP((T1640+U1640+2*'Read Me'!$B$13)*(1+'Read Me'!$B$12),-1)</f>
        <v/>
      </c>
      <c r="W1640" s="17">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0</v>
      </c>
      <c r="U1641" s="17" t="n">
        <v>87</v>
      </c>
      <c r="V1641" s="17">
        <f>ROUNDUP((T1641+U1641+2*'Read Me'!$B$13)*(1+'Read Me'!$B$12),-1)</f>
        <v/>
      </c>
      <c r="W1641" s="17">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0</v>
      </c>
      <c r="U1642" s="17" t="n">
        <v>87</v>
      </c>
      <c r="V1642" s="17">
        <f>ROUNDUP((T1642+U1642+2*'Read Me'!$B$13)*(1+'Read Me'!$B$12),-1)</f>
        <v/>
      </c>
      <c r="W1642" s="17">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0</v>
      </c>
      <c r="U1643" s="17" t="n">
        <v>87</v>
      </c>
      <c r="V1643" s="17">
        <f>ROUNDUP((T1643+U1643+2*'Read Me'!$B$13)*(1+'Read Me'!$B$12),-1)</f>
        <v/>
      </c>
      <c r="W1643" s="17">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0</v>
      </c>
      <c r="U1644" s="17" t="n">
        <v>87</v>
      </c>
      <c r="V1644" s="17">
        <f>ROUNDUP((T1644+U1644+2*'Read Me'!$B$13)*(1+'Read Me'!$B$12),-1)</f>
        <v/>
      </c>
      <c r="W1644" s="17">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0</v>
      </c>
      <c r="U1645" s="17" t="n">
        <v>87</v>
      </c>
      <c r="V1645" s="17">
        <f>ROUNDUP((T1645+U1645+2*'Read Me'!$B$13)*(1+'Read Me'!$B$12),-1)</f>
        <v/>
      </c>
      <c r="W1645" s="17">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0</v>
      </c>
      <c r="U1646" s="17" t="n">
        <v>87</v>
      </c>
      <c r="V1646" s="17">
        <f>ROUNDUP((T1646+U1646+2*'Read Me'!$B$13)*(1+'Read Me'!$B$12),-1)</f>
        <v/>
      </c>
      <c r="W1646" s="17">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0</v>
      </c>
      <c r="U1647" s="17" t="n">
        <v>87</v>
      </c>
      <c r="V1647" s="17">
        <f>ROUNDUP((T1647+U1647+2*'Read Me'!$B$13)*(1+'Read Me'!$B$12),-1)</f>
        <v/>
      </c>
      <c r="W1647" s="17">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0</v>
      </c>
      <c r="U1648" s="17" t="n">
        <v>87</v>
      </c>
      <c r="V1648" s="17">
        <f>ROUNDUP((T1648+U1648+2*'Read Me'!$B$13)*(1+'Read Me'!$B$12),-1)</f>
        <v/>
      </c>
      <c r="W1648" s="17">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7" t="n">
        <v>0</v>
      </c>
      <c r="U1649" s="17" t="n">
        <v>87</v>
      </c>
      <c r="V1649" s="17">
        <f>ROUNDUP((T1649+U1649+2*'Read Me'!$B$13)*(1+'Read Me'!$B$12),-1)</f>
        <v/>
      </c>
      <c r="W1649" s="17">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7" t="n">
        <v>0</v>
      </c>
      <c r="U1650" s="17" t="n">
        <v>87</v>
      </c>
      <c r="V1650" s="17">
        <f>ROUNDUP((T1650+U1650+2*'Read Me'!$B$13)*(1+'Read Me'!$B$12),-1)</f>
        <v/>
      </c>
      <c r="W1650" s="17">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7" t="n">
        <v>0</v>
      </c>
      <c r="U1651" s="17" t="n">
        <v>87</v>
      </c>
      <c r="V1651" s="17">
        <f>ROUNDUP((T1651+U1651+2*'Read Me'!$B$13)*(1+'Read Me'!$B$12),-1)</f>
        <v/>
      </c>
      <c r="W1651" s="17">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7" t="n">
        <v>0</v>
      </c>
      <c r="U1652" s="17" t="n">
        <v>87</v>
      </c>
      <c r="V1652" s="17">
        <f>ROUNDUP((T1652+U1652+2*'Read Me'!$B$13)*(1+'Read Me'!$B$12),-1)</f>
        <v/>
      </c>
      <c r="W1652" s="17">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7" t="n">
        <v>0</v>
      </c>
      <c r="U1653" s="17" t="n">
        <v>87</v>
      </c>
      <c r="V1653" s="17">
        <f>ROUNDUP((T1653+U1653+2*'Read Me'!$B$13)*(1+'Read Me'!$B$12),-1)</f>
        <v/>
      </c>
      <c r="W1653" s="17">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7" t="n">
        <v>0</v>
      </c>
      <c r="U1654" s="17" t="n">
        <v>87</v>
      </c>
      <c r="V1654" s="17">
        <f>ROUNDUP((T1654+U1654+2*'Read Me'!$B$13)*(1+'Read Me'!$B$12),-1)</f>
        <v/>
      </c>
      <c r="W1654" s="17">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7" t="n">
        <v>0</v>
      </c>
      <c r="U1655" s="17" t="n">
        <v>87</v>
      </c>
      <c r="V1655" s="17">
        <f>ROUNDUP((T1655+U1655+2*'Read Me'!$B$13)*(1+'Read Me'!$B$12),-1)</f>
        <v/>
      </c>
      <c r="W1655" s="17">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7" t="n">
        <v>0</v>
      </c>
      <c r="U1656" s="17" t="n">
        <v>87</v>
      </c>
      <c r="V1656" s="17">
        <f>ROUNDUP((T1656+U1656+2*'Read Me'!$B$13)*(1+'Read Me'!$B$12),-1)</f>
        <v/>
      </c>
      <c r="W1656" s="17">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0</v>
      </c>
      <c r="U1657" s="17" t="n">
        <v>87</v>
      </c>
      <c r="V1657" s="17">
        <f>ROUNDUP((T1657+U1657+2*'Read Me'!$B$13)*(1+'Read Me'!$B$12),-1)</f>
        <v/>
      </c>
      <c r="W1657" s="17">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0</v>
      </c>
      <c r="U1658" s="17" t="n">
        <v>87</v>
      </c>
      <c r="V1658" s="17">
        <f>ROUNDUP((T1658+U1658+2*'Read Me'!$B$13)*(1+'Read Me'!$B$12),-1)</f>
        <v/>
      </c>
      <c r="W1658" s="17">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0</v>
      </c>
      <c r="U1659" s="17" t="n">
        <v>87</v>
      </c>
      <c r="V1659" s="17">
        <f>ROUNDUP((T1659+U1659+2*'Read Me'!$B$13)*(1+'Read Me'!$B$12),-1)</f>
        <v/>
      </c>
      <c r="W1659" s="17">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0</v>
      </c>
      <c r="U1660" s="17" t="n">
        <v>87</v>
      </c>
      <c r="V1660" s="17">
        <f>ROUNDUP((T1660+U1660+2*'Read Me'!$B$13)*(1+'Read Me'!$B$12),-1)</f>
        <v/>
      </c>
      <c r="W1660" s="17">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7" t="n">
        <v>300</v>
      </c>
      <c r="U1661" s="17" t="n">
        <v>87</v>
      </c>
      <c r="V1661" s="17">
        <f>ROUNDUP((T1661+U1661+2*'Read Me'!$B$13)*(1+'Read Me'!$B$12),-1)</f>
        <v/>
      </c>
      <c r="W1661" s="17">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7" t="n">
        <v>300</v>
      </c>
      <c r="U1662" s="17" t="n">
        <v>87</v>
      </c>
      <c r="V1662" s="17">
        <f>ROUNDUP((T1662+U1662+2*'Read Me'!$B$13)*(1+'Read Me'!$B$12),-1)</f>
        <v/>
      </c>
      <c r="W1662" s="17">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7" t="n">
        <v>300</v>
      </c>
      <c r="U1663" s="17" t="n">
        <v>87</v>
      </c>
      <c r="V1663" s="17">
        <f>ROUNDUP((T1663+U1663+2*'Read Me'!$B$13)*(1+'Read Me'!$B$12),-1)</f>
        <v/>
      </c>
      <c r="W1663" s="17">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7" t="n">
        <v>300</v>
      </c>
      <c r="U1664" s="17" t="n">
        <v>87</v>
      </c>
      <c r="V1664" s="17">
        <f>ROUNDUP((T1664+U1664+2*'Read Me'!$B$13)*(1+'Read Me'!$B$12),-1)</f>
        <v/>
      </c>
      <c r="W1664" s="17">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7" t="n">
        <v>0</v>
      </c>
      <c r="U1665" s="17" t="n">
        <v>87</v>
      </c>
      <c r="V1665" s="17">
        <f>ROUNDUP((T1665+U1665+2*'Read Me'!$B$13)*(1+'Read Me'!$B$12),-1)</f>
        <v/>
      </c>
      <c r="W1665" s="17">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7" t="n">
        <v>0</v>
      </c>
      <c r="U1666" s="17" t="n">
        <v>87</v>
      </c>
      <c r="V1666" s="17">
        <f>ROUNDUP((T1666+U1666+2*'Read Me'!$B$13)*(1+'Read Me'!$B$12),-1)</f>
        <v/>
      </c>
      <c r="W1666" s="17">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7" t="n">
        <v>0</v>
      </c>
      <c r="U1667" s="17" t="n">
        <v>87</v>
      </c>
      <c r="V1667" s="17">
        <f>ROUNDUP((T1667+U1667+2*'Read Me'!$B$13)*(1+'Read Me'!$B$12),-1)</f>
        <v/>
      </c>
      <c r="W1667" s="17">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7" t="n">
        <v>0</v>
      </c>
      <c r="U1668" s="17" t="n">
        <v>87</v>
      </c>
      <c r="V1668" s="17">
        <f>ROUNDUP((T1668+U1668+2*'Read Me'!$B$13)*(1+'Read Me'!$B$12),-1)</f>
        <v/>
      </c>
      <c r="W1668" s="17">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7" t="n">
        <v>38</v>
      </c>
      <c r="U1669" s="17" t="n">
        <v>86</v>
      </c>
      <c r="V1669" s="17">
        <f>ROUNDUP((T1669+U1669+2*'Read Me'!$B$13)*(1+'Read Me'!$B$12),-1)</f>
        <v/>
      </c>
      <c r="W1669" s="17">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7" t="n">
        <v>38</v>
      </c>
      <c r="U1670" s="17" t="n">
        <v>86</v>
      </c>
      <c r="V1670" s="17">
        <f>ROUNDUP((T1670+U1670+2*'Read Me'!$B$13)*(1+'Read Me'!$B$12),-1)</f>
        <v/>
      </c>
      <c r="W1670" s="17">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7" t="n">
        <v>38</v>
      </c>
      <c r="U1671" s="17" t="n">
        <v>86</v>
      </c>
      <c r="V1671" s="17">
        <f>ROUNDUP((T1671+U1671+2*'Read Me'!$B$13)*(1+'Read Me'!$B$12),-1)</f>
        <v/>
      </c>
      <c r="W1671" s="17">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7" t="n">
        <v>38</v>
      </c>
      <c r="U1672" s="17" t="n">
        <v>86</v>
      </c>
      <c r="V1672" s="17">
        <f>ROUNDUP((T1672+U1672+2*'Read Me'!$B$13)*(1+'Read Me'!$B$12),-1)</f>
        <v/>
      </c>
      <c r="W1672" s="17">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7" t="n">
        <v>38</v>
      </c>
      <c r="U1673" s="17" t="n">
        <v>86</v>
      </c>
      <c r="V1673" s="17">
        <f>ROUNDUP((T1673+U1673+2*'Read Me'!$B$13)*(1+'Read Me'!$B$12),-1)</f>
        <v/>
      </c>
      <c r="W1673" s="17">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7" t="n">
        <v>404</v>
      </c>
      <c r="U1674" s="17" t="n">
        <v>108</v>
      </c>
      <c r="V1674" s="17">
        <f>ROUNDUP((T1674+U1674+2*'Read Me'!$B$13)*(1+'Read Me'!$B$12),-1)</f>
        <v/>
      </c>
      <c r="W1674" s="17">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7" t="n">
        <v>404</v>
      </c>
      <c r="U1675" s="17" t="n">
        <v>108</v>
      </c>
      <c r="V1675" s="17">
        <f>ROUNDUP((T1675+U1675+2*'Read Me'!$B$13)*(1+'Read Me'!$B$12),-1)</f>
        <v/>
      </c>
      <c r="W1675" s="17">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7" t="n">
        <v>404</v>
      </c>
      <c r="U1676" s="17" t="n">
        <v>108</v>
      </c>
      <c r="V1676" s="17">
        <f>ROUNDUP((T1676+U1676+2*'Read Me'!$B$13)*(1+'Read Me'!$B$12),-1)</f>
        <v/>
      </c>
      <c r="W1676" s="17">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7" t="n">
        <v>404</v>
      </c>
      <c r="U1677" s="17" t="n">
        <v>108</v>
      </c>
      <c r="V1677" s="17">
        <f>ROUNDUP((T1677+U1677+2*'Read Me'!$B$13)*(1+'Read Me'!$B$12),-1)</f>
        <v/>
      </c>
      <c r="W1677" s="17">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7" t="n">
        <v>404</v>
      </c>
      <c r="U1678" s="17" t="n">
        <v>108</v>
      </c>
      <c r="V1678" s="17">
        <f>ROUNDUP((T1678+U1678+2*'Read Me'!$B$13)*(1+'Read Me'!$B$12),-1)</f>
        <v/>
      </c>
      <c r="W1678" s="17">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7" t="n">
        <v>404</v>
      </c>
      <c r="U1679" s="17" t="n">
        <v>108</v>
      </c>
      <c r="V1679" s="17">
        <f>ROUNDUP((T1679+U1679+2*'Read Me'!$B$13)*(1+'Read Me'!$B$12),-1)</f>
        <v/>
      </c>
      <c r="W1679" s="17">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7" t="n">
        <v>486</v>
      </c>
      <c r="U1680" s="17" t="n">
        <v>148</v>
      </c>
      <c r="V1680" s="17">
        <f>ROUNDUP((T1680+U1680+2*'Read Me'!$B$13)*(1+'Read Me'!$B$12),-1)</f>
        <v/>
      </c>
      <c r="W1680" s="17">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7" t="n">
        <v>186</v>
      </c>
      <c r="U1681" s="17" t="n">
        <v>328</v>
      </c>
      <c r="V1681" s="17">
        <f>ROUNDUP((T1681+U1681+2*'Read Me'!$B$13)*(1+'Read Me'!$B$12),-1)</f>
        <v/>
      </c>
      <c r="W1681" s="17">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7" t="n">
        <v>53</v>
      </c>
      <c r="U1682" s="17" t="n">
        <v>96</v>
      </c>
      <c r="V1682" s="17">
        <f>ROUNDUP((T1682+U1682+2*'Read Me'!$B$13)*(1+'Read Me'!$B$12),-1)</f>
        <v/>
      </c>
      <c r="W1682" s="17">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7" t="n">
        <v>53</v>
      </c>
      <c r="U1683" s="17" t="n">
        <v>96</v>
      </c>
      <c r="V1683" s="17">
        <f>ROUNDUP((T1683+U1683+2*'Read Me'!$B$13)*(1+'Read Me'!$B$12),-1)</f>
        <v/>
      </c>
      <c r="W1683" s="17">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7" t="n">
        <v>53</v>
      </c>
      <c r="U1684" s="17" t="n">
        <v>96</v>
      </c>
      <c r="V1684" s="17">
        <f>ROUNDUP((T1684+U1684+2*'Read Me'!$B$13)*(1+'Read Me'!$B$12),-1)</f>
        <v/>
      </c>
      <c r="W1684" s="17">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7" t="n">
        <v>53</v>
      </c>
      <c r="U1685" s="17" t="n">
        <v>96</v>
      </c>
      <c r="V1685" s="17">
        <f>ROUNDUP((T1685+U1685+2*'Read Me'!$B$13)*(1+'Read Me'!$B$12),-1)</f>
        <v/>
      </c>
      <c r="W1685" s="17">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53</v>
      </c>
      <c r="U1686" s="17" t="n">
        <v>96</v>
      </c>
      <c r="V1686" s="17">
        <f>ROUNDUP((T1686+U1686+2*'Read Me'!$B$13)*(1+'Read Me'!$B$12),-1)</f>
        <v/>
      </c>
      <c r="W1686" s="17">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53</v>
      </c>
      <c r="U1687" s="17" t="n">
        <v>96</v>
      </c>
      <c r="V1687" s="17">
        <f>ROUNDUP((T1687+U1687+2*'Read Me'!$B$13)*(1+'Read Me'!$B$12),-1)</f>
        <v/>
      </c>
      <c r="W1687" s="17">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53</v>
      </c>
      <c r="U1688" s="17" t="n">
        <v>96</v>
      </c>
      <c r="V1688" s="17">
        <f>ROUNDUP((T1688+U1688+2*'Read Me'!$B$13)*(1+'Read Me'!$B$12),-1)</f>
        <v/>
      </c>
      <c r="W1688" s="17">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53</v>
      </c>
      <c r="U1689" s="17" t="n">
        <v>96</v>
      </c>
      <c r="V1689" s="17">
        <f>ROUNDUP((T1689+U1689+2*'Read Me'!$B$13)*(1+'Read Me'!$B$12),-1)</f>
        <v/>
      </c>
      <c r="W1689" s="17">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53</v>
      </c>
      <c r="U1690" s="17" t="n">
        <v>96</v>
      </c>
      <c r="V1690" s="17">
        <f>ROUNDUP((T1690+U1690+2*'Read Me'!$B$13)*(1+'Read Me'!$B$12),-1)</f>
        <v/>
      </c>
      <c r="W1690" s="17">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53</v>
      </c>
      <c r="U1691" s="17" t="n">
        <v>96</v>
      </c>
      <c r="V1691" s="17">
        <f>ROUNDUP((T1691+U1691+2*'Read Me'!$B$13)*(1+'Read Me'!$B$12),-1)</f>
        <v/>
      </c>
      <c r="W1691" s="17">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53</v>
      </c>
      <c r="U1692" s="17" t="n">
        <v>96</v>
      </c>
      <c r="V1692" s="17">
        <f>ROUNDUP((T1692+U1692+2*'Read Me'!$B$13)*(1+'Read Me'!$B$12),-1)</f>
        <v/>
      </c>
      <c r="W1692" s="17">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53</v>
      </c>
      <c r="U1693" s="17" t="n">
        <v>96</v>
      </c>
      <c r="V1693" s="17">
        <f>ROUNDUP((T1693+U1693+2*'Read Me'!$B$13)*(1+'Read Me'!$B$12),-1)</f>
        <v/>
      </c>
      <c r="W1693" s="17">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53</v>
      </c>
      <c r="U1694" s="17" t="n">
        <v>96</v>
      </c>
      <c r="V1694" s="17">
        <f>ROUNDUP((T1694+U1694+2*'Read Me'!$B$13)*(1+'Read Me'!$B$12),-1)</f>
        <v/>
      </c>
      <c r="W1694" s="17">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53</v>
      </c>
      <c r="U1695" s="17" t="n">
        <v>96</v>
      </c>
      <c r="V1695" s="17">
        <f>ROUNDUP((T1695+U1695+2*'Read Me'!$B$13)*(1+'Read Me'!$B$12),-1)</f>
        <v/>
      </c>
      <c r="W1695" s="17">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53</v>
      </c>
      <c r="U1696" s="17" t="n">
        <v>96</v>
      </c>
      <c r="V1696" s="17">
        <f>ROUNDUP((T1696+U1696+2*'Read Me'!$B$13)*(1+'Read Me'!$B$12),-1)</f>
        <v/>
      </c>
      <c r="W1696" s="17">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53</v>
      </c>
      <c r="U1697" s="17" t="n">
        <v>96</v>
      </c>
      <c r="V1697" s="17">
        <f>ROUNDUP((T1697+U1697+2*'Read Me'!$B$13)*(1+'Read Me'!$B$12),-1)</f>
        <v/>
      </c>
      <c r="W1697" s="17">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53</v>
      </c>
      <c r="U1698" s="17" t="n">
        <v>96</v>
      </c>
      <c r="V1698" s="17">
        <f>ROUNDUP((T1698+U1698+2*'Read Me'!$B$13)*(1+'Read Me'!$B$12),-1)</f>
        <v/>
      </c>
      <c r="W1698" s="17">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53</v>
      </c>
      <c r="U1699" s="17" t="n">
        <v>96</v>
      </c>
      <c r="V1699" s="17">
        <f>ROUNDUP((T1699+U1699+2*'Read Me'!$B$13)*(1+'Read Me'!$B$12),-1)</f>
        <v/>
      </c>
      <c r="W1699" s="17">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53</v>
      </c>
      <c r="U1700" s="17" t="n">
        <v>96</v>
      </c>
      <c r="V1700" s="17">
        <f>ROUNDUP((T1700+U1700+2*'Read Me'!$B$13)*(1+'Read Me'!$B$12),-1)</f>
        <v/>
      </c>
      <c r="W1700" s="17">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53</v>
      </c>
      <c r="U1701" s="17" t="n">
        <v>96</v>
      </c>
      <c r="V1701" s="17">
        <f>ROUNDUP((T1701+U1701+2*'Read Me'!$B$13)*(1+'Read Me'!$B$12),-1)</f>
        <v/>
      </c>
      <c r="W1701" s="17">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53</v>
      </c>
      <c r="U1702" s="17" t="n">
        <v>96</v>
      </c>
      <c r="V1702" s="17">
        <f>ROUNDUP((T1702+U1702+2*'Read Me'!$B$13)*(1+'Read Me'!$B$12),-1)</f>
        <v/>
      </c>
      <c r="W1702" s="17">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53</v>
      </c>
      <c r="U1703" s="17" t="n">
        <v>96</v>
      </c>
      <c r="V1703" s="17">
        <f>ROUNDUP((T1703+U1703+2*'Read Me'!$B$13)*(1+'Read Me'!$B$12),-1)</f>
        <v/>
      </c>
      <c r="W1703" s="17">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53</v>
      </c>
      <c r="U1704" s="17" t="n">
        <v>96</v>
      </c>
      <c r="V1704" s="17">
        <f>ROUNDUP((T1704+U1704+2*'Read Me'!$B$13)*(1+'Read Me'!$B$12),-1)</f>
        <v/>
      </c>
      <c r="W1704" s="17">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53</v>
      </c>
      <c r="U1705" s="17" t="n">
        <v>96</v>
      </c>
      <c r="V1705" s="17">
        <f>ROUNDUP((T1705+U1705+2*'Read Me'!$B$13)*(1+'Read Me'!$B$12),-1)</f>
        <v/>
      </c>
      <c r="W1705" s="17">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53</v>
      </c>
      <c r="U1706" s="17" t="n">
        <v>96</v>
      </c>
      <c r="V1706" s="17">
        <f>ROUNDUP((T1706+U1706+2*'Read Me'!$B$13)*(1+'Read Me'!$B$12),-1)</f>
        <v/>
      </c>
      <c r="W1706" s="17">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53</v>
      </c>
      <c r="U1707" s="17" t="n">
        <v>96</v>
      </c>
      <c r="V1707" s="17">
        <f>ROUNDUP((T1707+U1707+2*'Read Me'!$B$13)*(1+'Read Me'!$B$12),-1)</f>
        <v/>
      </c>
      <c r="W1707" s="17">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53</v>
      </c>
      <c r="U1708" s="17" t="n">
        <v>96</v>
      </c>
      <c r="V1708" s="17">
        <f>ROUNDUP((T1708+U1708+2*'Read Me'!$B$13)*(1+'Read Me'!$B$12),-1)</f>
        <v/>
      </c>
      <c r="W1708" s="17">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53</v>
      </c>
      <c r="U1709" s="17" t="n">
        <v>96</v>
      </c>
      <c r="V1709" s="17">
        <f>ROUNDUP((T1709+U1709+2*'Read Me'!$B$13)*(1+'Read Me'!$B$12),-1)</f>
        <v/>
      </c>
      <c r="W1709" s="17">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53</v>
      </c>
      <c r="U1710" s="17" t="n">
        <v>96</v>
      </c>
      <c r="V1710" s="17">
        <f>ROUNDUP((T1710+U1710+2*'Read Me'!$B$13)*(1+'Read Me'!$B$12),-1)</f>
        <v/>
      </c>
      <c r="W1710" s="17">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53</v>
      </c>
      <c r="U1711" s="17" t="n">
        <v>96</v>
      </c>
      <c r="V1711" s="17">
        <f>ROUNDUP((T1711+U1711+2*'Read Me'!$B$13)*(1+'Read Me'!$B$12),-1)</f>
        <v/>
      </c>
      <c r="W1711" s="17">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53</v>
      </c>
      <c r="U1712" s="17" t="n">
        <v>96</v>
      </c>
      <c r="V1712" s="17">
        <f>ROUNDUP((T1712+U1712+2*'Read Me'!$B$13)*(1+'Read Me'!$B$12),-1)</f>
        <v/>
      </c>
      <c r="W1712" s="17">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53</v>
      </c>
      <c r="U1713" s="17" t="n">
        <v>96</v>
      </c>
      <c r="V1713" s="17">
        <f>ROUNDUP((T1713+U1713+2*'Read Me'!$B$13)*(1+'Read Me'!$B$12),-1)</f>
        <v/>
      </c>
      <c r="W1713" s="17">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53</v>
      </c>
      <c r="U1714" s="17" t="n">
        <v>96</v>
      </c>
      <c r="V1714" s="17">
        <f>ROUNDUP((T1714+U1714+2*'Read Me'!$B$13)*(1+'Read Me'!$B$12),-1)</f>
        <v/>
      </c>
      <c r="W1714" s="17">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53</v>
      </c>
      <c r="U1715" s="17" t="n">
        <v>96</v>
      </c>
      <c r="V1715" s="17">
        <f>ROUNDUP((T1715+U1715+2*'Read Me'!$B$13)*(1+'Read Me'!$B$12),-1)</f>
        <v/>
      </c>
      <c r="W1715" s="17">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53</v>
      </c>
      <c r="U1716" s="17" t="n">
        <v>96</v>
      </c>
      <c r="V1716" s="17">
        <f>ROUNDUP((T1716+U1716+2*'Read Me'!$B$13)*(1+'Read Me'!$B$12),-1)</f>
        <v/>
      </c>
      <c r="W1716" s="17">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53</v>
      </c>
      <c r="U1717" s="17" t="n">
        <v>96</v>
      </c>
      <c r="V1717" s="17">
        <f>ROUNDUP((T1717+U1717+2*'Read Me'!$B$13)*(1+'Read Me'!$B$12),-1)</f>
        <v/>
      </c>
      <c r="W1717" s="17">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7" t="n">
        <v>53</v>
      </c>
      <c r="U1718" s="17" t="n">
        <v>96</v>
      </c>
      <c r="V1718" s="17">
        <f>ROUNDUP((T1718+U1718+2*'Read Me'!$B$13)*(1+'Read Me'!$B$12),-1)</f>
        <v/>
      </c>
      <c r="W1718" s="17">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7" t="n">
        <v>53</v>
      </c>
      <c r="U1719" s="17" t="n">
        <v>96</v>
      </c>
      <c r="V1719" s="17">
        <f>ROUNDUP((T1719+U1719+2*'Read Me'!$B$13)*(1+'Read Me'!$B$12),-1)</f>
        <v/>
      </c>
      <c r="W1719" s="17">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7" t="n">
        <v>53</v>
      </c>
      <c r="U1720" s="17" t="n">
        <v>96</v>
      </c>
      <c r="V1720" s="17">
        <f>ROUNDUP((T1720+U1720+2*'Read Me'!$B$13)*(1+'Read Me'!$B$12),-1)</f>
        <v/>
      </c>
      <c r="W1720" s="17">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7" t="n">
        <v>53</v>
      </c>
      <c r="U1721" s="17" t="n">
        <v>96</v>
      </c>
      <c r="V1721" s="17">
        <f>ROUNDUP((T1721+U1721+2*'Read Me'!$B$13)*(1+'Read Me'!$B$12),-1)</f>
        <v/>
      </c>
      <c r="W1721" s="17">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7" t="n">
        <v>53</v>
      </c>
      <c r="U1722" s="17" t="n">
        <v>96</v>
      </c>
      <c r="V1722" s="17">
        <f>ROUNDUP((T1722+U1722+2*'Read Me'!$B$13)*(1+'Read Me'!$B$12),-1)</f>
        <v/>
      </c>
      <c r="W1722" s="17">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7" t="n">
        <v>53</v>
      </c>
      <c r="U1723" s="17" t="n">
        <v>96</v>
      </c>
      <c r="V1723" s="17">
        <f>ROUNDUP((T1723+U1723+2*'Read Me'!$B$13)*(1+'Read Me'!$B$12),-1)</f>
        <v/>
      </c>
      <c r="W1723" s="17">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7" t="n">
        <v>53</v>
      </c>
      <c r="U1724" s="17" t="n">
        <v>96</v>
      </c>
      <c r="V1724" s="17">
        <f>ROUNDUP((T1724+U1724+2*'Read Me'!$B$13)*(1+'Read Me'!$B$12),-1)</f>
        <v/>
      </c>
      <c r="W1724" s="17">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7" t="n">
        <v>53</v>
      </c>
      <c r="U1725" s="17" t="n">
        <v>96</v>
      </c>
      <c r="V1725" s="17">
        <f>ROUNDUP((T1725+U1725+2*'Read Me'!$B$13)*(1+'Read Me'!$B$12),-1)</f>
        <v/>
      </c>
      <c r="W1725" s="17">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53</v>
      </c>
      <c r="U1726" s="17" t="n">
        <v>96</v>
      </c>
      <c r="V1726" s="17">
        <f>ROUNDUP((T1726+U1726+2*'Read Me'!$B$13)*(1+'Read Me'!$B$12),-1)</f>
        <v/>
      </c>
      <c r="W1726" s="17">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53</v>
      </c>
      <c r="U1727" s="17" t="n">
        <v>96</v>
      </c>
      <c r="V1727" s="17">
        <f>ROUNDUP((T1727+U1727+2*'Read Me'!$B$13)*(1+'Read Me'!$B$12),-1)</f>
        <v/>
      </c>
      <c r="W1727" s="17">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53</v>
      </c>
      <c r="U1728" s="17" t="n">
        <v>96</v>
      </c>
      <c r="V1728" s="17">
        <f>ROUNDUP((T1728+U1728+2*'Read Me'!$B$13)*(1+'Read Me'!$B$12),-1)</f>
        <v/>
      </c>
      <c r="W1728" s="17">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53</v>
      </c>
      <c r="U1729" s="17" t="n">
        <v>96</v>
      </c>
      <c r="V1729" s="17">
        <f>ROUNDUP((T1729+U1729+2*'Read Me'!$B$13)*(1+'Read Me'!$B$12),-1)</f>
        <v/>
      </c>
      <c r="W1729" s="17">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7" t="n">
        <v>53</v>
      </c>
      <c r="U1730" s="17" t="n">
        <v>96</v>
      </c>
      <c r="V1730" s="17">
        <f>ROUNDUP((T1730+U1730+2*'Read Me'!$B$13)*(1+'Read Me'!$B$12),-1)</f>
        <v/>
      </c>
      <c r="W1730" s="17">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7" t="n">
        <v>353</v>
      </c>
      <c r="U1731" s="17" t="n">
        <v>96</v>
      </c>
      <c r="V1731" s="17">
        <f>ROUNDUP((T1731+U1731+2*'Read Me'!$B$13)*(1+'Read Me'!$B$12),-1)</f>
        <v/>
      </c>
      <c r="W1731" s="17">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7" t="n">
        <v>353</v>
      </c>
      <c r="U1732" s="17" t="n">
        <v>96</v>
      </c>
      <c r="V1732" s="17">
        <f>ROUNDUP((T1732+U1732+2*'Read Me'!$B$13)*(1+'Read Me'!$B$12),-1)</f>
        <v/>
      </c>
      <c r="W1732" s="17">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7" t="n">
        <v>353</v>
      </c>
      <c r="U1733" s="17" t="n">
        <v>96</v>
      </c>
      <c r="V1733" s="17">
        <f>ROUNDUP((T1733+U1733+2*'Read Me'!$B$13)*(1+'Read Me'!$B$12),-1)</f>
        <v/>
      </c>
      <c r="W1733" s="17">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7" t="n">
        <v>353</v>
      </c>
      <c r="U1734" s="17" t="n">
        <v>96</v>
      </c>
      <c r="V1734" s="17">
        <f>ROUNDUP((T1734+U1734+2*'Read Me'!$B$13)*(1+'Read Me'!$B$12),-1)</f>
        <v/>
      </c>
      <c r="W1734" s="17">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7" t="n">
        <v>53</v>
      </c>
      <c r="U1735" s="17" t="n">
        <v>96</v>
      </c>
      <c r="V1735" s="17">
        <f>ROUNDUP((T1735+U1735+2*'Read Me'!$B$13)*(1+'Read Me'!$B$12),-1)</f>
        <v/>
      </c>
      <c r="W1735" s="17">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7" t="n">
        <v>53</v>
      </c>
      <c r="U1736" s="17" t="n">
        <v>96</v>
      </c>
      <c r="V1736" s="17">
        <f>ROUNDUP((T1736+U1736+2*'Read Me'!$B$13)*(1+'Read Me'!$B$12),-1)</f>
        <v/>
      </c>
      <c r="W1736" s="17">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7" t="n">
        <v>53</v>
      </c>
      <c r="U1737" s="17" t="n">
        <v>96</v>
      </c>
      <c r="V1737" s="17">
        <f>ROUNDUP((T1737+U1737+2*'Read Me'!$B$13)*(1+'Read Me'!$B$12),-1)</f>
        <v/>
      </c>
      <c r="W1737" s="17">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7" t="n">
        <v>53</v>
      </c>
      <c r="U1738" s="17" t="n">
        <v>96</v>
      </c>
      <c r="V1738" s="17">
        <f>ROUNDUP((T1738+U1738+2*'Read Me'!$B$13)*(1+'Read Me'!$B$12),-1)</f>
        <v/>
      </c>
      <c r="W1738" s="17">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7" t="n">
        <v>38</v>
      </c>
      <c r="U1739" s="17" t="n">
        <v>86</v>
      </c>
      <c r="V1739" s="17">
        <f>ROUNDUP((T1739+U1739+2*'Read Me'!$B$13)*(1+'Read Me'!$B$12),-1)</f>
        <v/>
      </c>
      <c r="W1739" s="17">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7" t="n">
        <v>38</v>
      </c>
      <c r="U1740" s="17" t="n">
        <v>86</v>
      </c>
      <c r="V1740" s="17">
        <f>ROUNDUP((T1740+U1740+2*'Read Me'!$B$13)*(1+'Read Me'!$B$12),-1)</f>
        <v/>
      </c>
      <c r="W1740" s="17">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7" t="n">
        <v>38</v>
      </c>
      <c r="U1741" s="17" t="n">
        <v>86</v>
      </c>
      <c r="V1741" s="17">
        <f>ROUNDUP((T1741+U1741+2*'Read Me'!$B$13)*(1+'Read Me'!$B$12),-1)</f>
        <v/>
      </c>
      <c r="W1741" s="17">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7" t="n">
        <v>38</v>
      </c>
      <c r="U1742" s="17" t="n">
        <v>86</v>
      </c>
      <c r="V1742" s="17">
        <f>ROUNDUP((T1742+U1742+2*'Read Me'!$B$13)*(1+'Read Me'!$B$12),-1)</f>
        <v/>
      </c>
      <c r="W1742" s="17">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7" t="n">
        <v>38</v>
      </c>
      <c r="U1743" s="17" t="n">
        <v>86</v>
      </c>
      <c r="V1743" s="17">
        <f>ROUNDUP((T1743+U1743+2*'Read Me'!$B$13)*(1+'Read Me'!$B$12),-1)</f>
        <v/>
      </c>
      <c r="W1743" s="17">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7" t="n">
        <v>404</v>
      </c>
      <c r="U1744" s="17" t="n">
        <v>108</v>
      </c>
      <c r="V1744" s="17">
        <f>ROUNDUP((T1744+U1744+2*'Read Me'!$B$13)*(1+'Read Me'!$B$12),-1)</f>
        <v/>
      </c>
      <c r="W1744" s="17">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7" t="n">
        <v>404</v>
      </c>
      <c r="U1745" s="17" t="n">
        <v>108</v>
      </c>
      <c r="V1745" s="17">
        <f>ROUNDUP((T1745+U1745+2*'Read Me'!$B$13)*(1+'Read Me'!$B$12),-1)</f>
        <v/>
      </c>
      <c r="W1745" s="17">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7" t="n">
        <v>404</v>
      </c>
      <c r="U1746" s="17" t="n">
        <v>108</v>
      </c>
      <c r="V1746" s="17">
        <f>ROUNDUP((T1746+U1746+2*'Read Me'!$B$13)*(1+'Read Me'!$B$12),-1)</f>
        <v/>
      </c>
      <c r="W1746" s="17">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7" t="n">
        <v>404</v>
      </c>
      <c r="U1747" s="17" t="n">
        <v>108</v>
      </c>
      <c r="V1747" s="17">
        <f>ROUNDUP((T1747+U1747+2*'Read Me'!$B$13)*(1+'Read Me'!$B$12),-1)</f>
        <v/>
      </c>
      <c r="W1747" s="17">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7" t="n">
        <v>404</v>
      </c>
      <c r="U1748" s="17" t="n">
        <v>108</v>
      </c>
      <c r="V1748" s="17">
        <f>ROUNDUP((T1748+U1748+2*'Read Me'!$B$13)*(1+'Read Me'!$B$12),-1)</f>
        <v/>
      </c>
      <c r="W1748" s="17">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7" t="n">
        <v>404</v>
      </c>
      <c r="U1749" s="17" t="n">
        <v>108</v>
      </c>
      <c r="V1749" s="17">
        <f>ROUNDUP((T1749+U1749+2*'Read Me'!$B$13)*(1+'Read Me'!$B$12),-1)</f>
        <v/>
      </c>
      <c r="W1749" s="17">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7" t="n">
        <v>573</v>
      </c>
      <c r="U1750" s="17" t="n">
        <v>135</v>
      </c>
      <c r="V1750" s="17">
        <f>ROUNDUP((T1750+U1750+2*'Read Me'!$B$13)*(1+'Read Me'!$B$12),-1)</f>
        <v/>
      </c>
      <c r="W1750" s="17">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7" t="n">
        <v>273</v>
      </c>
      <c r="U1751" s="17" t="n">
        <v>315</v>
      </c>
      <c r="V1751" s="17">
        <f>ROUNDUP((T1751+U1751+2*'Read Me'!$B$13)*(1+'Read Me'!$B$12),-1)</f>
        <v/>
      </c>
      <c r="W1751" s="17">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7" t="n">
        <v>0</v>
      </c>
      <c r="U1752" s="17" t="n">
        <v>87</v>
      </c>
      <c r="V1752" s="17">
        <f>ROUNDUP((T1752+U1752+2*'Read Me'!$B$13)*(1+'Read Me'!$B$12),-1)</f>
        <v/>
      </c>
      <c r="W1752" s="17">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7" t="n">
        <v>0</v>
      </c>
      <c r="U1753" s="17" t="n">
        <v>87</v>
      </c>
      <c r="V1753" s="17">
        <f>ROUNDUP((T1753+U1753+2*'Read Me'!$B$13)*(1+'Read Me'!$B$12),-1)</f>
        <v/>
      </c>
      <c r="W1753" s="17">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7" t="n">
        <v>0</v>
      </c>
      <c r="U1754" s="17" t="n">
        <v>87</v>
      </c>
      <c r="V1754" s="17">
        <f>ROUNDUP((T1754+U1754+2*'Read Me'!$B$13)*(1+'Read Me'!$B$12),-1)</f>
        <v/>
      </c>
      <c r="W1754" s="17">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7" t="n">
        <v>0</v>
      </c>
      <c r="U1755" s="17" t="n">
        <v>87</v>
      </c>
      <c r="V1755" s="17">
        <f>ROUNDUP((T1755+U1755+2*'Read Me'!$B$13)*(1+'Read Me'!$B$12),-1)</f>
        <v/>
      </c>
      <c r="W1755" s="17">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7" t="n">
        <v>0</v>
      </c>
      <c r="U1756" s="17" t="n">
        <v>87</v>
      </c>
      <c r="V1756" s="17">
        <f>ROUNDUP((T1756+U1756+2*'Read Me'!$B$13)*(1+'Read Me'!$B$12),-1)</f>
        <v/>
      </c>
      <c r="W1756" s="17">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7" t="n">
        <v>0</v>
      </c>
      <c r="U1757" s="17" t="n">
        <v>87</v>
      </c>
      <c r="V1757" s="17">
        <f>ROUNDUP((T1757+U1757+2*'Read Me'!$B$13)*(1+'Read Me'!$B$12),-1)</f>
        <v/>
      </c>
      <c r="W1757" s="17">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7" t="n">
        <v>0</v>
      </c>
      <c r="U1758" s="17" t="n">
        <v>87</v>
      </c>
      <c r="V1758" s="17">
        <f>ROUNDUP((T1758+U1758+2*'Read Me'!$B$13)*(1+'Read Me'!$B$12),-1)</f>
        <v/>
      </c>
      <c r="W1758" s="17">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7" t="n">
        <v>0</v>
      </c>
      <c r="U1759" s="17" t="n">
        <v>87</v>
      </c>
      <c r="V1759" s="17">
        <f>ROUNDUP((T1759+U1759+2*'Read Me'!$B$13)*(1+'Read Me'!$B$12),-1)</f>
        <v/>
      </c>
      <c r="W1759" s="17">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7" t="n">
        <v>0</v>
      </c>
      <c r="U1760" s="17" t="n">
        <v>87</v>
      </c>
      <c r="V1760" s="17">
        <f>ROUNDUP((T1760+U1760+2*'Read Me'!$B$13)*(1+'Read Me'!$B$12),-1)</f>
        <v/>
      </c>
      <c r="W1760" s="17">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7" t="n">
        <v>0</v>
      </c>
      <c r="U1761" s="17" t="n">
        <v>87</v>
      </c>
      <c r="V1761" s="17">
        <f>ROUNDUP((T1761+U1761+2*'Read Me'!$B$13)*(1+'Read Me'!$B$12),-1)</f>
        <v/>
      </c>
      <c r="W1761" s="17">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7" t="n">
        <v>0</v>
      </c>
      <c r="U1762" s="17" t="n">
        <v>87</v>
      </c>
      <c r="V1762" s="17">
        <f>ROUNDUP((T1762+U1762+2*'Read Me'!$B$13)*(1+'Read Me'!$B$12),-1)</f>
        <v/>
      </c>
      <c r="W1762" s="17">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7" t="n">
        <v>0</v>
      </c>
      <c r="U1763" s="17" t="n">
        <v>87</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7" t="n">
        <v>0</v>
      </c>
      <c r="U1764" s="17" t="n">
        <v>87</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7" t="n">
        <v>0</v>
      </c>
      <c r="U1765" s="17" t="n">
        <v>87</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7" t="n">
        <v>0</v>
      </c>
      <c r="U1766" s="17" t="n">
        <v>87</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7" t="n">
        <v>0</v>
      </c>
      <c r="U1767" s="17" t="n">
        <v>87</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7" t="n">
        <v>0</v>
      </c>
      <c r="U1768" s="17" t="n">
        <v>87</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7" t="n">
        <v>0</v>
      </c>
      <c r="U1769" s="17" t="n">
        <v>87</v>
      </c>
      <c r="V1769" s="17">
        <f>ROUNDUP((T1769+U1769+2*'Read Me'!$B$13)*(1+'Read Me'!$B$12),-1)</f>
        <v/>
      </c>
      <c r="W1769" s="17">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7" t="n">
        <v>0</v>
      </c>
      <c r="U1770" s="17" t="n">
        <v>87</v>
      </c>
      <c r="V1770" s="17">
        <f>ROUNDUP((T1770+U1770+2*'Read Me'!$B$13)*(1+'Read Me'!$B$12),-1)</f>
        <v/>
      </c>
      <c r="W1770" s="17">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7" t="n">
        <v>0</v>
      </c>
      <c r="U1771" s="17" t="n">
        <v>87</v>
      </c>
      <c r="V1771" s="17">
        <f>ROUNDUP((T1771+U1771+2*'Read Me'!$B$13)*(1+'Read Me'!$B$12),-1)</f>
        <v/>
      </c>
      <c r="W1771" s="17">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7" t="n">
        <v>0</v>
      </c>
      <c r="U1772" s="17" t="n">
        <v>87</v>
      </c>
      <c r="V1772" s="17">
        <f>ROUNDUP((T1772+U1772+2*'Read Me'!$B$13)*(1+'Read Me'!$B$12),-1)</f>
        <v/>
      </c>
      <c r="W1772" s="17">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7" t="n">
        <v>0</v>
      </c>
      <c r="U1773" s="17" t="n">
        <v>87</v>
      </c>
      <c r="V1773" s="17">
        <f>ROUNDUP((T1773+U1773+2*'Read Me'!$B$13)*(1+'Read Me'!$B$12),-1)</f>
        <v/>
      </c>
      <c r="W1773" s="17">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7" t="n">
        <v>0</v>
      </c>
      <c r="U1774" s="17" t="n">
        <v>87</v>
      </c>
      <c r="V1774" s="17">
        <f>ROUNDUP((T1774+U1774+2*'Read Me'!$B$13)*(1+'Read Me'!$B$12),-1)</f>
        <v/>
      </c>
      <c r="W1774" s="17">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7" t="n">
        <v>0</v>
      </c>
      <c r="U1775" s="17" t="n">
        <v>87</v>
      </c>
      <c r="V1775" s="17">
        <f>ROUNDUP((T1775+U1775+2*'Read Me'!$B$13)*(1+'Read Me'!$B$12),-1)</f>
        <v/>
      </c>
      <c r="W1775" s="17">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7" t="n">
        <v>0</v>
      </c>
      <c r="U1776" s="17" t="n">
        <v>87</v>
      </c>
      <c r="V1776" s="17">
        <f>ROUNDUP((T1776+U1776+2*'Read Me'!$B$13)*(1+'Read Me'!$B$12),-1)</f>
        <v/>
      </c>
      <c r="W1776" s="17">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7" t="n">
        <v>0</v>
      </c>
      <c r="U1777" s="17" t="n">
        <v>87</v>
      </c>
      <c r="V1777" s="17">
        <f>ROUNDUP((T1777+U1777+2*'Read Me'!$B$13)*(1+'Read Me'!$B$12),-1)</f>
        <v/>
      </c>
      <c r="W1777" s="17">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7" t="n">
        <v>0</v>
      </c>
      <c r="U1778" s="17" t="n">
        <v>87</v>
      </c>
      <c r="V1778" s="17">
        <f>ROUNDUP((T1778+U1778+2*'Read Me'!$B$13)*(1+'Read Me'!$B$12),-1)</f>
        <v/>
      </c>
      <c r="W1778" s="17">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7" t="n">
        <v>0</v>
      </c>
      <c r="U1779" s="17" t="n">
        <v>87</v>
      </c>
      <c r="V1779" s="17">
        <f>ROUNDUP((T1779+U1779+2*'Read Me'!$B$13)*(1+'Read Me'!$B$12),-1)</f>
        <v/>
      </c>
      <c r="W1779" s="17">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7" t="n">
        <v>0</v>
      </c>
      <c r="U1780" s="17" t="n">
        <v>87</v>
      </c>
      <c r="V1780" s="17">
        <f>ROUNDUP((T1780+U1780+2*'Read Me'!$B$13)*(1+'Read Me'!$B$12),-1)</f>
        <v/>
      </c>
      <c r="W1780" s="17">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7" t="n">
        <v>0</v>
      </c>
      <c r="U1781" s="17" t="n">
        <v>87</v>
      </c>
      <c r="V1781" s="17">
        <f>ROUNDUP((T1781+U1781+2*'Read Me'!$B$13)*(1+'Read Me'!$B$12),-1)</f>
        <v/>
      </c>
      <c r="W1781" s="17">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7" t="n">
        <v>0</v>
      </c>
      <c r="U1782" s="17" t="n">
        <v>87</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7" t="n">
        <v>0</v>
      </c>
      <c r="U1783" s="17" t="n">
        <v>87</v>
      </c>
      <c r="V1783" s="17">
        <f>ROUNDUP((T1783+U1783+2*'Read Me'!$B$13)*(1+'Read Me'!$B$12),-1)</f>
        <v/>
      </c>
      <c r="W1783" s="17">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7" t="n">
        <v>0</v>
      </c>
      <c r="U1784" s="17" t="n">
        <v>87</v>
      </c>
      <c r="V1784" s="17">
        <f>ROUNDUP((T1784+U1784+2*'Read Me'!$B$13)*(1+'Read Me'!$B$12),-1)</f>
        <v/>
      </c>
      <c r="W1784" s="17">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7" t="n">
        <v>0</v>
      </c>
      <c r="U1785" s="17" t="n">
        <v>87</v>
      </c>
      <c r="V1785" s="17">
        <f>ROUNDUP((T1785+U1785+2*'Read Me'!$B$13)*(1+'Read Me'!$B$12),-1)</f>
        <v/>
      </c>
      <c r="W1785" s="17">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7" t="n">
        <v>0</v>
      </c>
      <c r="U1786" s="17" t="n">
        <v>87</v>
      </c>
      <c r="V1786" s="17">
        <f>ROUNDUP((T1786+U1786+2*'Read Me'!$B$13)*(1+'Read Me'!$B$12),-1)</f>
        <v/>
      </c>
      <c r="W1786" s="17">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7" t="n">
        <v>0</v>
      </c>
      <c r="U1787" s="17" t="n">
        <v>87</v>
      </c>
      <c r="V1787" s="17">
        <f>ROUNDUP((T1787+U1787+2*'Read Me'!$B$13)*(1+'Read Me'!$B$12),-1)</f>
        <v/>
      </c>
      <c r="W1787" s="17">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7" t="n">
        <v>0</v>
      </c>
      <c r="U1788" s="17" t="n">
        <v>87</v>
      </c>
      <c r="V1788" s="17">
        <f>ROUNDUP((T1788+U1788+2*'Read Me'!$B$13)*(1+'Read Me'!$B$12),-1)</f>
        <v/>
      </c>
      <c r="W1788" s="17">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7" t="n">
        <v>0</v>
      </c>
      <c r="U1789" s="17" t="n">
        <v>87</v>
      </c>
      <c r="V1789" s="17">
        <f>ROUNDUP((T1789+U1789+2*'Read Me'!$B$13)*(1+'Read Me'!$B$12),-1)</f>
        <v/>
      </c>
      <c r="W1789" s="17">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7" t="n">
        <v>0</v>
      </c>
      <c r="U1790" s="17" t="n">
        <v>87</v>
      </c>
      <c r="V1790" s="17">
        <f>ROUNDUP((T1790+U1790+2*'Read Me'!$B$13)*(1+'Read Me'!$B$12),-1)</f>
        <v/>
      </c>
      <c r="W1790" s="17">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7" t="n">
        <v>0</v>
      </c>
      <c r="U1791" s="17" t="n">
        <v>87</v>
      </c>
      <c r="V1791" s="17">
        <f>ROUNDUP((T1791+U1791+2*'Read Me'!$B$13)*(1+'Read Me'!$B$12),-1)</f>
        <v/>
      </c>
      <c r="W1791" s="17">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7" t="n">
        <v>0</v>
      </c>
      <c r="U1792" s="17" t="n">
        <v>87</v>
      </c>
      <c r="V1792" s="17">
        <f>ROUNDUP((T1792+U1792+2*'Read Me'!$B$13)*(1+'Read Me'!$B$12),-1)</f>
        <v/>
      </c>
      <c r="W1792" s="17">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7" t="n">
        <v>0</v>
      </c>
      <c r="U1793" s="17" t="n">
        <v>87</v>
      </c>
      <c r="V1793" s="17">
        <f>ROUNDUP((T1793+U1793+2*'Read Me'!$B$13)*(1+'Read Me'!$B$12),-1)</f>
        <v/>
      </c>
      <c r="W1793" s="17">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7" t="n">
        <v>0</v>
      </c>
      <c r="U1794" s="17" t="n">
        <v>87</v>
      </c>
      <c r="V1794" s="17">
        <f>ROUNDUP((T1794+U1794+2*'Read Me'!$B$13)*(1+'Read Me'!$B$12),-1)</f>
        <v/>
      </c>
      <c r="W1794" s="17">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7" t="n">
        <v>0</v>
      </c>
      <c r="U1795" s="17" t="n">
        <v>87</v>
      </c>
      <c r="V1795" s="17">
        <f>ROUNDUP((T1795+U1795+2*'Read Me'!$B$13)*(1+'Read Me'!$B$12),-1)</f>
        <v/>
      </c>
      <c r="W1795" s="17">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7" t="n">
        <v>0</v>
      </c>
      <c r="U1796" s="17" t="n">
        <v>87</v>
      </c>
      <c r="V1796" s="17">
        <f>ROUNDUP((T1796+U1796+2*'Read Me'!$B$13)*(1+'Read Me'!$B$12),-1)</f>
        <v/>
      </c>
      <c r="W1796" s="17">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7" t="n">
        <v>0</v>
      </c>
      <c r="U1797" s="17" t="n">
        <v>87</v>
      </c>
      <c r="V1797" s="17">
        <f>ROUNDUP((T1797+U1797+2*'Read Me'!$B$13)*(1+'Read Me'!$B$12),-1)</f>
        <v/>
      </c>
      <c r="W1797" s="17">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7" t="n">
        <v>0</v>
      </c>
      <c r="U1798" s="17" t="n">
        <v>87</v>
      </c>
      <c r="V1798" s="17">
        <f>ROUNDUP((T1798+U1798+2*'Read Me'!$B$13)*(1+'Read Me'!$B$12),-1)</f>
        <v/>
      </c>
      <c r="W1798" s="17">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7" t="n">
        <v>0</v>
      </c>
      <c r="U1799" s="17" t="n">
        <v>87</v>
      </c>
      <c r="V1799" s="17">
        <f>ROUNDUP((T1799+U1799+2*'Read Me'!$B$13)*(1+'Read Me'!$B$12),-1)</f>
        <v/>
      </c>
      <c r="W1799" s="17">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7" t="n">
        <v>0</v>
      </c>
      <c r="U1800" s="17" t="n">
        <v>87</v>
      </c>
      <c r="V1800" s="17">
        <f>ROUNDUP((T1800+U1800+2*'Read Me'!$B$13)*(1+'Read Me'!$B$12),-1)</f>
        <v/>
      </c>
      <c r="W1800" s="17">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7" t="n">
        <v>300</v>
      </c>
      <c r="U1801" s="17" t="n">
        <v>87</v>
      </c>
      <c r="V1801" s="17">
        <f>ROUNDUP((T1801+U1801+2*'Read Me'!$B$13)*(1+'Read Me'!$B$12),-1)</f>
        <v/>
      </c>
      <c r="W1801" s="17">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7" t="n">
        <v>300</v>
      </c>
      <c r="U1802" s="17" t="n">
        <v>87</v>
      </c>
      <c r="V1802" s="17">
        <f>ROUNDUP((T1802+U1802+2*'Read Me'!$B$13)*(1+'Read Me'!$B$12),-1)</f>
        <v/>
      </c>
      <c r="W1802" s="17">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7" t="n">
        <v>300</v>
      </c>
      <c r="U1803" s="17" t="n">
        <v>87</v>
      </c>
      <c r="V1803" s="17">
        <f>ROUNDUP((T1803+U1803+2*'Read Me'!$B$13)*(1+'Read Me'!$B$12),-1)</f>
        <v/>
      </c>
      <c r="W1803" s="17">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7" t="n">
        <v>300</v>
      </c>
      <c r="U1804" s="17" t="n">
        <v>87</v>
      </c>
      <c r="V1804" s="17">
        <f>ROUNDUP((T1804+U1804+2*'Read Me'!$B$13)*(1+'Read Me'!$B$12),-1)</f>
        <v/>
      </c>
      <c r="W1804" s="17">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7" t="n">
        <v>0</v>
      </c>
      <c r="U1805" s="17" t="n">
        <v>87</v>
      </c>
      <c r="V1805" s="17">
        <f>ROUNDUP((T1805+U1805+2*'Read Me'!$B$13)*(1+'Read Me'!$B$12),-1)</f>
        <v/>
      </c>
      <c r="W1805" s="17">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7" t="n">
        <v>0</v>
      </c>
      <c r="U1806" s="17" t="n">
        <v>87</v>
      </c>
      <c r="V1806" s="17">
        <f>ROUNDUP((T1806+U1806+2*'Read Me'!$B$13)*(1+'Read Me'!$B$12),-1)</f>
        <v/>
      </c>
      <c r="W1806" s="17">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7" t="n">
        <v>0</v>
      </c>
      <c r="U1807" s="17" t="n">
        <v>87</v>
      </c>
      <c r="V1807" s="17">
        <f>ROUNDUP((T1807+U1807+2*'Read Me'!$B$13)*(1+'Read Me'!$B$12),-1)</f>
        <v/>
      </c>
      <c r="W1807" s="17">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7" t="n">
        <v>0</v>
      </c>
      <c r="U1808" s="17" t="n">
        <v>87</v>
      </c>
      <c r="V1808" s="17">
        <f>ROUNDUP((T1808+U1808+2*'Read Me'!$B$13)*(1+'Read Me'!$B$12),-1)</f>
        <v/>
      </c>
      <c r="W1808" s="17">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7" t="n">
        <v>38</v>
      </c>
      <c r="U1809" s="17" t="n">
        <v>86</v>
      </c>
      <c r="V1809" s="17">
        <f>ROUNDUP((T1809+U1809+2*'Read Me'!$B$13)*(1+'Read Me'!$B$12),-1)</f>
        <v/>
      </c>
      <c r="W1809" s="17">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7" t="n">
        <v>38</v>
      </c>
      <c r="U1810" s="17" t="n">
        <v>86</v>
      </c>
      <c r="V1810" s="17">
        <f>ROUNDUP((T1810+U1810+2*'Read Me'!$B$13)*(1+'Read Me'!$B$12),-1)</f>
        <v/>
      </c>
      <c r="W1810" s="17">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7" t="n">
        <v>38</v>
      </c>
      <c r="U1811" s="17" t="n">
        <v>86</v>
      </c>
      <c r="V1811" s="17">
        <f>ROUNDUP((T1811+U1811+2*'Read Me'!$B$13)*(1+'Read Me'!$B$12),-1)</f>
        <v/>
      </c>
      <c r="W1811" s="17">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7" t="n">
        <v>38</v>
      </c>
      <c r="U1812" s="17" t="n">
        <v>86</v>
      </c>
      <c r="V1812" s="17">
        <f>ROUNDUP((T1812+U1812+2*'Read Me'!$B$13)*(1+'Read Me'!$B$12),-1)</f>
        <v/>
      </c>
      <c r="W1812" s="17">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7" t="n">
        <v>38</v>
      </c>
      <c r="U1813" s="17" t="n">
        <v>86</v>
      </c>
      <c r="V1813" s="17">
        <f>ROUNDUP((T1813+U1813+2*'Read Me'!$B$13)*(1+'Read Me'!$B$12),-1)</f>
        <v/>
      </c>
      <c r="W1813" s="17">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7" t="n">
        <v>404</v>
      </c>
      <c r="U1814" s="17" t="n">
        <v>108</v>
      </c>
      <c r="V1814" s="17">
        <f>ROUNDUP((T1814+U1814+2*'Read Me'!$B$13)*(1+'Read Me'!$B$12),-1)</f>
        <v/>
      </c>
      <c r="W1814" s="17">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7" t="n">
        <v>404</v>
      </c>
      <c r="U1815" s="17" t="n">
        <v>108</v>
      </c>
      <c r="V1815" s="17">
        <f>ROUNDUP((T1815+U1815+2*'Read Me'!$B$13)*(1+'Read Me'!$B$12),-1)</f>
        <v/>
      </c>
      <c r="W1815" s="17">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7" t="n">
        <v>404</v>
      </c>
      <c r="U1816" s="17" t="n">
        <v>108</v>
      </c>
      <c r="V1816" s="17">
        <f>ROUNDUP((T1816+U1816+2*'Read Me'!$B$13)*(1+'Read Me'!$B$12),-1)</f>
        <v/>
      </c>
      <c r="W1816" s="17">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7" t="n">
        <v>404</v>
      </c>
      <c r="U1817" s="17" t="n">
        <v>108</v>
      </c>
      <c r="V1817" s="17">
        <f>ROUNDUP((T1817+U1817+2*'Read Me'!$B$13)*(1+'Read Me'!$B$12),-1)</f>
        <v/>
      </c>
      <c r="W1817" s="17">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7" t="n">
        <v>404</v>
      </c>
      <c r="U1818" s="17" t="n">
        <v>108</v>
      </c>
      <c r="V1818" s="17">
        <f>ROUNDUP((T1818+U1818+2*'Read Me'!$B$13)*(1+'Read Me'!$B$12),-1)</f>
        <v/>
      </c>
      <c r="W1818" s="17">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7" t="n">
        <v>404</v>
      </c>
      <c r="U1819" s="17" t="n">
        <v>108</v>
      </c>
      <c r="V1819" s="17">
        <f>ROUNDUP((T1819+U1819+2*'Read Me'!$B$13)*(1+'Read Me'!$B$12),-1)</f>
        <v/>
      </c>
      <c r="W1819" s="17">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7" t="n">
        <v>486</v>
      </c>
      <c r="U1820" s="17" t="n">
        <v>148</v>
      </c>
      <c r="V1820" s="17">
        <f>ROUNDUP((T1820+U1820+2*'Read Me'!$B$13)*(1+'Read Me'!$B$12),-1)</f>
        <v/>
      </c>
      <c r="W1820" s="17">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7" t="n">
        <v>186</v>
      </c>
      <c r="U1821" s="17" t="n">
        <v>328</v>
      </c>
      <c r="V1821" s="17">
        <f>ROUNDUP((T1821+U1821+2*'Read Me'!$B$13)*(1+'Read Me'!$B$12),-1)</f>
        <v/>
      </c>
      <c r="W1821" s="17">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7" t="n">
        <v>208</v>
      </c>
      <c r="U1822" s="17" t="n">
        <v>135</v>
      </c>
      <c r="V1822" s="17">
        <f>ROUNDUP((T1822+U1822+2*'Read Me'!$B$13)*(1+'Read Me'!$B$12),-1)</f>
        <v/>
      </c>
      <c r="W1822" s="17">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7" t="n">
        <v>180</v>
      </c>
      <c r="U1823" s="17" t="n">
        <v>20</v>
      </c>
      <c r="V1823" s="17">
        <f>ROUNDUP((T1823+U1823+2*'Read Me'!$B$13)*(1+'Read Me'!$B$12),-1)</f>
        <v/>
      </c>
      <c r="W1823" s="17">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7" t="n">
        <v>180</v>
      </c>
      <c r="U1824" s="17" t="n">
        <v>20</v>
      </c>
      <c r="V1824" s="17">
        <f>ROUNDUP((T1824+U1824+2*'Read Me'!$B$13)*(1+'Read Me'!$B$12),-1)</f>
        <v/>
      </c>
      <c r="W1824" s="17">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7" t="n">
        <v>180</v>
      </c>
      <c r="U1825" s="17" t="n">
        <v>20</v>
      </c>
      <c r="V1825" s="17">
        <f>ROUNDUP((T1825+U1825+2*'Read Me'!$B$13)*(1+'Read Me'!$B$12),-1)</f>
        <v/>
      </c>
      <c r="W1825" s="17">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7" t="n">
        <v>180</v>
      </c>
      <c r="U1826" s="17" t="n">
        <v>20</v>
      </c>
      <c r="V1826" s="17">
        <f>ROUNDUP((T1826+U1826+2*'Read Me'!$B$13)*(1+'Read Me'!$B$12),-1)</f>
        <v/>
      </c>
      <c r="W1826" s="17">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7" t="n">
        <v>180</v>
      </c>
      <c r="U1827" s="17" t="n">
        <v>20</v>
      </c>
      <c r="V1827" s="17">
        <f>ROUNDUP((T1827+U1827+2*'Read Me'!$B$13)*(1+'Read Me'!$B$12),-1)</f>
        <v/>
      </c>
      <c r="W1827" s="17">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7" t="n">
        <v>180</v>
      </c>
      <c r="U1828" s="17" t="n">
        <v>20</v>
      </c>
      <c r="V1828" s="17">
        <f>ROUNDUP((T1828+U1828+2*'Read Me'!$B$13)*(1+'Read Me'!$B$12),-1)</f>
        <v/>
      </c>
      <c r="W1828" s="17">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7" t="n">
        <v>180</v>
      </c>
      <c r="U1829" s="17" t="n">
        <v>20</v>
      </c>
      <c r="V1829" s="17">
        <f>ROUNDUP((T1829+U1829+2*'Read Me'!$B$13)*(1+'Read Me'!$B$12),-1)</f>
        <v/>
      </c>
      <c r="W1829" s="17">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7" t="n">
        <v>180</v>
      </c>
      <c r="U1830" s="17" t="n">
        <v>20</v>
      </c>
      <c r="V1830" s="17">
        <f>ROUNDUP((T1830+U1830+2*'Read Me'!$B$13)*(1+'Read Me'!$B$12),-1)</f>
        <v/>
      </c>
      <c r="W1830" s="17">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7" t="n">
        <v>180</v>
      </c>
      <c r="U1831" s="17" t="n">
        <v>20</v>
      </c>
      <c r="V1831" s="17">
        <f>ROUNDUP((T1831+U1831+2*'Read Me'!$B$13)*(1+'Read Me'!$B$12),-1)</f>
        <v/>
      </c>
      <c r="W1831" s="17">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7" t="n">
        <v>180</v>
      </c>
      <c r="U1832" s="17" t="n">
        <v>20</v>
      </c>
      <c r="V1832" s="17">
        <f>ROUNDUP((T1832+U1832+2*'Read Me'!$B$13)*(1+'Read Me'!$B$12),-1)</f>
        <v/>
      </c>
      <c r="W1832" s="17">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7" t="n">
        <v>180</v>
      </c>
      <c r="U1833" s="17" t="n">
        <v>20</v>
      </c>
      <c r="V1833" s="17">
        <f>ROUNDUP((T1833+U1833+2*'Read Me'!$B$13)*(1+'Read Me'!$B$12),-1)</f>
        <v/>
      </c>
      <c r="W1833" s="17">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7" t="n">
        <v>180</v>
      </c>
      <c r="U1834" s="17" t="n">
        <v>20</v>
      </c>
      <c r="V1834" s="17">
        <f>ROUNDUP((T1834+U1834+2*'Read Me'!$B$13)*(1+'Read Me'!$B$12),-1)</f>
        <v/>
      </c>
      <c r="W1834" s="17">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7" t="n">
        <v>180</v>
      </c>
      <c r="U1835" s="17" t="n">
        <v>20</v>
      </c>
      <c r="V1835" s="17">
        <f>ROUNDUP((T1835+U1835+2*'Read Me'!$B$13)*(1+'Read Me'!$B$12),-1)</f>
        <v/>
      </c>
      <c r="W1835" s="17">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7" t="n">
        <v>180</v>
      </c>
      <c r="U1836" s="17" t="n">
        <v>20</v>
      </c>
      <c r="V1836" s="17">
        <f>ROUNDUP((T1836+U1836+2*'Read Me'!$B$13)*(1+'Read Me'!$B$12),-1)</f>
        <v/>
      </c>
      <c r="W1836" s="17">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7" t="n">
        <v>180</v>
      </c>
      <c r="U1837" s="17" t="n">
        <v>20</v>
      </c>
      <c r="V1837" s="17">
        <f>ROUNDUP((T1837+U1837+2*'Read Me'!$B$13)*(1+'Read Me'!$B$12),-1)</f>
        <v/>
      </c>
      <c r="W1837" s="17">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7" t="n">
        <v>180</v>
      </c>
      <c r="U1838" s="17" t="n">
        <v>20</v>
      </c>
      <c r="V1838" s="17">
        <f>ROUNDUP((T1838+U1838+2*'Read Me'!$B$13)*(1+'Read Me'!$B$12),-1)</f>
        <v/>
      </c>
      <c r="W1838" s="17">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7" t="n">
        <v>180</v>
      </c>
      <c r="U1839" s="17" t="n">
        <v>20</v>
      </c>
      <c r="V1839" s="17">
        <f>ROUNDUP((T1839+U1839+2*'Read Me'!$B$13)*(1+'Read Me'!$B$12),-1)</f>
        <v/>
      </c>
      <c r="W1839" s="17">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7" t="n">
        <v>180</v>
      </c>
      <c r="U1840" s="17" t="n">
        <v>20</v>
      </c>
      <c r="V1840" s="17">
        <f>ROUNDUP((T1840+U1840+2*'Read Me'!$B$13)*(1+'Read Me'!$B$12),-1)</f>
        <v/>
      </c>
      <c r="W1840" s="17">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7" t="n">
        <v>180</v>
      </c>
      <c r="U1841" s="17" t="n">
        <v>20</v>
      </c>
      <c r="V1841" s="17">
        <f>ROUNDUP((T1841+U1841+2*'Read Me'!$B$13)*(1+'Read Me'!$B$12),-1)</f>
        <v/>
      </c>
      <c r="W1841" s="17">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7" t="n">
        <v>180</v>
      </c>
      <c r="U1842" s="17" t="n">
        <v>20</v>
      </c>
      <c r="V1842" s="17">
        <f>ROUNDUP((T1842+U1842+2*'Read Me'!$B$13)*(1+'Read Me'!$B$12),-1)</f>
        <v/>
      </c>
      <c r="W1842" s="17">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7" t="n">
        <v>180</v>
      </c>
      <c r="U1843" s="17" t="n">
        <v>20</v>
      </c>
      <c r="V1843" s="17">
        <f>ROUNDUP((T1843+U1843+2*'Read Me'!$B$13)*(1+'Read Me'!$B$12),-1)</f>
        <v/>
      </c>
      <c r="W1843" s="17">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7" t="n">
        <v>180</v>
      </c>
      <c r="U1844" s="17" t="n">
        <v>20</v>
      </c>
      <c r="V1844" s="17">
        <f>ROUNDUP((T1844+U1844+2*'Read Me'!$B$13)*(1+'Read Me'!$B$12),-1)</f>
        <v/>
      </c>
      <c r="W1844" s="17">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7" t="n">
        <v>180</v>
      </c>
      <c r="U1845" s="17" t="n">
        <v>20</v>
      </c>
      <c r="V1845" s="17">
        <f>ROUNDUP((T1845+U1845+2*'Read Me'!$B$13)*(1+'Read Me'!$B$12),-1)</f>
        <v/>
      </c>
      <c r="W1845" s="17">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7" t="n">
        <v>180</v>
      </c>
      <c r="U1846" s="17" t="n">
        <v>20</v>
      </c>
      <c r="V1846" s="17">
        <f>ROUNDUP((T1846+U1846+2*'Read Me'!$B$13)*(1+'Read Me'!$B$12),-1)</f>
        <v/>
      </c>
      <c r="W1846" s="17">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7" t="n">
        <v>51</v>
      </c>
      <c r="U1847" s="17" t="n">
        <v>41</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7" t="n">
        <v>51</v>
      </c>
      <c r="U1848" s="17" t="n">
        <v>41</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7" t="n">
        <v>51</v>
      </c>
      <c r="U1849" s="17" t="n">
        <v>41</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7" t="n">
        <v>51</v>
      </c>
      <c r="U1850" s="17" t="n">
        <v>41</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7" t="n">
        <v>51</v>
      </c>
      <c r="U1851" s="17" t="n">
        <v>41</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7" t="n">
        <v>51</v>
      </c>
      <c r="U1852" s="17" t="n">
        <v>41</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7" t="n">
        <v>51</v>
      </c>
      <c r="U1853" s="17" t="n">
        <v>63</v>
      </c>
      <c r="V1853" s="17">
        <f>ROUNDUP((T1853+U1853+2*'Read Me'!$B$13)*(1+'Read Me'!$B$12),-1)</f>
        <v/>
      </c>
      <c r="W1853" s="17">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7" t="n">
        <v>51</v>
      </c>
      <c r="U1854" s="17" t="n">
        <v>63</v>
      </c>
      <c r="V1854" s="17">
        <f>ROUNDUP((T1854+U1854+2*'Read Me'!$B$13)*(1+'Read Me'!$B$12),-1)</f>
        <v/>
      </c>
      <c r="W1854" s="17">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7" t="n">
        <v>51</v>
      </c>
      <c r="U1855" s="17" t="n">
        <v>63</v>
      </c>
      <c r="V1855" s="17">
        <f>ROUNDUP((T1855+U1855+2*'Read Me'!$B$13)*(1+'Read Me'!$B$12),-1)</f>
        <v/>
      </c>
      <c r="W1855" s="17">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51</v>
      </c>
      <c r="U1856" s="17" t="n">
        <v>63</v>
      </c>
      <c r="V1856" s="17">
        <f>ROUNDUP((T1856+U1856+2*'Read Me'!$B$13)*(1+'Read Me'!$B$12),-1)</f>
        <v/>
      </c>
      <c r="W1856" s="17">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51</v>
      </c>
      <c r="U1857" s="17" t="n">
        <v>63</v>
      </c>
      <c r="V1857" s="17">
        <f>ROUNDUP((T1857+U1857+2*'Read Me'!$B$13)*(1+'Read Me'!$B$12),-1)</f>
        <v/>
      </c>
      <c r="W1857" s="17">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51</v>
      </c>
      <c r="U1858" s="17" t="n">
        <v>63</v>
      </c>
      <c r="V1858" s="17">
        <f>ROUNDUP((T1858+U1858+2*'Read Me'!$B$13)*(1+'Read Me'!$B$12),-1)</f>
        <v/>
      </c>
      <c r="W1858" s="17">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7" t="n">
        <v>890</v>
      </c>
      <c r="U1859" s="17" t="n">
        <v>194</v>
      </c>
      <c r="V1859" s="17">
        <f>ROUNDUP((T1859+U1859+2*'Read Me'!$B$13)*(1+'Read Me'!$B$12),-1)</f>
        <v/>
      </c>
      <c r="W1859" s="17">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7" t="n">
        <v>972</v>
      </c>
      <c r="U1860" s="17" t="n">
        <v>192</v>
      </c>
      <c r="V1860" s="17">
        <f>ROUNDUP((T1860+U1860+2*'Read Me'!$B$13)*(1+'Read Me'!$B$12),-1)</f>
        <v/>
      </c>
      <c r="W1860" s="17">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7" t="n">
        <v>0</v>
      </c>
      <c r="U1861" s="17" t="n">
        <v>70</v>
      </c>
      <c r="V1861" s="17">
        <f>ROUNDUP((T1861+U1861+2*'Read Me'!$B$13)*(1+'Read Me'!$B$12),-1)</f>
        <v/>
      </c>
      <c r="W1861" s="17">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7" t="n">
        <v>51</v>
      </c>
      <c r="U1862" s="17" t="n">
        <v>60</v>
      </c>
      <c r="V1862" s="17">
        <f>ROUNDUP((T1862+U1862+2*'Read Me'!$B$13)*(1+'Read Me'!$B$12),-1)</f>
        <v/>
      </c>
      <c r="W1862" s="17">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7" t="n">
        <v>67</v>
      </c>
      <c r="U1863" s="17" t="n">
        <v>47</v>
      </c>
      <c r="V1863" s="17">
        <f>ROUNDUP((T1863+U1863+2*'Read Me'!$B$13)*(1+'Read Me'!$B$12),-1)</f>
        <v/>
      </c>
      <c r="W1863" s="17">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7" t="n">
        <v>627</v>
      </c>
      <c r="U1864" s="17" t="n">
        <v>152</v>
      </c>
      <c r="V1864" s="17">
        <f>ROUNDUP((T1864+U1864+2*'Read Me'!$B$13)*(1+'Read Me'!$B$12),-1)</f>
        <v/>
      </c>
      <c r="W1864" s="17">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7" t="n">
        <v>8</v>
      </c>
      <c r="U1865" s="17" t="n">
        <v>78</v>
      </c>
      <c r="V1865" s="17">
        <f>ROUNDUP((T1865+U1865+2*'Read Me'!$B$13)*(1+'Read Me'!$B$12),-1)</f>
        <v/>
      </c>
      <c r="W1865" s="17">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7" t="n">
        <v>0</v>
      </c>
      <c r="U1866" s="17" t="n">
        <v>72</v>
      </c>
      <c r="V1866" s="17">
        <f>ROUNDUP((T1866+U1866+2*'Read Me'!$B$13)*(1+'Read Me'!$B$12),-1)</f>
        <v/>
      </c>
      <c r="W1866" s="17">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7" t="n">
        <v>19</v>
      </c>
      <c r="U1867" s="17" t="n">
        <v>78</v>
      </c>
      <c r="V1867" s="17">
        <f>ROUNDUP((T1867+U1867+2*'Read Me'!$B$13)*(1+'Read Me'!$B$12),-1)</f>
        <v/>
      </c>
      <c r="W1867" s="17">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7" t="n">
        <v>0</v>
      </c>
      <c r="U1868" s="17" t="n">
        <v>72</v>
      </c>
      <c r="V1868" s="17">
        <f>ROUNDUP((T1868+U1868+2*'Read Me'!$B$13)*(1+'Read Me'!$B$12),-1)</f>
        <v/>
      </c>
      <c r="W1868" s="17">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7" t="n">
        <v>19</v>
      </c>
      <c r="U1869" s="17" t="n">
        <v>78</v>
      </c>
      <c r="V1869" s="17">
        <f>ROUNDUP((T1869+U1869+2*'Read Me'!$B$13)*(1+'Read Me'!$B$12),-1)</f>
        <v/>
      </c>
      <c r="W1869" s="17">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7" t="n">
        <v>0</v>
      </c>
      <c r="U1870" s="17" t="n">
        <v>72</v>
      </c>
      <c r="V1870" s="17">
        <f>ROUNDUP((T1870+U1870+2*'Read Me'!$B$13)*(1+'Read Me'!$B$12),-1)</f>
        <v/>
      </c>
      <c r="W1870" s="17">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7" t="n">
        <v>13</v>
      </c>
      <c r="U1871" s="17" t="n">
        <v>58</v>
      </c>
      <c r="V1871" s="17">
        <f>ROUNDUP((T1871+U1871+2*'Read Me'!$B$13)*(1+'Read Me'!$B$12),-1)</f>
        <v/>
      </c>
      <c r="W1871" s="17">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7" t="n">
        <v>0</v>
      </c>
      <c r="U1872" s="17" t="n">
        <v>32</v>
      </c>
      <c r="V1872" s="17">
        <f>ROUNDUP((T1872+U1872+2*'Read Me'!$B$13)*(1+'Read Me'!$B$12),-1)</f>
        <v/>
      </c>
      <c r="W1872" s="17">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7" t="n">
        <v>404</v>
      </c>
      <c r="U1873" s="17" t="n">
        <v>72</v>
      </c>
      <c r="V1873" s="17">
        <f>ROUNDUP((T1873+U1873+2*'Read Me'!$B$13)*(1+'Read Me'!$B$12),-1)</f>
        <v/>
      </c>
      <c r="W1873" s="17">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7" t="n">
        <v>404</v>
      </c>
      <c r="U1874" s="17" t="n">
        <v>72</v>
      </c>
      <c r="V1874" s="17">
        <f>ROUNDUP((T1874+U1874+2*'Read Me'!$B$13)*(1+'Read Me'!$B$12),-1)</f>
        <v/>
      </c>
      <c r="W1874" s="17">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7" t="n">
        <v>404</v>
      </c>
      <c r="U1875" s="17" t="n">
        <v>72</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7" t="n">
        <v>404</v>
      </c>
      <c r="U1876" s="17" t="n">
        <v>72</v>
      </c>
      <c r="V1876" s="17">
        <f>ROUNDUP((T1876+U1876+2*'Read Me'!$B$13)*(1+'Read Me'!$B$12),-1)</f>
        <v/>
      </c>
      <c r="W1876" s="17">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7" t="n">
        <v>404</v>
      </c>
      <c r="U1877" s="17" t="n">
        <v>72</v>
      </c>
      <c r="V1877" s="17">
        <f>ROUNDUP((T1877+U1877+2*'Read Me'!$B$13)*(1+'Read Me'!$B$12),-1)</f>
        <v/>
      </c>
      <c r="W1877" s="17">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7" t="n">
        <v>404</v>
      </c>
      <c r="U1878" s="17" t="n">
        <v>72</v>
      </c>
      <c r="V1878" s="17">
        <f>ROUNDUP((T1878+U1878+2*'Read Me'!$B$13)*(1+'Read Me'!$B$12),-1)</f>
        <v/>
      </c>
      <c r="W1878" s="17">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7" t="n">
        <v>481</v>
      </c>
      <c r="U1879" s="17" t="n">
        <v>189</v>
      </c>
      <c r="V1879" s="17">
        <f>ROUNDUP((T1879+U1879+2*'Read Me'!$B$13)*(1+'Read Me'!$B$12),-1)</f>
        <v/>
      </c>
      <c r="W1879" s="17">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7" t="n">
        <v>481</v>
      </c>
      <c r="U1880" s="17" t="n">
        <v>189</v>
      </c>
      <c r="V1880" s="17">
        <f>ROUNDUP((T1880+U1880+2*'Read Me'!$B$13)*(1+'Read Me'!$B$12),-1)</f>
        <v/>
      </c>
      <c r="W1880" s="17">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7" t="n">
        <v>481</v>
      </c>
      <c r="U1881" s="17" t="n">
        <v>189</v>
      </c>
      <c r="V1881" s="17">
        <f>ROUNDUP((T1881+U1881+2*'Read Me'!$B$13)*(1+'Read Me'!$B$12),-1)</f>
        <v/>
      </c>
      <c r="W1881" s="17">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7" t="n">
        <v>661</v>
      </c>
      <c r="U1882" s="17" t="n">
        <v>169</v>
      </c>
      <c r="V1882" s="17">
        <f>ROUNDUP((T1882+U1882+2*'Read Me'!$B$13)*(1+'Read Me'!$B$12),-1)</f>
        <v/>
      </c>
      <c r="W1882" s="17">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7" t="n">
        <v>661</v>
      </c>
      <c r="U1883" s="17" t="n">
        <v>169</v>
      </c>
      <c r="V1883" s="17">
        <f>ROUNDUP((T1883+U1883+2*'Read Me'!$B$13)*(1+'Read Me'!$B$12),-1)</f>
        <v/>
      </c>
      <c r="W1883" s="17">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7" t="n">
        <v>661</v>
      </c>
      <c r="U1884" s="17" t="n">
        <v>169</v>
      </c>
      <c r="V1884" s="17">
        <f>ROUNDUP((T1884+U1884+2*'Read Me'!$B$13)*(1+'Read Me'!$B$12),-1)</f>
        <v/>
      </c>
      <c r="W1884" s="17">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7" t="n">
        <v>829</v>
      </c>
      <c r="U1885" s="17" t="n">
        <v>177</v>
      </c>
      <c r="V1885" s="17">
        <f>ROUNDUP((T1885+U1885+2*'Read Me'!$B$13)*(1+'Read Me'!$B$12),-1)</f>
        <v/>
      </c>
      <c r="W1885" s="17">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7" t="n">
        <v>829</v>
      </c>
      <c r="U1886" s="17" t="n">
        <v>177</v>
      </c>
      <c r="V1886" s="17">
        <f>ROUNDUP((T1886+U1886+2*'Read Me'!$B$13)*(1+'Read Me'!$B$12),-1)</f>
        <v/>
      </c>
      <c r="W1886" s="17">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7" t="n">
        <v>829</v>
      </c>
      <c r="U1887" s="17" t="n">
        <v>177</v>
      </c>
      <c r="V1887" s="17">
        <f>ROUNDUP((T1887+U1887+2*'Read Me'!$B$13)*(1+'Read Me'!$B$12),-1)</f>
        <v/>
      </c>
      <c r="W1887" s="17">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7" t="n">
        <v>67</v>
      </c>
      <c r="U1888" s="17" t="n">
        <v>84</v>
      </c>
      <c r="V1888" s="17">
        <f>ROUNDUP((T1888+U1888+2*'Read Me'!$B$13)*(1+'Read Me'!$B$12),-1)</f>
        <v/>
      </c>
      <c r="W1888" s="17">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7" t="n">
        <v>67</v>
      </c>
      <c r="U1889" s="17" t="n">
        <v>84</v>
      </c>
      <c r="V1889" s="17">
        <f>ROUNDUP((T1889+U1889+2*'Read Me'!$B$13)*(1+'Read Me'!$B$12),-1)</f>
        <v/>
      </c>
      <c r="W1889" s="17">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7" t="n">
        <v>67</v>
      </c>
      <c r="U1890" s="17" t="n">
        <v>84</v>
      </c>
      <c r="V1890" s="17">
        <f>ROUNDUP((T1890+U1890+2*'Read Me'!$B$13)*(1+'Read Me'!$B$12),-1)</f>
        <v/>
      </c>
      <c r="W1890" s="17">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7" t="n">
        <v>67</v>
      </c>
      <c r="U1891" s="17" t="n">
        <v>84</v>
      </c>
      <c r="V1891" s="17">
        <f>ROUNDUP((T1891+U1891+2*'Read Me'!$B$13)*(1+'Read Me'!$B$12),-1)</f>
        <v/>
      </c>
      <c r="W1891" s="17">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7" t="n">
        <v>67</v>
      </c>
      <c r="U1892" s="17" t="n">
        <v>84</v>
      </c>
      <c r="V1892" s="17">
        <f>ROUNDUP((T1892+U1892+2*'Read Me'!$B$13)*(1+'Read Me'!$B$12),-1)</f>
        <v/>
      </c>
      <c r="W1892" s="17">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7" t="n">
        <v>67</v>
      </c>
      <c r="U1893" s="17" t="n">
        <v>84</v>
      </c>
      <c r="V1893" s="17">
        <f>ROUNDUP((T1893+U1893+2*'Read Me'!$B$13)*(1+'Read Me'!$B$12),-1)</f>
        <v/>
      </c>
      <c r="W1893" s="17">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7" t="n">
        <v>67</v>
      </c>
      <c r="U1894" s="17" t="n">
        <v>84</v>
      </c>
      <c r="V1894" s="17">
        <f>ROUNDUP((T1894+U1894+2*'Read Me'!$B$13)*(1+'Read Me'!$B$12),-1)</f>
        <v/>
      </c>
      <c r="W1894" s="17">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7" t="n">
        <v>67</v>
      </c>
      <c r="U1895" s="17" t="n">
        <v>84</v>
      </c>
      <c r="V1895" s="17">
        <f>ROUNDUP((T1895+U1895+2*'Read Me'!$B$13)*(1+'Read Me'!$B$12),-1)</f>
        <v/>
      </c>
      <c r="W1895" s="17">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7" t="n">
        <v>67</v>
      </c>
      <c r="U1896" s="17" t="n">
        <v>84</v>
      </c>
      <c r="V1896" s="17">
        <f>ROUNDUP((T1896+U1896+2*'Read Me'!$B$13)*(1+'Read Me'!$B$12),-1)</f>
        <v/>
      </c>
      <c r="W1896" s="17">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7" t="n">
        <v>67</v>
      </c>
      <c r="U1897" s="17" t="n">
        <v>84</v>
      </c>
      <c r="V1897" s="17">
        <f>ROUNDUP((T1897+U1897+2*'Read Me'!$B$13)*(1+'Read Me'!$B$12),-1)</f>
        <v/>
      </c>
      <c r="W1897" s="17">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7" t="n">
        <v>12</v>
      </c>
      <c r="U1898" s="17" t="n">
        <v>50</v>
      </c>
      <c r="V1898" s="17">
        <f>ROUNDUP((T1898+U1898+2*'Read Me'!$B$13)*(1+'Read Me'!$B$12),-1)</f>
        <v/>
      </c>
      <c r="W1898" s="17">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7" t="n">
        <v>12</v>
      </c>
      <c r="U1899" s="17" t="n">
        <v>50</v>
      </c>
      <c r="V1899" s="17">
        <f>ROUNDUP((T1899+U1899+2*'Read Me'!$B$13)*(1+'Read Me'!$B$12),-1)</f>
        <v/>
      </c>
      <c r="W1899" s="17">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7" t="n">
        <v>12</v>
      </c>
      <c r="U1900" s="17" t="n">
        <v>50</v>
      </c>
      <c r="V1900" s="17">
        <f>ROUNDUP((T1900+U1900+2*'Read Me'!$B$13)*(1+'Read Me'!$B$12),-1)</f>
        <v/>
      </c>
      <c r="W1900" s="17">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7" t="n">
        <v>12</v>
      </c>
      <c r="U1901" s="17" t="n">
        <v>50</v>
      </c>
      <c r="V1901" s="17">
        <f>ROUNDUP((T1901+U1901+2*'Read Me'!$B$13)*(1+'Read Me'!$B$12),-1)</f>
        <v/>
      </c>
      <c r="W1901" s="17">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7" t="n">
        <v>12</v>
      </c>
      <c r="U1902" s="17" t="n">
        <v>50</v>
      </c>
      <c r="V1902" s="17">
        <f>ROUNDUP((T1902+U1902+2*'Read Me'!$B$13)*(1+'Read Me'!$B$12),-1)</f>
        <v/>
      </c>
      <c r="W1902" s="17">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7" t="n">
        <v>12</v>
      </c>
      <c r="U1903" s="17" t="n">
        <v>50</v>
      </c>
      <c r="V1903" s="17">
        <f>ROUNDUP((T1903+U1903+2*'Read Me'!$B$13)*(1+'Read Me'!$B$12),-1)</f>
        <v/>
      </c>
      <c r="W1903" s="17">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7" t="n">
        <v>12</v>
      </c>
      <c r="U1904" s="17" t="n">
        <v>50</v>
      </c>
      <c r="V1904" s="17">
        <f>ROUNDUP((T1904+U1904+2*'Read Me'!$B$13)*(1+'Read Me'!$B$12),-1)</f>
        <v/>
      </c>
      <c r="W1904" s="17">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7" t="n">
        <v>12</v>
      </c>
      <c r="U1905" s="17" t="n">
        <v>50</v>
      </c>
      <c r="V1905" s="17">
        <f>ROUNDUP((T1905+U1905+2*'Read Me'!$B$13)*(1+'Read Me'!$B$12),-1)</f>
        <v/>
      </c>
      <c r="W1905" s="17">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7" t="n">
        <v>12</v>
      </c>
      <c r="U1906" s="17" t="n">
        <v>50</v>
      </c>
      <c r="V1906" s="17">
        <f>ROUNDUP((T1906+U1906+2*'Read Me'!$B$13)*(1+'Read Me'!$B$12),-1)</f>
        <v/>
      </c>
      <c r="W1906" s="17">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7" t="n">
        <v>12</v>
      </c>
      <c r="U1907" s="17" t="n">
        <v>50</v>
      </c>
      <c r="V1907" s="17">
        <f>ROUNDUP((T1907+U1907+2*'Read Me'!$B$13)*(1+'Read Me'!$B$12),-1)</f>
        <v/>
      </c>
      <c r="W1907" s="17">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7" t="n">
        <v>12</v>
      </c>
      <c r="U1908" s="17" t="n">
        <v>50</v>
      </c>
      <c r="V1908" s="17">
        <f>ROUNDUP((T1908+U1908+2*'Read Me'!$B$13)*(1+'Read Me'!$B$12),-1)</f>
        <v/>
      </c>
      <c r="W1908" s="17">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7" t="n">
        <v>12</v>
      </c>
      <c r="U1909" s="17" t="n">
        <v>50</v>
      </c>
      <c r="V1909" s="17">
        <f>ROUNDUP((T1909+U1909+2*'Read Me'!$B$13)*(1+'Read Me'!$B$12),-1)</f>
        <v/>
      </c>
      <c r="W1909" s="17">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7" t="n">
        <v>12</v>
      </c>
      <c r="U1910" s="17" t="n">
        <v>50</v>
      </c>
      <c r="V1910" s="17">
        <f>ROUNDUP((T1910+U1910+2*'Read Me'!$B$13)*(1+'Read Me'!$B$12),-1)</f>
        <v/>
      </c>
      <c r="W1910" s="17">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7" t="n">
        <v>12</v>
      </c>
      <c r="U1911" s="17" t="n">
        <v>50</v>
      </c>
      <c r="V1911" s="17">
        <f>ROUNDUP((T1911+U1911+2*'Read Me'!$B$13)*(1+'Read Me'!$B$12),-1)</f>
        <v/>
      </c>
      <c r="W1911" s="17">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7" t="n">
        <v>12</v>
      </c>
      <c r="U1912" s="17" t="n">
        <v>50</v>
      </c>
      <c r="V1912" s="17">
        <f>ROUNDUP((T1912+U1912+2*'Read Me'!$B$13)*(1+'Read Me'!$B$12),-1)</f>
        <v/>
      </c>
      <c r="W1912" s="17">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7" t="n">
        <v>12</v>
      </c>
      <c r="U1913" s="17" t="n">
        <v>50</v>
      </c>
      <c r="V1913" s="17">
        <f>ROUNDUP((T1913+U1913+2*'Read Me'!$B$13)*(1+'Read Me'!$B$12),-1)</f>
        <v/>
      </c>
      <c r="W1913" s="17">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7" t="n">
        <v>12</v>
      </c>
      <c r="U1914" s="17" t="n">
        <v>50</v>
      </c>
      <c r="V1914" s="17">
        <f>ROUNDUP((T1914+U1914+2*'Read Me'!$B$13)*(1+'Read Me'!$B$12),-1)</f>
        <v/>
      </c>
      <c r="W1914" s="17">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7" t="n">
        <v>12</v>
      </c>
      <c r="U1915" s="17" t="n">
        <v>50</v>
      </c>
      <c r="V1915" s="17">
        <f>ROUNDUP((T1915+U1915+2*'Read Me'!$B$13)*(1+'Read Me'!$B$12),-1)</f>
        <v/>
      </c>
      <c r="W1915" s="17">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7" t="n">
        <v>12</v>
      </c>
      <c r="U1916" s="17" t="n">
        <v>50</v>
      </c>
      <c r="V1916" s="17">
        <f>ROUNDUP((T1916+U1916+2*'Read Me'!$B$13)*(1+'Read Me'!$B$12),-1)</f>
        <v/>
      </c>
      <c r="W1916" s="17">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7" t="n">
        <v>12</v>
      </c>
      <c r="U1917" s="17" t="n">
        <v>50</v>
      </c>
      <c r="V1917" s="17">
        <f>ROUNDUP((T1917+U1917+2*'Read Me'!$B$13)*(1+'Read Me'!$B$12),-1)</f>
        <v/>
      </c>
      <c r="W1917" s="17">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7" t="n">
        <v>12</v>
      </c>
      <c r="U1918" s="17" t="n">
        <v>50</v>
      </c>
      <c r="V1918" s="17">
        <f>ROUNDUP((T1918+U1918+2*'Read Me'!$B$13)*(1+'Read Me'!$B$12),-1)</f>
        <v/>
      </c>
      <c r="W1918" s="17">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7" t="n">
        <v>12</v>
      </c>
      <c r="U1919" s="17" t="n">
        <v>50</v>
      </c>
      <c r="V1919" s="17">
        <f>ROUNDUP((T1919+U1919+2*'Read Me'!$B$13)*(1+'Read Me'!$B$12),-1)</f>
        <v/>
      </c>
      <c r="W1919" s="17">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7" t="n">
        <v>12</v>
      </c>
      <c r="U1920" s="17" t="n">
        <v>50</v>
      </c>
      <c r="V1920" s="17">
        <f>ROUNDUP((T1920+U1920+2*'Read Me'!$B$13)*(1+'Read Me'!$B$12),-1)</f>
        <v/>
      </c>
      <c r="W1920" s="17">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7" t="n">
        <v>12</v>
      </c>
      <c r="U1921" s="17" t="n">
        <v>50</v>
      </c>
      <c r="V1921" s="17">
        <f>ROUNDUP((T1921+U1921+2*'Read Me'!$B$13)*(1+'Read Me'!$B$12),-1)</f>
        <v/>
      </c>
      <c r="W1921" s="17">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7" t="n">
        <v>12</v>
      </c>
      <c r="U1922" s="17" t="n">
        <v>50</v>
      </c>
      <c r="V1922" s="17">
        <f>ROUNDUP((T1922+U1922+2*'Read Me'!$B$13)*(1+'Read Me'!$B$12),-1)</f>
        <v/>
      </c>
      <c r="W1922" s="17">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7" t="n">
        <v>517</v>
      </c>
      <c r="U1923" s="17" t="n">
        <v>35</v>
      </c>
      <c r="V1923" s="17">
        <f>ROUNDUP((T1923+U1923+2*'Read Me'!$B$13)*(1+'Read Me'!$B$12),-1)</f>
        <v/>
      </c>
      <c r="W1923" s="17">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7" t="n">
        <v>517</v>
      </c>
      <c r="U1924" s="17" t="n">
        <v>35</v>
      </c>
      <c r="V1924" s="17">
        <f>ROUNDUP((T1924+U1924+2*'Read Me'!$B$13)*(1+'Read Me'!$B$12),-1)</f>
        <v/>
      </c>
      <c r="W1924" s="17">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7" t="n">
        <v>517</v>
      </c>
      <c r="U1925" s="17" t="n">
        <v>35</v>
      </c>
      <c r="V1925" s="17">
        <f>ROUNDUP((T1925+U1925+2*'Read Me'!$B$13)*(1+'Read Me'!$B$12),-1)</f>
        <v/>
      </c>
      <c r="W1925" s="17">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7" t="n">
        <v>517</v>
      </c>
      <c r="U1926" s="17" t="n">
        <v>35</v>
      </c>
      <c r="V1926" s="17">
        <f>ROUNDUP((T1926+U1926+2*'Read Me'!$B$13)*(1+'Read Me'!$B$12),-1)</f>
        <v/>
      </c>
      <c r="W1926" s="17">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7" t="n">
        <v>258</v>
      </c>
      <c r="U1927" s="17" t="n">
        <v>32</v>
      </c>
      <c r="V1927" s="17">
        <f>ROUNDUP((T1927+U1927+2*'Read Me'!$B$13)*(1+'Read Me'!$B$12),-1)</f>
        <v/>
      </c>
      <c r="W1927" s="17">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7" t="n">
        <v>0</v>
      </c>
      <c r="U1928" s="17" t="n">
        <v>86</v>
      </c>
      <c r="V1928" s="17">
        <f>ROUNDUP((T1928+U1928+2*'Read Me'!$B$13)*(1+'Read Me'!$B$12),-1)</f>
        <v/>
      </c>
      <c r="W1928" s="17">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7" t="n">
        <v>0</v>
      </c>
      <c r="U1929" s="17" t="n">
        <v>86</v>
      </c>
      <c r="V1929" s="17">
        <f>ROUNDUP((T1929+U1929+2*'Read Me'!$B$13)*(1+'Read Me'!$B$12),-1)</f>
        <v/>
      </c>
      <c r="W1929" s="17">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7" t="n">
        <v>0</v>
      </c>
      <c r="U1930" s="17" t="n">
        <v>86</v>
      </c>
      <c r="V1930" s="17">
        <f>ROUNDUP((T1930+U1930+2*'Read Me'!$B$13)*(1+'Read Me'!$B$12),-1)</f>
        <v/>
      </c>
      <c r="W1930" s="17">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7" t="n">
        <v>0</v>
      </c>
      <c r="U1931" s="17" t="n">
        <v>86</v>
      </c>
      <c r="V1931" s="17">
        <f>ROUNDUP((T1931+U1931+2*'Read Me'!$B$13)*(1+'Read Me'!$B$12),-1)</f>
        <v/>
      </c>
      <c r="W1931" s="17">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7" t="n">
        <v>0</v>
      </c>
      <c r="U1932" s="17" t="n">
        <v>86</v>
      </c>
      <c r="V1932" s="17">
        <f>ROUNDUP((T1932+U1932+2*'Read Me'!$B$13)*(1+'Read Me'!$B$12),-1)</f>
        <v/>
      </c>
      <c r="W1932" s="17">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7" t="n">
        <v>0</v>
      </c>
      <c r="U1933" s="17" t="n">
        <v>86</v>
      </c>
      <c r="V1933" s="17">
        <f>ROUNDUP((T1933+U1933+2*'Read Me'!$B$13)*(1+'Read Me'!$B$12),-1)</f>
        <v/>
      </c>
      <c r="W1933" s="17">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7" t="n">
        <v>0</v>
      </c>
      <c r="U1934" s="17" t="n">
        <v>97</v>
      </c>
      <c r="V1934" s="17">
        <f>ROUNDUP((T1934+U1934+2*'Read Me'!$B$13)*(1+'Read Me'!$B$12),-1)</f>
        <v/>
      </c>
      <c r="W1934" s="17">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7" t="n">
        <v>0</v>
      </c>
      <c r="U1935" s="17" t="n">
        <v>97</v>
      </c>
      <c r="V1935" s="17">
        <f>ROUNDUP((T1935+U1935+2*'Read Me'!$B$13)*(1+'Read Me'!$B$12),-1)</f>
        <v/>
      </c>
      <c r="W1935" s="17">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7" t="n">
        <v>0</v>
      </c>
      <c r="U1936" s="17" t="n">
        <v>97</v>
      </c>
      <c r="V1936" s="17">
        <f>ROUNDUP((T1936+U1936+2*'Read Me'!$B$13)*(1+'Read Me'!$B$12),-1)</f>
        <v/>
      </c>
      <c r="W1936" s="17">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7" t="n">
        <v>0</v>
      </c>
      <c r="U1937" s="17" t="n">
        <v>97</v>
      </c>
      <c r="V1937" s="17">
        <f>ROUNDUP((T1937+U1937+2*'Read Me'!$B$13)*(1+'Read Me'!$B$12),-1)</f>
        <v/>
      </c>
      <c r="W1937" s="17">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7" t="n">
        <v>0</v>
      </c>
      <c r="U1938" s="17" t="n">
        <v>97</v>
      </c>
      <c r="V1938" s="17">
        <f>ROUNDUP((T1938+U1938+2*'Read Me'!$B$13)*(1+'Read Me'!$B$12),-1)</f>
        <v/>
      </c>
      <c r="W1938" s="17">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7" t="n">
        <v>0</v>
      </c>
      <c r="U1939" s="17" t="n">
        <v>97</v>
      </c>
      <c r="V1939" s="17">
        <f>ROUNDUP((T1939+U1939+2*'Read Me'!$B$13)*(1+'Read Me'!$B$12),-1)</f>
        <v/>
      </c>
      <c r="W1939" s="17">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7" t="n">
        <v>0</v>
      </c>
      <c r="U1940" s="17" t="n">
        <v>97</v>
      </c>
      <c r="V1940" s="17">
        <f>ROUNDUP((T1940+U1940+2*'Read Me'!$B$13)*(1+'Read Me'!$B$12),-1)</f>
        <v/>
      </c>
      <c r="W1940" s="17">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7" t="n">
        <v>0</v>
      </c>
      <c r="U1941" s="17" t="n">
        <v>97</v>
      </c>
      <c r="V1941" s="17">
        <f>ROUNDUP((T1941+U1941+2*'Read Me'!$B$13)*(1+'Read Me'!$B$12),-1)</f>
        <v/>
      </c>
      <c r="W1941" s="17">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7" t="n">
        <v>0</v>
      </c>
      <c r="U1942" s="17" t="n">
        <v>97</v>
      </c>
      <c r="V1942" s="17">
        <f>ROUNDUP((T1942+U1942+2*'Read Me'!$B$13)*(1+'Read Me'!$B$12),-1)</f>
        <v/>
      </c>
      <c r="W1942" s="17">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7" t="n">
        <v>0</v>
      </c>
      <c r="U1943" s="17" t="n">
        <v>97</v>
      </c>
      <c r="V1943" s="17">
        <f>ROUNDUP((T1943+U1943+2*'Read Me'!$B$13)*(1+'Read Me'!$B$12),-1)</f>
        <v/>
      </c>
      <c r="W1943" s="17">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7" t="n">
        <v>0</v>
      </c>
      <c r="U1944" s="17" t="n">
        <v>97</v>
      </c>
      <c r="V1944" s="17">
        <f>ROUNDUP((T1944+U1944+2*'Read Me'!$B$13)*(1+'Read Me'!$B$12),-1)</f>
        <v/>
      </c>
      <c r="W1944" s="17">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7" t="n">
        <v>0</v>
      </c>
      <c r="U1945" s="17" t="n">
        <v>97</v>
      </c>
      <c r="V1945" s="17">
        <f>ROUNDUP((T1945+U1945+2*'Read Me'!$B$13)*(1+'Read Me'!$B$12),-1)</f>
        <v/>
      </c>
      <c r="W1945" s="17">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7" t="n">
        <v>0</v>
      </c>
      <c r="U1946" s="17" t="n">
        <v>71</v>
      </c>
      <c r="V1946" s="17">
        <f>ROUNDUP((T1946+U1946+2*'Read Me'!$B$13)*(1+'Read Me'!$B$12),-1)</f>
        <v/>
      </c>
      <c r="W1946" s="17">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7" t="n">
        <v>0</v>
      </c>
      <c r="U1947" s="17" t="n">
        <v>71</v>
      </c>
      <c r="V1947" s="17">
        <f>ROUNDUP((T1947+U1947+2*'Read Me'!$B$13)*(1+'Read Me'!$B$12),-1)</f>
        <v/>
      </c>
      <c r="W1947" s="17">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7" t="n">
        <v>0</v>
      </c>
      <c r="U1948" s="17" t="n">
        <v>71</v>
      </c>
      <c r="V1948" s="17">
        <f>ROUNDUP((T1948+U1948+2*'Read Me'!$B$13)*(1+'Read Me'!$B$12),-1)</f>
        <v/>
      </c>
      <c r="W1948" s="17">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7" t="n">
        <v>0</v>
      </c>
      <c r="U1949" s="17" t="n">
        <v>71</v>
      </c>
      <c r="V1949" s="17">
        <f>ROUNDUP((T1949+U1949+2*'Read Me'!$B$13)*(1+'Read Me'!$B$12),-1)</f>
        <v/>
      </c>
      <c r="W1949" s="17">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7" t="n">
        <v>0</v>
      </c>
      <c r="U1950" s="17" t="n">
        <v>71</v>
      </c>
      <c r="V1950" s="17">
        <f>ROUNDUP((T1950+U1950+2*'Read Me'!$B$13)*(1+'Read Me'!$B$12),-1)</f>
        <v/>
      </c>
      <c r="W1950" s="17">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7" t="n">
        <v>0</v>
      </c>
      <c r="U1951" s="17" t="n">
        <v>71</v>
      </c>
      <c r="V1951" s="17">
        <f>ROUNDUP((T1951+U1951+2*'Read Me'!$B$13)*(1+'Read Me'!$B$12),-1)</f>
        <v/>
      </c>
      <c r="W1951" s="17">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7" t="n">
        <v>63</v>
      </c>
      <c r="U1952" s="17" t="n">
        <v>41</v>
      </c>
      <c r="V1952" s="17">
        <f>ROUNDUP((T1952+U1952+2*'Read Me'!$B$13)*(1+'Read Me'!$B$12),-1)</f>
        <v/>
      </c>
      <c r="W1952" s="17">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7" t="n">
        <v>63</v>
      </c>
      <c r="U1953" s="17" t="n">
        <v>41</v>
      </c>
      <c r="V1953" s="17">
        <f>ROUNDUP((T1953+U1953+2*'Read Me'!$B$13)*(1+'Read Me'!$B$12),-1)</f>
        <v/>
      </c>
      <c r="W1953" s="17">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7" t="n">
        <v>63</v>
      </c>
      <c r="U1954" s="17" t="n">
        <v>41</v>
      </c>
      <c r="V1954" s="17">
        <f>ROUNDUP((T1954+U1954+2*'Read Me'!$B$13)*(1+'Read Me'!$B$12),-1)</f>
        <v/>
      </c>
      <c r="W1954" s="17">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7" t="n">
        <v>63</v>
      </c>
      <c r="U1955" s="17" t="n">
        <v>41</v>
      </c>
      <c r="V1955" s="17">
        <f>ROUNDUP((T1955+U1955+2*'Read Me'!$B$13)*(1+'Read Me'!$B$12),-1)</f>
        <v/>
      </c>
      <c r="W1955" s="17">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7" t="n">
        <v>63</v>
      </c>
      <c r="U1956" s="17" t="n">
        <v>41</v>
      </c>
      <c r="V1956" s="17">
        <f>ROUNDUP((T1956+U1956+2*'Read Me'!$B$13)*(1+'Read Me'!$B$12),-1)</f>
        <v/>
      </c>
      <c r="W1956" s="17">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7" t="n">
        <v>63</v>
      </c>
      <c r="U1957" s="17" t="n">
        <v>41</v>
      </c>
      <c r="V1957" s="17">
        <f>ROUNDUP((T1957+U1957+2*'Read Me'!$B$13)*(1+'Read Me'!$B$12),-1)</f>
        <v/>
      </c>
      <c r="W1957" s="17">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7" t="n">
        <v>85</v>
      </c>
      <c r="U1958" s="17" t="n">
        <v>41</v>
      </c>
      <c r="V1958" s="17">
        <f>ROUNDUP((T1958+U1958+2*'Read Me'!$B$13)*(1+'Read Me'!$B$12),-1)</f>
        <v/>
      </c>
      <c r="W1958" s="17">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7" t="n">
        <v>85</v>
      </c>
      <c r="U1959" s="17" t="n">
        <v>41</v>
      </c>
      <c r="V1959" s="17">
        <f>ROUNDUP((T1959+U1959+2*'Read Me'!$B$13)*(1+'Read Me'!$B$12),-1)</f>
        <v/>
      </c>
      <c r="W1959" s="17">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7" t="n">
        <v>85</v>
      </c>
      <c r="U1960" s="17" t="n">
        <v>41</v>
      </c>
      <c r="V1960" s="17">
        <f>ROUNDUP((T1960+U1960+2*'Read Me'!$B$13)*(1+'Read Me'!$B$12),-1)</f>
        <v/>
      </c>
      <c r="W1960" s="17">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7" t="n">
        <v>85</v>
      </c>
      <c r="U1961" s="17" t="n">
        <v>41</v>
      </c>
      <c r="V1961" s="17">
        <f>ROUNDUP((T1961+U1961+2*'Read Me'!$B$13)*(1+'Read Me'!$B$12),-1)</f>
        <v/>
      </c>
      <c r="W1961" s="17">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7" t="n">
        <v>85</v>
      </c>
      <c r="U1962" s="17" t="n">
        <v>41</v>
      </c>
      <c r="V1962" s="17">
        <f>ROUNDUP((T1962+U1962+2*'Read Me'!$B$13)*(1+'Read Me'!$B$12),-1)</f>
        <v/>
      </c>
      <c r="W1962" s="17">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7" t="n">
        <v>85</v>
      </c>
      <c r="U1963" s="17" t="n">
        <v>41</v>
      </c>
      <c r="V1963" s="17">
        <f>ROUNDUP((T1963+U1963+2*'Read Me'!$B$13)*(1+'Read Me'!$B$12),-1)</f>
        <v/>
      </c>
      <c r="W1963" s="17">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7" t="n">
        <v>178</v>
      </c>
      <c r="U1964" s="17" t="n">
        <v>94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7" t="n">
        <v>256</v>
      </c>
      <c r="U1965" s="17" t="n">
        <v>145</v>
      </c>
      <c r="V1965" s="17">
        <f>ROUNDUP((T1965+U1965+2*'Read Me'!$B$13)*(1+'Read Me'!$B$12),-1)</f>
        <v/>
      </c>
      <c r="W1965" s="17">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7" t="n">
        <v>1069</v>
      </c>
      <c r="U1966" s="17" t="n">
        <v>184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7" t="n">
        <v>436</v>
      </c>
      <c r="U1967" s="17" t="n">
        <v>125</v>
      </c>
      <c r="V1967" s="17">
        <f>ROUNDUP((T1967+U1967+2*'Read Me'!$B$13)*(1+'Read Me'!$B$12),-1)</f>
        <v/>
      </c>
      <c r="W1967" s="17">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7" t="n">
        <v>1024</v>
      </c>
      <c r="U1968" s="17" t="n">
        <v>240</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7" t="n">
        <v>604</v>
      </c>
      <c r="U1969" s="17" t="n">
        <v>133</v>
      </c>
      <c r="V1969" s="17">
        <f>ROUNDUP((T1969+U1969+2*'Read Me'!$B$13)*(1+'Read Me'!$B$12),-1)</f>
        <v/>
      </c>
      <c r="W1969" s="17">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7" t="n">
        <v>408</v>
      </c>
      <c r="U1970" s="17" t="n">
        <v>183</v>
      </c>
      <c r="V1970" s="17">
        <f>ROUNDUP((T1970+U1970+2*'Read Me'!$B$13)*(1+'Read Me'!$B$12),-1)</f>
        <v/>
      </c>
      <c r="W1970" s="17">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7" t="n">
        <v>506</v>
      </c>
      <c r="U1971" s="17" t="n">
        <v>136</v>
      </c>
      <c r="V1971" s="17">
        <f>ROUNDUP((T1971+U1971+2*'Read Me'!$B$13)*(1+'Read Me'!$B$12),-1)</f>
        <v/>
      </c>
      <c r="W1971" s="17">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7" t="n">
        <v>1069</v>
      </c>
      <c r="U1972" s="17" t="n">
        <v>184</v>
      </c>
      <c r="V1972" s="17">
        <f>ROUNDUP((T1972+U1972+2*'Read Me'!$B$13)*(1+'Read Me'!$B$12),-1)</f>
        <v/>
      </c>
      <c r="W1972" s="17">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7" t="n">
        <v>566</v>
      </c>
      <c r="U1973" s="17" t="n">
        <v>158</v>
      </c>
      <c r="V1973" s="17">
        <f>ROUNDUP((T1973+U1973+2*'Read Me'!$B$13)*(1+'Read Me'!$B$12),-1)</f>
        <v/>
      </c>
      <c r="W1973" s="17">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7" t="n">
        <v>566</v>
      </c>
      <c r="U1974" s="17" t="n">
        <v>158</v>
      </c>
      <c r="V1974" s="17">
        <f>ROUNDUP((T1974+U1974+2*'Read Me'!$B$13)*(1+'Read Me'!$B$12),-1)</f>
        <v/>
      </c>
      <c r="W1974" s="17">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7" t="n">
        <v>566</v>
      </c>
      <c r="U1975" s="17" t="n">
        <v>158</v>
      </c>
      <c r="V1975" s="17">
        <f>ROUNDUP((T1975+U1975+2*'Read Me'!$B$13)*(1+'Read Me'!$B$12),-1)</f>
        <v/>
      </c>
      <c r="W1975" s="17">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7" t="n">
        <v>566</v>
      </c>
      <c r="U1976" s="17" t="n">
        <v>158</v>
      </c>
      <c r="V1976" s="17">
        <f>ROUNDUP((T1976+U1976+2*'Read Me'!$B$13)*(1+'Read Me'!$B$12),-1)</f>
        <v/>
      </c>
      <c r="W1976" s="17">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7" t="n">
        <v>566</v>
      </c>
      <c r="U1977" s="17" t="n">
        <v>158</v>
      </c>
      <c r="V1977" s="17">
        <f>ROUNDUP((T1977+U1977+2*'Read Me'!$B$13)*(1+'Read Me'!$B$12),-1)</f>
        <v/>
      </c>
      <c r="W1977" s="17">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7" t="n">
        <v>566</v>
      </c>
      <c r="U1978" s="17" t="n">
        <v>158</v>
      </c>
      <c r="V1978" s="17">
        <f>ROUNDUP((T1978+U1978+2*'Read Me'!$B$13)*(1+'Read Me'!$B$12),-1)</f>
        <v/>
      </c>
      <c r="W1978" s="17">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7" t="n">
        <v>1423</v>
      </c>
      <c r="U1979" s="17" t="n">
        <v>96</v>
      </c>
      <c r="V1979" s="17">
        <f>ROUNDUP((T1979+U1979+2*'Read Me'!$B$13)*(1+'Read Me'!$B$12),-1)</f>
        <v/>
      </c>
      <c r="W1979" s="17">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7" t="n">
        <v>1423</v>
      </c>
      <c r="U1980" s="17" t="n">
        <v>96</v>
      </c>
      <c r="V1980" s="17">
        <f>ROUNDUP((T1980+U1980+2*'Read Me'!$B$13)*(1+'Read Me'!$B$12),-1)</f>
        <v/>
      </c>
      <c r="W1980" s="17">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7" t="n">
        <v>1423</v>
      </c>
      <c r="U1981" s="17" t="n">
        <v>96</v>
      </c>
      <c r="V1981" s="17">
        <f>ROUNDUP((T1981+U1981+2*'Read Me'!$B$13)*(1+'Read Me'!$B$12),-1)</f>
        <v/>
      </c>
      <c r="W1981" s="17">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7" t="n">
        <v>1423</v>
      </c>
      <c r="U1982" s="17" t="n">
        <v>96</v>
      </c>
      <c r="V1982" s="17">
        <f>ROUNDUP((T1982+U1982+2*'Read Me'!$B$13)*(1+'Read Me'!$B$12),-1)</f>
        <v/>
      </c>
      <c r="W1982" s="17">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7" t="n">
        <v>1423</v>
      </c>
      <c r="U1983" s="17" t="n">
        <v>96</v>
      </c>
      <c r="V1983" s="17">
        <f>ROUNDUP((T1983+U1983+2*'Read Me'!$B$13)*(1+'Read Me'!$B$12),-1)</f>
        <v/>
      </c>
      <c r="W1983" s="17">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7" t="n">
        <v>1423</v>
      </c>
      <c r="U1984" s="17" t="n">
        <v>96</v>
      </c>
      <c r="V1984" s="17">
        <f>ROUNDUP((T1984+U1984+2*'Read Me'!$B$13)*(1+'Read Me'!$B$12),-1)</f>
        <v/>
      </c>
      <c r="W1984" s="17">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7" t="n">
        <v>1103</v>
      </c>
      <c r="U1985" s="17" t="n">
        <v>96</v>
      </c>
      <c r="V1985" s="17">
        <f>ROUNDUP((T1985+U1985+2*'Read Me'!$B$13)*(1+'Read Me'!$B$12),-1)</f>
        <v/>
      </c>
      <c r="W1985" s="17">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7" t="n">
        <v>1103</v>
      </c>
      <c r="U1986" s="17" t="n">
        <v>96</v>
      </c>
      <c r="V1986" s="17">
        <f>ROUNDUP((T1986+U1986+2*'Read Me'!$B$13)*(1+'Read Me'!$B$12),-1)</f>
        <v/>
      </c>
      <c r="W1986" s="17">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7" t="n">
        <v>1103</v>
      </c>
      <c r="U1987" s="17" t="n">
        <v>96</v>
      </c>
      <c r="V1987" s="17">
        <f>ROUNDUP((T1987+U1987+2*'Read Me'!$B$13)*(1+'Read Me'!$B$12),-1)</f>
        <v/>
      </c>
      <c r="W1987" s="17">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7" t="n">
        <v>1103</v>
      </c>
      <c r="U1988" s="17" t="n">
        <v>96</v>
      </c>
      <c r="V1988" s="17">
        <f>ROUNDUP((T1988+U1988+2*'Read Me'!$B$13)*(1+'Read Me'!$B$12),-1)</f>
        <v/>
      </c>
      <c r="W1988" s="17">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7" t="n">
        <v>1103</v>
      </c>
      <c r="U1989" s="17" t="n">
        <v>96</v>
      </c>
      <c r="V1989" s="17">
        <f>ROUNDUP((T1989+U1989+2*'Read Me'!$B$13)*(1+'Read Me'!$B$12),-1)</f>
        <v/>
      </c>
      <c r="W1989" s="17">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7" t="n">
        <v>1103</v>
      </c>
      <c r="U1990" s="17" t="n">
        <v>96</v>
      </c>
      <c r="V1990" s="17">
        <f>ROUNDUP((T1990+U1990+2*'Read Me'!$B$13)*(1+'Read Me'!$B$12),-1)</f>
        <v/>
      </c>
      <c r="W1990" s="17">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7" t="n">
        <v>261</v>
      </c>
      <c r="U1991" s="17" t="n">
        <v>145</v>
      </c>
      <c r="V1991" s="17">
        <f>ROUNDUP((T1991+U1991+2*'Read Me'!$B$13)*(1+'Read Me'!$B$12),-1)</f>
        <v/>
      </c>
      <c r="W1991" s="17">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7" t="n">
        <v>261</v>
      </c>
      <c r="U1992" s="17" t="n">
        <v>145</v>
      </c>
      <c r="V1992" s="17">
        <f>ROUNDUP((T1992+U1992+2*'Read Me'!$B$13)*(1+'Read Me'!$B$12),-1)</f>
        <v/>
      </c>
      <c r="W1992" s="17">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7" t="n">
        <v>441</v>
      </c>
      <c r="U1993" s="17" t="n">
        <v>125</v>
      </c>
      <c r="V1993" s="17">
        <f>ROUNDUP((T1993+U1993+2*'Read Me'!$B$13)*(1+'Read Me'!$B$12),-1)</f>
        <v/>
      </c>
      <c r="W1993" s="17">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7" t="n">
        <v>441</v>
      </c>
      <c r="U1994" s="17" t="n">
        <v>125</v>
      </c>
      <c r="V1994" s="17">
        <f>ROUNDUP((T1994+U1994+2*'Read Me'!$B$13)*(1+'Read Me'!$B$12),-1)</f>
        <v/>
      </c>
      <c r="W1994" s="17">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7" t="n">
        <v>609</v>
      </c>
      <c r="U1995" s="17" t="n">
        <v>133</v>
      </c>
      <c r="V1995" s="17">
        <f>ROUNDUP((T1995+U1995+2*'Read Me'!$B$13)*(1+'Read Me'!$B$12),-1)</f>
        <v/>
      </c>
      <c r="W1995" s="17">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7" t="n">
        <v>609</v>
      </c>
      <c r="U1996" s="17" t="n">
        <v>133</v>
      </c>
      <c r="V1996" s="17">
        <f>ROUNDUP((T1996+U1996+2*'Read Me'!$B$13)*(1+'Read Me'!$B$12),-1)</f>
        <v/>
      </c>
      <c r="W1996" s="17">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7" t="n">
        <v>1041</v>
      </c>
      <c r="U1997" s="17" t="n">
        <v>206</v>
      </c>
      <c r="V1997" s="17">
        <f>ROUNDUP((T1997+U1997+2*'Read Me'!$B$13)*(1+'Read Me'!$B$12),-1)</f>
        <v/>
      </c>
      <c r="W1997" s="17">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7" t="n">
        <v>1041</v>
      </c>
      <c r="U1998" s="17" t="n">
        <v>206</v>
      </c>
      <c r="V1998" s="17">
        <f>ROUNDUP((T1998+U1998+2*'Read Me'!$B$13)*(1+'Read Me'!$B$12),-1)</f>
        <v/>
      </c>
      <c r="W1998" s="17">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7" t="n">
        <v>673</v>
      </c>
      <c r="U1999" s="17" t="n">
        <v>130</v>
      </c>
      <c r="V1999" s="17">
        <f>ROUNDUP((T1999+U1999+2*'Read Me'!$B$13)*(1+'Read Me'!$B$12),-1)</f>
        <v/>
      </c>
      <c r="W1999" s="17">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7" t="n">
        <v>673</v>
      </c>
      <c r="U2000" s="17" t="n">
        <v>130</v>
      </c>
      <c r="V2000" s="17">
        <f>ROUNDUP((T2000+U2000+2*'Read Me'!$B$13)*(1+'Read Me'!$B$12),-1)</f>
        <v/>
      </c>
      <c r="W2000" s="17">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7" t="n">
        <v>823</v>
      </c>
      <c r="U2001" s="17" t="n">
        <v>112</v>
      </c>
      <c r="V2001" s="17">
        <f>ROUNDUP((T2001+U2001+2*'Read Me'!$B$13)*(1+'Read Me'!$B$12),-1)</f>
        <v/>
      </c>
      <c r="W2001" s="17">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7" t="n">
        <v>823</v>
      </c>
      <c r="U2002" s="17" t="n">
        <v>112</v>
      </c>
      <c r="V2002" s="17">
        <f>ROUNDUP((T2002+U2002+2*'Read Me'!$B$13)*(1+'Read Me'!$B$12),-1)</f>
        <v/>
      </c>
      <c r="W2002" s="17">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7" t="n">
        <v>620</v>
      </c>
      <c r="U2003" s="17" t="n">
        <v>130</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7" t="n">
        <v>67</v>
      </c>
      <c r="U2004" s="17" t="n">
        <v>58</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7" t="n">
        <v>644</v>
      </c>
      <c r="U2005" s="17" t="n">
        <v>170</v>
      </c>
      <c r="V2005" s="17">
        <f>ROUNDUP((T2005+U2005+2*'Read Me'!$B$13)*(1+'Read Me'!$B$12),-1)</f>
        <v/>
      </c>
      <c r="W2005" s="17">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7" t="n">
        <v>804</v>
      </c>
      <c r="U2006" s="17" t="n">
        <v>215</v>
      </c>
      <c r="V2006" s="17">
        <f>ROUNDUP((T2006+U2006+2*'Read Me'!$B$13)*(1+'Read Me'!$B$12),-1)</f>
        <v/>
      </c>
      <c r="W2006" s="17">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7" t="n">
        <v>976</v>
      </c>
      <c r="U2007" s="17" t="n">
        <v>124</v>
      </c>
      <c r="V2007" s="17">
        <f>ROUNDUP((T2007+U2007+2*'Read Me'!$B$13)*(1+'Read Me'!$B$12),-1)</f>
        <v/>
      </c>
      <c r="W2007" s="17">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7" t="n">
        <v>82</v>
      </c>
      <c r="U2008" s="17" t="n">
        <v>79</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7" t="n">
        <v>0</v>
      </c>
      <c r="U2009" s="17" t="n">
        <v>126</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7" t="n">
        <v>16</v>
      </c>
      <c r="U2010" s="17" t="n">
        <v>56</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7" t="n">
        <v>104</v>
      </c>
      <c r="U2011" s="17" t="n">
        <v>72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7" t="n">
        <v>523</v>
      </c>
      <c r="U2012" s="17" t="n">
        <v>130</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7" t="n">
        <v>671</v>
      </c>
      <c r="U2013" s="17" t="n">
        <v>112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7" t="n">
        <v>897</v>
      </c>
      <c r="U2014" s="17" t="n">
        <v>249</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7" t="n">
        <v>632</v>
      </c>
      <c r="U2015" s="17" t="n">
        <v>130</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7" t="n">
        <v>101</v>
      </c>
      <c r="U2016" s="17" t="n">
        <v>36</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7" t="n">
        <v>21</v>
      </c>
      <c r="U2017" s="17" t="n">
        <v>38</v>
      </c>
      <c r="V2017" s="17">
        <f>ROUNDUP((T2017+U2017+2*'Read Me'!$B$13)*(1+'Read Me'!$B$12),-1)</f>
        <v/>
      </c>
      <c r="W2017" s="17">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7" t="n">
        <v>21</v>
      </c>
      <c r="U2018" s="17" t="n">
        <v>38</v>
      </c>
      <c r="V2018" s="17">
        <f>ROUNDUP((T2018+U2018+2*'Read Me'!$B$13)*(1+'Read Me'!$B$12),-1)</f>
        <v/>
      </c>
      <c r="W2018" s="17">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7" t="n">
        <v>21</v>
      </c>
      <c r="U2019" s="17" t="n">
        <v>38</v>
      </c>
      <c r="V2019" s="17">
        <f>ROUNDUP((T2019+U2019+2*'Read Me'!$B$13)*(1+'Read Me'!$B$12),-1)</f>
        <v/>
      </c>
      <c r="W2019" s="17">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7" t="n">
        <v>4</v>
      </c>
      <c r="U2020" s="17" t="n">
        <v>60</v>
      </c>
      <c r="V2020" s="17">
        <f>ROUNDUP((T2020+U2020+2*'Read Me'!$B$13)*(1+'Read Me'!$B$12),-1)</f>
        <v/>
      </c>
      <c r="W2020" s="17">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7" t="n">
        <v>4</v>
      </c>
      <c r="U2021" s="17" t="n">
        <v>60</v>
      </c>
      <c r="V2021" s="17">
        <f>ROUNDUP((T2021+U2021+2*'Read Me'!$B$13)*(1+'Read Me'!$B$12),-1)</f>
        <v/>
      </c>
      <c r="W2021" s="17">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7" t="n">
        <v>4</v>
      </c>
      <c r="U2022" s="17" t="n">
        <v>60</v>
      </c>
      <c r="V2022" s="17">
        <f>ROUNDUP((T2022+U2022+2*'Read Me'!$B$13)*(1+'Read Me'!$B$12),-1)</f>
        <v/>
      </c>
      <c r="W2022" s="17">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7" t="n">
        <v>2</v>
      </c>
      <c r="U2023" s="17" t="n">
        <v>35</v>
      </c>
      <c r="V2023" s="17">
        <f>ROUNDUP((T2023+U2023+2*'Read Me'!$B$13)*(1+'Read Me'!$B$12),-1)</f>
        <v/>
      </c>
      <c r="W2023" s="17">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7" t="n">
        <v>30</v>
      </c>
      <c r="U2024" s="17" t="n">
        <v>45</v>
      </c>
      <c r="V2024" s="17">
        <f>ROUNDUP((T2024+U2024+2*'Read Me'!$B$13)*(1+'Read Me'!$B$12),-1)</f>
        <v/>
      </c>
      <c r="W2024" s="17">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7" t="n">
        <v>30</v>
      </c>
      <c r="U2025" s="17" t="n">
        <v>45</v>
      </c>
      <c r="V2025" s="17">
        <f>ROUNDUP((T2025+U2025+2*'Read Me'!$B$13)*(1+'Read Me'!$B$12),-1)</f>
        <v/>
      </c>
      <c r="W2025" s="17">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7" t="n">
        <v>30</v>
      </c>
      <c r="U2026" s="17" t="n">
        <v>45</v>
      </c>
      <c r="V2026" s="17">
        <f>ROUNDUP((T2026+U2026+2*'Read Me'!$B$13)*(1+'Read Me'!$B$12),-1)</f>
        <v/>
      </c>
      <c r="W2026" s="17">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7" t="n">
        <v>49</v>
      </c>
      <c r="U2027" s="17" t="n">
        <v>53</v>
      </c>
      <c r="V2027" s="17">
        <f>ROUNDUP((T2027+U2027+2*'Read Me'!$B$13)*(1+'Read Me'!$B$12),-1)</f>
        <v/>
      </c>
      <c r="W2027" s="17">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7" t="n">
        <v>49</v>
      </c>
      <c r="U2028" s="17" t="n">
        <v>53</v>
      </c>
      <c r="V2028" s="17">
        <f>ROUNDUP((T2028+U2028+2*'Read Me'!$B$13)*(1+'Read Me'!$B$12),-1)</f>
        <v/>
      </c>
      <c r="W2028" s="17">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7" t="n">
        <v>58</v>
      </c>
      <c r="U2029" s="17" t="n">
        <v>53</v>
      </c>
      <c r="V2029" s="17">
        <f>ROUNDUP((T2029+U2029+2*'Read Me'!$B$13)*(1+'Read Me'!$B$12),-1)</f>
        <v/>
      </c>
      <c r="W2029" s="17">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7" t="n">
        <v>644</v>
      </c>
      <c r="U2030" s="17" t="n">
        <v>134</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7" t="n">
        <v>85</v>
      </c>
      <c r="U2031" s="17" t="n">
        <v>79</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7" t="n">
        <v>523</v>
      </c>
      <c r="U2032" s="17" t="n">
        <v>206</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7" t="n">
        <v>688</v>
      </c>
      <c r="U2033" s="17" t="n">
        <v>212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7" t="n">
        <v>964</v>
      </c>
      <c r="U2034" s="17" t="n">
        <v>140</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7" t="n">
        <v>11520</v>
      </c>
      <c r="U2035" s="17" t="n">
        <v>0</v>
      </c>
      <c r="V2035" s="17">
        <f>ROUNDUP((T2035+U2035+2*'Read Me'!$B$13)*(1+'Read Me'!$B$12),-1)</f>
        <v/>
      </c>
      <c r="W2035" s="17">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7" t="n">
        <v>389</v>
      </c>
      <c r="U2036" s="17" t="n">
        <v>44</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7" t="n">
        <v>357</v>
      </c>
      <c r="U2037" s="17" t="n">
        <v>44</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7" t="n">
        <v>325</v>
      </c>
      <c r="U2038" s="17" t="n">
        <v>44</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7" t="n">
        <v>293</v>
      </c>
      <c r="U2039" s="17" t="n">
        <v>44</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261</v>
      </c>
      <c r="U2040" s="17" t="n">
        <v>44</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261</v>
      </c>
      <c r="U2041" s="17" t="n">
        <v>44</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293</v>
      </c>
      <c r="U2042" s="17" t="n">
        <v>44</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325</v>
      </c>
      <c r="U2043" s="17" t="n">
        <v>44</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357</v>
      </c>
      <c r="U2044" s="17" t="n">
        <v>44</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389</v>
      </c>
      <c r="U2045" s="17" t="n">
        <v>44</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339</v>
      </c>
      <c r="U2046" s="17" t="n">
        <v>44</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307</v>
      </c>
      <c r="U2047" s="17" t="n">
        <v>44</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275</v>
      </c>
      <c r="U2048" s="17" t="n">
        <v>44</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243</v>
      </c>
      <c r="U2049" s="17" t="n">
        <v>44</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211</v>
      </c>
      <c r="U2050" s="17" t="n">
        <v>44</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211</v>
      </c>
      <c r="U2051" s="17" t="n">
        <v>44</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243</v>
      </c>
      <c r="U2052" s="17" t="n">
        <v>44</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275</v>
      </c>
      <c r="U2053" s="17" t="n">
        <v>44</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307</v>
      </c>
      <c r="U2054" s="17" t="n">
        <v>44</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7" t="n">
        <v>339</v>
      </c>
      <c r="U2055" s="17" t="n">
        <v>44</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7" t="n">
        <v>289</v>
      </c>
      <c r="U2056" s="17" t="n">
        <v>44</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7" t="n">
        <v>257</v>
      </c>
      <c r="U2057" s="17" t="n">
        <v>44</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225</v>
      </c>
      <c r="U2058" s="17" t="n">
        <v>44</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7" t="n">
        <v>193</v>
      </c>
      <c r="U2059" s="17" t="n">
        <v>44</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7" t="n">
        <v>161</v>
      </c>
      <c r="U2060" s="17" t="n">
        <v>44</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7" t="n">
        <v>161</v>
      </c>
      <c r="U2061" s="17" t="n">
        <v>44</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193</v>
      </c>
      <c r="U2062" s="17" t="n">
        <v>44</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7" t="n">
        <v>225</v>
      </c>
      <c r="U2063" s="17" t="n">
        <v>44</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7" t="n">
        <v>257</v>
      </c>
      <c r="U2064" s="17" t="n">
        <v>44</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7" t="n">
        <v>289</v>
      </c>
      <c r="U2065" s="17" t="n">
        <v>44</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239</v>
      </c>
      <c r="U2066" s="17" t="n">
        <v>44</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7" t="n">
        <v>207</v>
      </c>
      <c r="U2067" s="17" t="n">
        <v>44</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7" t="n">
        <v>175</v>
      </c>
      <c r="U2068" s="17" t="n">
        <v>44</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7" t="n">
        <v>143</v>
      </c>
      <c r="U2069" s="17" t="n">
        <v>44</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111</v>
      </c>
      <c r="U2070" s="17" t="n">
        <v>44</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111</v>
      </c>
      <c r="U2071" s="17" t="n">
        <v>44</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7" t="n">
        <v>143</v>
      </c>
      <c r="U2072" s="17" t="n">
        <v>44</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7" t="n">
        <v>175</v>
      </c>
      <c r="U2073" s="17" t="n">
        <v>44</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7" t="n">
        <v>207</v>
      </c>
      <c r="U2074" s="17" t="n">
        <v>44</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7" t="n">
        <v>239</v>
      </c>
      <c r="U2075" s="17" t="n">
        <v>44</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7" t="n">
        <v>239</v>
      </c>
      <c r="U2076" s="17" t="n">
        <v>44</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7" t="n">
        <v>207</v>
      </c>
      <c r="U2077" s="17" t="n">
        <v>44</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7" t="n">
        <v>175</v>
      </c>
      <c r="U2078" s="17" t="n">
        <v>44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7" t="n">
        <v>143</v>
      </c>
      <c r="U2079" s="17" t="n">
        <v>44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7" t="n">
        <v>111</v>
      </c>
      <c r="U2080" s="17" t="n">
        <v>44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7" t="n">
        <v>111</v>
      </c>
      <c r="U2081" s="17" t="n">
        <v>44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7" t="n">
        <v>143</v>
      </c>
      <c r="U2082" s="17" t="n">
        <v>44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7" t="n">
        <v>175</v>
      </c>
      <c r="U2083" s="17" t="n">
        <v>44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7" t="n">
        <v>207</v>
      </c>
      <c r="U2084" s="17" t="n">
        <v>44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7" t="n">
        <v>239</v>
      </c>
      <c r="U2085" s="17" t="n">
        <v>44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7" t="n">
        <v>289</v>
      </c>
      <c r="U2086" s="17" t="n">
        <v>44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7" t="n">
        <v>257</v>
      </c>
      <c r="U2087" s="17" t="n">
        <v>44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7" t="n">
        <v>225</v>
      </c>
      <c r="U2088" s="17" t="n">
        <v>44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7" t="n">
        <v>193</v>
      </c>
      <c r="U2089" s="17" t="n">
        <v>44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7" t="n">
        <v>161</v>
      </c>
      <c r="U2090" s="17" t="n">
        <v>44</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7" t="n">
        <v>161</v>
      </c>
      <c r="U2091" s="17" t="n">
        <v>44</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7" t="n">
        <v>193</v>
      </c>
      <c r="U2092" s="17" t="n">
        <v>44</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7" t="n">
        <v>225</v>
      </c>
      <c r="U2093" s="17" t="n">
        <v>44</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7" t="n">
        <v>257</v>
      </c>
      <c r="U2094" s="17" t="n">
        <v>44</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7" t="n">
        <v>289</v>
      </c>
      <c r="U2095" s="17" t="n">
        <v>44</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7" t="n">
        <v>339</v>
      </c>
      <c r="U2096" s="17" t="n">
        <v>44</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7" t="n">
        <v>307</v>
      </c>
      <c r="U2097" s="17" t="n">
        <v>44</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7" t="n">
        <v>275</v>
      </c>
      <c r="U2098" s="17" t="n">
        <v>44</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7" t="n">
        <v>243</v>
      </c>
      <c r="U2099" s="17" t="n">
        <v>44</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7" t="n">
        <v>211</v>
      </c>
      <c r="U2100" s="17" t="n">
        <v>44</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7" t="n">
        <v>211</v>
      </c>
      <c r="U2101" s="17" t="n">
        <v>44</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243</v>
      </c>
      <c r="U2102" s="17" t="n">
        <v>44</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275</v>
      </c>
      <c r="U2103" s="17" t="n">
        <v>44</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7" t="n">
        <v>307</v>
      </c>
      <c r="U2104" s="17" t="n">
        <v>44</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7" t="n">
        <v>339</v>
      </c>
      <c r="U2105" s="17" t="n">
        <v>44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7" t="n">
        <v>389</v>
      </c>
      <c r="U2106" s="17" t="n">
        <v>44</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7" t="n">
        <v>357</v>
      </c>
      <c r="U2107" s="17" t="n">
        <v>44</v>
      </c>
      <c r="V2107" s="17">
        <f>ROUNDUP((T2107+U2107+2*'Read Me'!$B$13)*(1+'Read Me'!$B$12),-1)</f>
        <v/>
      </c>
      <c r="W2107" s="17">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7" t="n">
        <v>325</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7" t="n">
        <v>293</v>
      </c>
      <c r="U2109" s="17" t="n">
        <v>44</v>
      </c>
      <c r="V2109" s="17">
        <f>ROUNDUP((T2109+U2109+2*'Read Me'!$B$13)*(1+'Read Me'!$B$12),-1)</f>
        <v/>
      </c>
      <c r="W2109" s="17">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7" t="n">
        <v>261</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7" t="n">
        <v>261</v>
      </c>
      <c r="U2111" s="17" t="n">
        <v>44</v>
      </c>
      <c r="V2111" s="17">
        <f>ROUNDUP((T2111+U2111+2*'Read Me'!$B$13)*(1+'Read Me'!$B$12),-1)</f>
        <v/>
      </c>
      <c r="W2111" s="17">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7" t="n">
        <v>293</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7" t="n">
        <v>325</v>
      </c>
      <c r="U2113" s="17" t="n">
        <v>44</v>
      </c>
      <c r="V2113" s="17">
        <f>ROUNDUP((T2113+U2113+2*'Read Me'!$B$13)*(1+'Read Me'!$B$12),-1)</f>
        <v/>
      </c>
      <c r="W2113" s="17">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7" t="n">
        <v>357</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7" t="n">
        <v>389</v>
      </c>
      <c r="U2115" s="17" t="n">
        <v>44</v>
      </c>
      <c r="V2115" s="17">
        <f>ROUNDUP((T2115+U2115+2*'Read Me'!$B$13)*(1+'Read Me'!$B$12),-1)</f>
        <v/>
      </c>
      <c r="W2115" s="17">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7" t="n">
        <v>0</v>
      </c>
      <c r="U2116" s="17" t="n">
        <v>52</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7" t="n">
        <v>0</v>
      </c>
      <c r="U2117" s="17" t="n">
        <v>52</v>
      </c>
      <c r="V2117" s="17">
        <f>ROUNDUP((T2117+U2117+2*'Read Me'!$B$13)*(1+'Read Me'!$B$12),-1)</f>
        <v/>
      </c>
      <c r="W2117" s="17">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7" t="n">
        <v>0</v>
      </c>
      <c r="U2118" s="17" t="n">
        <v>52</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7" t="n">
        <v>0</v>
      </c>
      <c r="U2119" s="17" t="n">
        <v>52</v>
      </c>
      <c r="V2119" s="17">
        <f>ROUNDUP((T2119+U2119+2*'Read Me'!$B$13)*(1+'Read Me'!$B$12),-1)</f>
        <v/>
      </c>
      <c r="W2119" s="17">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7" t="n">
        <v>0</v>
      </c>
      <c r="U2120" s="17" t="n">
        <v>52</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7" t="n">
        <v>0</v>
      </c>
      <c r="U2121" s="17" t="n">
        <v>52</v>
      </c>
      <c r="V2121" s="17">
        <f>ROUNDUP((T2121+U2121+2*'Read Me'!$B$13)*(1+'Read Me'!$B$12),-1)</f>
        <v/>
      </c>
      <c r="W2121" s="17">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7" t="n">
        <v>0</v>
      </c>
      <c r="U2122" s="17" t="n">
        <v>52</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7" t="n">
        <v>0</v>
      </c>
      <c r="U2123" s="17" t="n">
        <v>52</v>
      </c>
      <c r="V2123" s="17">
        <f>ROUNDUP((T2123+U2123+2*'Read Me'!$B$13)*(1+'Read Me'!$B$12),-1)</f>
        <v/>
      </c>
      <c r="W2123" s="17">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7" t="n">
        <v>0</v>
      </c>
      <c r="U2124" s="17" t="n">
        <v>52</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7" t="n">
        <v>0</v>
      </c>
      <c r="U2125" s="17" t="n">
        <v>52</v>
      </c>
      <c r="V2125" s="17">
        <f>ROUNDUP((T2125+U2125+2*'Read Me'!$B$13)*(1+'Read Me'!$B$12),-1)</f>
        <v/>
      </c>
      <c r="W2125" s="17">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7" t="n">
        <v>0</v>
      </c>
      <c r="U2126" s="17" t="n">
        <v>52</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7" t="n">
        <v>0</v>
      </c>
      <c r="U2127" s="17" t="n">
        <v>52</v>
      </c>
      <c r="V2127" s="17">
        <f>ROUNDUP((T2127+U2127+2*'Read Me'!$B$13)*(1+'Read Me'!$B$12),-1)</f>
        <v/>
      </c>
      <c r="W2127" s="17">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7" t="n">
        <v>0</v>
      </c>
      <c r="U2128" s="17" t="n">
        <v>52</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7" t="n">
        <v>0</v>
      </c>
      <c r="U2129" s="17" t="n">
        <v>52</v>
      </c>
      <c r="V2129" s="17">
        <f>ROUNDUP((T2129+U2129+2*'Read Me'!$B$13)*(1+'Read Me'!$B$12),-1)</f>
        <v/>
      </c>
      <c r="W2129" s="17">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7" t="n">
        <v>0</v>
      </c>
      <c r="U2130" s="17" t="n">
        <v>52</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7" t="n">
        <v>0</v>
      </c>
      <c r="U2131" s="17" t="n">
        <v>52</v>
      </c>
      <c r="V2131" s="17">
        <f>ROUNDUP((T2131+U2131+2*'Read Me'!$B$13)*(1+'Read Me'!$B$12),-1)</f>
        <v/>
      </c>
      <c r="W2131" s="17">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7" t="n">
        <v>0</v>
      </c>
      <c r="U2132" s="17" t="n">
        <v>52</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7" t="n">
        <v>0</v>
      </c>
      <c r="U2133" s="17" t="n">
        <v>52</v>
      </c>
      <c r="V2133" s="17">
        <f>ROUNDUP((T2133+U2133+2*'Read Me'!$B$13)*(1+'Read Me'!$B$12),-1)</f>
        <v/>
      </c>
      <c r="W2133" s="17">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7" t="n">
        <v>0</v>
      </c>
      <c r="U2134" s="17" t="n">
        <v>52</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7" t="n">
        <v>0</v>
      </c>
      <c r="U2135" s="17" t="n">
        <v>52</v>
      </c>
      <c r="V2135" s="17">
        <f>ROUNDUP((T2135+U2135+2*'Read Me'!$B$13)*(1+'Read Me'!$B$12),-1)</f>
        <v/>
      </c>
      <c r="W2135" s="17">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7" t="n">
        <v>0</v>
      </c>
      <c r="U2136" s="17" t="n">
        <v>52</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7" t="n">
        <v>0</v>
      </c>
      <c r="U2137" s="17" t="n">
        <v>52</v>
      </c>
      <c r="V2137" s="17">
        <f>ROUNDUP((T2137+U2137+2*'Read Me'!$B$13)*(1+'Read Me'!$B$12),-1)</f>
        <v/>
      </c>
      <c r="W2137" s="17">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7" t="n">
        <v>0</v>
      </c>
      <c r="U2138" s="17" t="n">
        <v>52</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7" t="n">
        <v>0</v>
      </c>
      <c r="U2139" s="17" t="n">
        <v>52</v>
      </c>
      <c r="V2139" s="17">
        <f>ROUNDUP((T2139+U2139+2*'Read Me'!$B$13)*(1+'Read Me'!$B$12),-1)</f>
        <v/>
      </c>
      <c r="W2139" s="17">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7" t="n">
        <v>0</v>
      </c>
      <c r="U2140" s="17" t="n">
        <v>52</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7" t="n">
        <v>0</v>
      </c>
      <c r="U2141" s="17" t="n">
        <v>52</v>
      </c>
      <c r="V2141" s="17">
        <f>ROUNDUP((T2141+U2141+2*'Read Me'!$B$13)*(1+'Read Me'!$B$12),-1)</f>
        <v/>
      </c>
      <c r="W2141" s="17">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7" t="n">
        <v>0</v>
      </c>
      <c r="U2142" s="17" t="n">
        <v>52</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7" t="n">
        <v>0</v>
      </c>
      <c r="U2143" s="17" t="n">
        <v>52</v>
      </c>
      <c r="V2143" s="17">
        <f>ROUNDUP((T2143+U2143+2*'Read Me'!$B$13)*(1+'Read Me'!$B$12),-1)</f>
        <v/>
      </c>
      <c r="W2143" s="17">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7" t="n">
        <v>0</v>
      </c>
      <c r="U2144" s="17" t="n">
        <v>52</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7" t="n">
        <v>0</v>
      </c>
      <c r="U2145" s="17" t="n">
        <v>52</v>
      </c>
      <c r="V2145" s="17">
        <f>ROUNDUP((T2145+U2145+2*'Read Me'!$B$13)*(1+'Read Me'!$B$12),-1)</f>
        <v/>
      </c>
      <c r="W2145" s="17">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7" t="n">
        <v>655</v>
      </c>
      <c r="U2146" s="17" t="n">
        <v>211</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7" t="n">
        <v>655</v>
      </c>
      <c r="U2147" s="17" t="n">
        <v>211</v>
      </c>
      <c r="V2147" s="17">
        <f>ROUNDUP((T2147+U2147+2*'Read Me'!$B$13)*(1+'Read Me'!$B$12),-1)</f>
        <v/>
      </c>
      <c r="W2147" s="17">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7" t="n">
        <v>655</v>
      </c>
      <c r="U2148" s="17" t="n">
        <v>211</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7" t="n">
        <v>655</v>
      </c>
      <c r="U2149" s="17" t="n">
        <v>211</v>
      </c>
      <c r="V2149" s="17">
        <f>ROUNDUP((T2149+U2149+2*'Read Me'!$B$13)*(1+'Read Me'!$B$12),-1)</f>
        <v/>
      </c>
      <c r="W2149" s="17">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7" t="n">
        <v>655</v>
      </c>
      <c r="U2150" s="17" t="n">
        <v>211</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7" t="n">
        <v>655</v>
      </c>
      <c r="U2151" s="17" t="n">
        <v>211</v>
      </c>
      <c r="V2151" s="17">
        <f>ROUNDUP((T2151+U2151+2*'Read Me'!$B$13)*(1+'Read Me'!$B$12),-1)</f>
        <v/>
      </c>
      <c r="W2151" s="17">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7" t="n">
        <v>655</v>
      </c>
      <c r="U2152" s="17" t="n">
        <v>211</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7" t="n">
        <v>655</v>
      </c>
      <c r="U2153" s="17" t="n">
        <v>211</v>
      </c>
      <c r="V2153" s="17">
        <f>ROUNDUP((T2153+U2153+2*'Read Me'!$B$13)*(1+'Read Me'!$B$12),-1)</f>
        <v/>
      </c>
      <c r="W2153" s="17">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7" t="n">
        <v>655</v>
      </c>
      <c r="U2154" s="17" t="n">
        <v>211</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7" t="n">
        <v>655</v>
      </c>
      <c r="U2155" s="17" t="n">
        <v>211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7" t="n">
        <v>655</v>
      </c>
      <c r="U2156" s="17" t="n">
        <v>211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7" t="n">
        <v>655</v>
      </c>
      <c r="U2157" s="17" t="n">
        <v>211</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7" t="n">
        <v>664</v>
      </c>
      <c r="U2158" s="17" t="n">
        <v>175</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7" t="n">
        <v>664</v>
      </c>
      <c r="U2159" s="17" t="n">
        <v>175</v>
      </c>
      <c r="V2159" s="17">
        <f>ROUNDUP((T2159+U2159+2*'Read Me'!$B$13)*(1+'Read Me'!$B$12),-1)</f>
        <v/>
      </c>
      <c r="W2159" s="17">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7" t="n">
        <v>18</v>
      </c>
      <c r="U2160" s="17" t="n">
        <v>81</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7" t="n">
        <v>18</v>
      </c>
      <c r="U2161" s="17" t="n">
        <v>81</v>
      </c>
      <c r="V2161" s="17">
        <f>ROUNDUP((T2161+U2161+2*'Read Me'!$B$13)*(1+'Read Me'!$B$12),-1)</f>
        <v/>
      </c>
      <c r="W2161" s="17">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7" t="n">
        <v>18</v>
      </c>
      <c r="U2162" s="17" t="n">
        <v>81</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7" t="n">
        <v>18</v>
      </c>
      <c r="U2163" s="17" t="n">
        <v>81</v>
      </c>
      <c r="V2163" s="17">
        <f>ROUNDUP((T2163+U2163+2*'Read Me'!$B$13)*(1+'Read Me'!$B$12),-1)</f>
        <v/>
      </c>
      <c r="W2163" s="17">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7" t="n">
        <v>0</v>
      </c>
      <c r="U2164" s="17" t="n">
        <v>91</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7" t="n">
        <v>0</v>
      </c>
      <c r="U2165" s="17" t="n">
        <v>91</v>
      </c>
      <c r="V2165" s="17">
        <f>ROUNDUP((T2165+U2165+2*'Read Me'!$B$13)*(1+'Read Me'!$B$12),-1)</f>
        <v/>
      </c>
      <c r="W2165" s="17">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7" t="n">
        <v>0</v>
      </c>
      <c r="U2166" s="17" t="n">
        <v>91</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7" t="n">
        <v>0</v>
      </c>
      <c r="U2167" s="17" t="n">
        <v>91</v>
      </c>
      <c r="V2167" s="17">
        <f>ROUNDUP((T2167+U2167+2*'Read Me'!$B$13)*(1+'Read Me'!$B$12),-1)</f>
        <v/>
      </c>
      <c r="W2167" s="17">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7" t="n">
        <v>0</v>
      </c>
      <c r="U2168" s="17" t="n">
        <v>73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7" t="n">
        <v>0</v>
      </c>
      <c r="U2169" s="17" t="n">
        <v>73</v>
      </c>
      <c r="V2169" s="17">
        <f>ROUNDUP((T2169+U2169+2*'Read Me'!$B$13)*(1+'Read Me'!$B$12),-1)</f>
        <v/>
      </c>
      <c r="W2169" s="17">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7" t="n">
        <v>0</v>
      </c>
      <c r="U2170" s="17" t="n">
        <v>73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7" t="n">
        <v>0</v>
      </c>
      <c r="U2171" s="17" t="n">
        <v>73</v>
      </c>
      <c r="V2171" s="17">
        <f>ROUNDUP((T2171+U2171+2*'Read Me'!$B$13)*(1+'Read Me'!$B$12),-1)</f>
        <v/>
      </c>
      <c r="W2171" s="17">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7" t="n">
        <v>0</v>
      </c>
      <c r="U2172" s="17" t="n">
        <v>61</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7" t="n">
        <v>0</v>
      </c>
      <c r="U2173" s="17" t="n">
        <v>61</v>
      </c>
      <c r="V2173" s="17">
        <f>ROUNDUP((T2173+U2173+2*'Read Me'!$B$13)*(1+'Read Me'!$B$12),-1)</f>
        <v/>
      </c>
      <c r="W2173" s="17">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7" t="n">
        <v>0</v>
      </c>
      <c r="U2174" s="17" t="n">
        <v>61</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7" t="n">
        <v>0</v>
      </c>
      <c r="U2175" s="17" t="n">
        <v>61</v>
      </c>
      <c r="V2175" s="17">
        <f>ROUNDUP((T2175+U2175+2*'Read Me'!$B$13)*(1+'Read Me'!$B$12),-1)</f>
        <v/>
      </c>
      <c r="W2175" s="17">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7" t="n">
        <v>0</v>
      </c>
      <c r="U2176" s="17" t="n">
        <v>46</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7" t="n">
        <v>0</v>
      </c>
      <c r="U2177" s="17" t="n">
        <v>46</v>
      </c>
      <c r="V2177" s="17">
        <f>ROUNDUP((T2177+U2177+2*'Read Me'!$B$13)*(1+'Read Me'!$B$12),-1)</f>
        <v/>
      </c>
      <c r="W2177" s="17">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7" t="n">
        <v>0</v>
      </c>
      <c r="U2178" s="17" t="n">
        <v>46</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7" t="n">
        <v>0</v>
      </c>
      <c r="U2179" s="17" t="n">
        <v>46</v>
      </c>
      <c r="V2179" s="17">
        <f>ROUNDUP((T2179+U2179+2*'Read Me'!$B$13)*(1+'Read Me'!$B$12),-1)</f>
        <v/>
      </c>
      <c r="W2179" s="17">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7" t="n">
        <v>0</v>
      </c>
      <c r="U2180" s="17" t="n">
        <v>46</v>
      </c>
      <c r="V2180" s="17">
        <f>ROUNDUP((T2180+U2180+2*'Read Me'!$B$13)*(1+'Read Me'!$B$12),-1)</f>
        <v/>
      </c>
      <c r="W2180" s="17">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7" t="n">
        <v>0</v>
      </c>
      <c r="U2181" s="17" t="n">
        <v>46</v>
      </c>
      <c r="V2181" s="17">
        <f>ROUNDUP((T2181+U2181+2*'Read Me'!$B$13)*(1+'Read Me'!$B$12),-1)</f>
        <v/>
      </c>
      <c r="W2181" s="17">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7" t="n">
        <v>0</v>
      </c>
      <c r="U2182" s="17" t="n">
        <v>46</v>
      </c>
      <c r="V2182" s="17">
        <f>ROUNDUP((T2182+U2182+2*'Read Me'!$B$13)*(1+'Read Me'!$B$12),-1)</f>
        <v/>
      </c>
      <c r="W2182" s="17">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7" t="n">
        <v>0</v>
      </c>
      <c r="U2183" s="17" t="n">
        <v>46</v>
      </c>
      <c r="V2183" s="17">
        <f>ROUNDUP((T2183+U2183+2*'Read Me'!$B$13)*(1+'Read Me'!$B$12),-1)</f>
        <v/>
      </c>
      <c r="W2183" s="17">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7" t="n">
        <v>160</v>
      </c>
      <c r="U2184" s="17" t="n">
        <v>64</v>
      </c>
      <c r="V2184" s="17">
        <f>ROUNDUP((T2184+U2184+2*'Read Me'!$B$13)*(1+'Read Me'!$B$12),-1)</f>
        <v/>
      </c>
      <c r="W2184" s="17">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7" t="n">
        <v>160</v>
      </c>
      <c r="U2185" s="17" t="n">
        <v>64</v>
      </c>
      <c r="V2185" s="17">
        <f>ROUNDUP((T2185+U2185+2*'Read Me'!$B$13)*(1+'Read Me'!$B$12),-1)</f>
        <v/>
      </c>
      <c r="W2185" s="17">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7" t="n">
        <v>160</v>
      </c>
      <c r="U2186" s="17" t="n">
        <v>64</v>
      </c>
      <c r="V2186" s="17">
        <f>ROUNDUP((T2186+U2186+2*'Read Me'!$B$13)*(1+'Read Me'!$B$12),-1)</f>
        <v/>
      </c>
      <c r="W2186" s="17">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7" t="n">
        <v>160</v>
      </c>
      <c r="U2187" s="17" t="n">
        <v>64</v>
      </c>
      <c r="V2187" s="17">
        <f>ROUNDUP((T2187+U2187+2*'Read Me'!$B$13)*(1+'Read Me'!$B$12),-1)</f>
        <v/>
      </c>
      <c r="W2187" s="17">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7" t="n">
        <v>160</v>
      </c>
      <c r="U2188" s="17" t="n">
        <v>64</v>
      </c>
      <c r="V2188" s="17">
        <f>ROUNDUP((T2188+U2188+2*'Read Me'!$B$13)*(1+'Read Me'!$B$12),-1)</f>
        <v/>
      </c>
      <c r="W2188" s="17">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7" t="n">
        <v>160</v>
      </c>
      <c r="U2189" s="17" t="n">
        <v>64</v>
      </c>
      <c r="V2189" s="17">
        <f>ROUNDUP((T2189+U2189+2*'Read Me'!$B$13)*(1+'Read Me'!$B$12),-1)</f>
        <v/>
      </c>
      <c r="W2189" s="17">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7" t="n">
        <v>186</v>
      </c>
      <c r="U2190" s="17" t="n">
        <v>64</v>
      </c>
      <c r="V2190" s="17">
        <f>ROUNDUP((T2190+U2190+2*'Read Me'!$B$13)*(1+'Read Me'!$B$12),-1)</f>
        <v/>
      </c>
      <c r="W2190" s="17">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7" t="n">
        <v>186</v>
      </c>
      <c r="U2191" s="17" t="n">
        <v>64</v>
      </c>
      <c r="V2191" s="17">
        <f>ROUNDUP((T2191+U2191+2*'Read Me'!$B$13)*(1+'Read Me'!$B$12),-1)</f>
        <v/>
      </c>
      <c r="W2191" s="17">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7" t="n">
        <v>186</v>
      </c>
      <c r="U2192" s="17" t="n">
        <v>64</v>
      </c>
      <c r="V2192" s="17">
        <f>ROUNDUP((T2192+U2192+2*'Read Me'!$B$13)*(1+'Read Me'!$B$12),-1)</f>
        <v/>
      </c>
      <c r="W2192" s="17">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7" t="n">
        <v>186</v>
      </c>
      <c r="U2193" s="17" t="n">
        <v>64</v>
      </c>
      <c r="V2193" s="17">
        <f>ROUNDUP((T2193+U2193+2*'Read Me'!$B$13)*(1+'Read Me'!$B$12),-1)</f>
        <v/>
      </c>
      <c r="W2193" s="17">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7" t="n">
        <v>186</v>
      </c>
      <c r="U2194" s="17" t="n">
        <v>64</v>
      </c>
      <c r="V2194" s="17">
        <f>ROUNDUP((T2194+U2194+2*'Read Me'!$B$13)*(1+'Read Me'!$B$12),-1)</f>
        <v/>
      </c>
      <c r="W2194" s="17">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7" t="n">
        <v>186</v>
      </c>
      <c r="U2195" s="17" t="n">
        <v>64</v>
      </c>
      <c r="V2195" s="17">
        <f>ROUNDUP((T2195+U2195+2*'Read Me'!$B$13)*(1+'Read Me'!$B$12),-1)</f>
        <v/>
      </c>
      <c r="W2195" s="17">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7" t="n">
        <v>215</v>
      </c>
      <c r="U2196" s="17" t="n">
        <v>51</v>
      </c>
      <c r="V2196" s="17">
        <f>ROUNDUP((T2196+U2196+2*'Read Me'!$B$13)*(1+'Read Me'!$B$12),-1)</f>
        <v/>
      </c>
      <c r="W2196" s="17">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7" t="n">
        <v>215</v>
      </c>
      <c r="U2197" s="17" t="n">
        <v>51</v>
      </c>
      <c r="V2197" s="17">
        <f>ROUNDUP((T2197+U2197+2*'Read Me'!$B$13)*(1+'Read Me'!$B$12),-1)</f>
        <v/>
      </c>
      <c r="W2197" s="17">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7" t="n">
        <v>215</v>
      </c>
      <c r="U2198" s="17" t="n">
        <v>51</v>
      </c>
      <c r="V2198" s="17">
        <f>ROUNDUP((T2198+U2198+2*'Read Me'!$B$13)*(1+'Read Me'!$B$12),-1)</f>
        <v/>
      </c>
      <c r="W2198" s="17">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7" t="n">
        <v>215</v>
      </c>
      <c r="U2199" s="17" t="n">
        <v>51</v>
      </c>
      <c r="V2199" s="17">
        <f>ROUNDUP((T2199+U2199+2*'Read Me'!$B$13)*(1+'Read Me'!$B$12),-1)</f>
        <v/>
      </c>
      <c r="W2199" s="17">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7" t="n">
        <v>215</v>
      </c>
      <c r="U2200" s="17" t="n">
        <v>51</v>
      </c>
      <c r="V2200" s="17">
        <f>ROUNDUP((T2200+U2200+2*'Read Me'!$B$13)*(1+'Read Me'!$B$12),-1)</f>
        <v/>
      </c>
      <c r="W2200" s="17">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7" t="n">
        <v>215</v>
      </c>
      <c r="U2201" s="17" t="n">
        <v>51</v>
      </c>
      <c r="V2201" s="17">
        <f>ROUNDUP((T2201+U2201+2*'Read Me'!$B$13)*(1+'Read Me'!$B$12),-1)</f>
        <v/>
      </c>
      <c r="W2201" s="17">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7" t="n">
        <v>209</v>
      </c>
      <c r="U2202" s="17" t="n">
        <v>77</v>
      </c>
      <c r="V2202" s="17">
        <f>ROUNDUP((T2202+U2202+2*'Read Me'!$B$13)*(1+'Read Me'!$B$12),-1)</f>
        <v/>
      </c>
      <c r="W2202" s="17">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7" t="n">
        <v>209</v>
      </c>
      <c r="U2203" s="17" t="n">
        <v>77</v>
      </c>
      <c r="V2203" s="17">
        <f>ROUNDUP((T2203+U2203+2*'Read Me'!$B$13)*(1+'Read Me'!$B$12),-1)</f>
        <v/>
      </c>
      <c r="W2203" s="17">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7" t="n">
        <v>209</v>
      </c>
      <c r="U2204" s="17" t="n">
        <v>77</v>
      </c>
      <c r="V2204" s="17">
        <f>ROUNDUP((T2204+U2204+2*'Read Me'!$B$13)*(1+'Read Me'!$B$12),-1)</f>
        <v/>
      </c>
      <c r="W2204" s="17">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7" t="n">
        <v>209</v>
      </c>
      <c r="U2205" s="17" t="n">
        <v>77</v>
      </c>
      <c r="V2205" s="17">
        <f>ROUNDUP((T2205+U2205+2*'Read Me'!$B$13)*(1+'Read Me'!$B$12),-1)</f>
        <v/>
      </c>
      <c r="W2205" s="17">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7" t="n">
        <v>209</v>
      </c>
      <c r="U2206" s="17" t="n">
        <v>77</v>
      </c>
      <c r="V2206" s="17">
        <f>ROUNDUP((T2206+U2206+2*'Read Me'!$B$13)*(1+'Read Me'!$B$12),-1)</f>
        <v/>
      </c>
      <c r="W2206" s="17">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7" t="n">
        <v>209</v>
      </c>
      <c r="U2207" s="17" t="n">
        <v>77</v>
      </c>
      <c r="V2207" s="17">
        <f>ROUNDUP((T2207+U2207+2*'Read Me'!$B$13)*(1+'Read Me'!$B$12),-1)</f>
        <v/>
      </c>
      <c r="W2207" s="17">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7" t="n">
        <v>520</v>
      </c>
      <c r="U2208" s="17" t="n">
        <v>99</v>
      </c>
      <c r="V2208" s="17">
        <f>ROUNDUP((T2208+U2208+2*'Read Me'!$B$13)*(1+'Read Me'!$B$12),-1)</f>
        <v/>
      </c>
      <c r="W2208" s="17">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7" t="n">
        <v>520</v>
      </c>
      <c r="U2209" s="17" t="n">
        <v>99</v>
      </c>
      <c r="V2209" s="17">
        <f>ROUNDUP((T2209+U2209+2*'Read Me'!$B$13)*(1+'Read Me'!$B$12),-1)</f>
        <v/>
      </c>
      <c r="W2209" s="17">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7" t="n">
        <v>1408</v>
      </c>
      <c r="U2210" s="17" t="n">
        <v>57</v>
      </c>
      <c r="V2210" s="17">
        <f>ROUNDUP((T2210+U2210+2*'Read Me'!$B$13)*(1+'Read Me'!$B$12),-1)</f>
        <v/>
      </c>
      <c r="W2210" s="17">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7" t="n">
        <v>0</v>
      </c>
      <c r="U2211" s="17" t="n">
        <v>54</v>
      </c>
      <c r="V2211" s="17">
        <f>ROUNDUP((T2211+U2211+2*'Read Me'!$B$13)*(1+'Read Me'!$B$12),-1)</f>
        <v/>
      </c>
      <c r="W2211" s="17">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7" t="n">
        <v>0</v>
      </c>
      <c r="U2212" s="17" t="n">
        <v>46</v>
      </c>
      <c r="V2212" s="17">
        <f>ROUNDUP((T2212+U2212+2*'Read Me'!$B$13)*(1+'Read Me'!$B$12),-1)</f>
        <v/>
      </c>
      <c r="W2212" s="17">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7" t="n">
        <v>250</v>
      </c>
      <c r="U2213" s="17" t="n">
        <v>10</v>
      </c>
      <c r="V2213" s="17">
        <f>ROUNDUP((T2213+U2213+2*'Read Me'!$B$13)*(1+'Read Me'!$B$12),-1)</f>
        <v/>
      </c>
      <c r="W2213" s="17">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7" t="n">
        <v>0</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7" t="n">
        <v>250</v>
      </c>
      <c r="U2215" s="17" t="n">
        <v>10</v>
      </c>
      <c r="V2215" s="17">
        <f>ROUNDUP((T2215+U2215+2*'Read Me'!$B$13)*(1+'Read Me'!$B$12),-1)</f>
        <v/>
      </c>
      <c r="W2215" s="17">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7" t="n">
        <v>0</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7" t="n">
        <v>250</v>
      </c>
      <c r="U2217" s="17" t="n">
        <v>10</v>
      </c>
      <c r="V2217" s="17">
        <f>ROUNDUP((T2217+U2217+2*'Read Me'!$B$13)*(1+'Read Me'!$B$12),-1)</f>
        <v/>
      </c>
      <c r="W2217" s="17">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7" t="n">
        <v>0</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7" t="n">
        <v>250</v>
      </c>
      <c r="U2219" s="17" t="n">
        <v>10</v>
      </c>
      <c r="V2219" s="17">
        <f>ROUNDUP((T2219+U2219+2*'Read Me'!$B$13)*(1+'Read Me'!$B$12),-1)</f>
        <v/>
      </c>
      <c r="W2219" s="17">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7" t="n">
        <v>0</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7" t="n">
        <v>250</v>
      </c>
      <c r="U2221" s="17" t="n">
        <v>10</v>
      </c>
      <c r="V2221" s="17">
        <f>ROUNDUP((T2221+U2221+2*'Read Me'!$B$13)*(1+'Read Me'!$B$12),-1)</f>
        <v/>
      </c>
      <c r="W2221" s="17">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7" t="n">
        <v>0</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7" t="n">
        <v>250</v>
      </c>
      <c r="U2223" s="17" t="n">
        <v>10</v>
      </c>
      <c r="V2223" s="17">
        <f>ROUNDUP((T2223+U2223+2*'Read Me'!$B$13)*(1+'Read Me'!$B$12),-1)</f>
        <v/>
      </c>
      <c r="W2223" s="17">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7" t="n">
        <v>0</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7" t="n">
        <v>250</v>
      </c>
      <c r="U2225" s="17" t="n">
        <v>10</v>
      </c>
      <c r="V2225" s="17">
        <f>ROUNDUP((T2225+U2225+2*'Read Me'!$B$13)*(1+'Read Me'!$B$12),-1)</f>
        <v/>
      </c>
      <c r="W2225" s="17">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7" t="n">
        <v>0</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7" t="n">
        <v>250</v>
      </c>
      <c r="U2227" s="17" t="n">
        <v>10</v>
      </c>
      <c r="V2227" s="17">
        <f>ROUNDUP((T2227+U2227+2*'Read Me'!$B$13)*(1+'Read Me'!$B$12),-1)</f>
        <v/>
      </c>
      <c r="W2227" s="17">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7" t="n">
        <v>0</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7" t="n">
        <v>250</v>
      </c>
      <c r="U2229" s="17" t="n">
        <v>10</v>
      </c>
      <c r="V2229" s="17">
        <f>ROUNDUP((T2229+U2229+2*'Read Me'!$B$13)*(1+'Read Me'!$B$12),-1)</f>
        <v/>
      </c>
      <c r="W2229" s="17">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7" t="n">
        <v>0</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7" t="n">
        <v>250</v>
      </c>
      <c r="U2231" s="17" t="n">
        <v>10</v>
      </c>
      <c r="V2231" s="17">
        <f>ROUNDUP((T2231+U2231+2*'Read Me'!$B$13)*(1+'Read Me'!$B$12),-1)</f>
        <v/>
      </c>
      <c r="W2231" s="17">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7" t="n">
        <v>0</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7" t="n">
        <v>250</v>
      </c>
      <c r="U2233" s="17" t="n">
        <v>10</v>
      </c>
      <c r="V2233" s="17">
        <f>ROUNDUP((T2233+U2233+2*'Read Me'!$B$13)*(1+'Read Me'!$B$12),-1)</f>
        <v/>
      </c>
      <c r="W2233" s="17">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7" t="n">
        <v>0</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7" t="n">
        <v>250</v>
      </c>
      <c r="U2235" s="17" t="n">
        <v>10</v>
      </c>
      <c r="V2235" s="17">
        <f>ROUNDUP((T2235+U2235+2*'Read Me'!$B$13)*(1+'Read Me'!$B$12),-1)</f>
        <v/>
      </c>
      <c r="W2235" s="17">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7" t="n">
        <v>0</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7" t="n">
        <v>250</v>
      </c>
      <c r="U2237" s="17" t="n">
        <v>10</v>
      </c>
      <c r="V2237" s="17">
        <f>ROUNDUP((T2237+U2237+2*'Read Me'!$B$13)*(1+'Read Me'!$B$12),-1)</f>
        <v/>
      </c>
      <c r="W2237" s="17">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7" t="n">
        <v>0</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7" t="n">
        <v>110</v>
      </c>
      <c r="U2239" s="17" t="n">
        <v>10</v>
      </c>
      <c r="V2239" s="17">
        <f>ROUNDUP((T2239+U2239+2*'Read Me'!$B$13)*(1+'Read Me'!$B$12),-1)</f>
        <v/>
      </c>
      <c r="W2239" s="17">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7" t="n">
        <v>667</v>
      </c>
      <c r="U2240" s="17" t="n">
        <v>203</v>
      </c>
      <c r="V2240" s="17">
        <f>ROUNDUP((T2240+U2240+2*'Read Me'!$B$13)*(1+'Read Me'!$B$12),-1)</f>
        <v/>
      </c>
      <c r="W2240" s="17">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7" t="n">
        <v>110</v>
      </c>
      <c r="U2241" s="17" t="n">
        <v>10</v>
      </c>
      <c r="V2241" s="17">
        <f>ROUNDUP((T2241+U2241+2*'Read Me'!$B$13)*(1+'Read Me'!$B$12),-1)</f>
        <v/>
      </c>
      <c r="W2241" s="17">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7" t="n">
        <v>667</v>
      </c>
      <c r="U2242" s="17" t="n">
        <v>203</v>
      </c>
      <c r="V2242" s="17">
        <f>ROUNDUP((T2242+U2242+2*'Read Me'!$B$13)*(1+'Read Me'!$B$12),-1)</f>
        <v/>
      </c>
      <c r="W2242" s="17">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7" t="n">
        <v>110</v>
      </c>
      <c r="U2243" s="17" t="n">
        <v>10</v>
      </c>
      <c r="V2243" s="17">
        <f>ROUNDUP((T2243+U2243+2*'Read Me'!$B$13)*(1+'Read Me'!$B$12),-1)</f>
        <v/>
      </c>
      <c r="W2243" s="17">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7" t="n">
        <v>667</v>
      </c>
      <c r="U2244" s="17" t="n">
        <v>203</v>
      </c>
      <c r="V2244" s="17">
        <f>ROUNDUP((T2244+U2244+2*'Read Me'!$B$13)*(1+'Read Me'!$B$12),-1)</f>
        <v/>
      </c>
      <c r="W2244" s="17">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7" t="n">
        <v>53</v>
      </c>
      <c r="U2245" s="17" t="n">
        <v>10</v>
      </c>
      <c r="V2245" s="17">
        <f>ROUNDUP((T2245+U2245+2*'Read Me'!$B$13)*(1+'Read Me'!$B$12),-1)</f>
        <v/>
      </c>
      <c r="W2245" s="17">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7" t="n">
        <v>676</v>
      </c>
      <c r="U2246" s="17" t="n">
        <v>167</v>
      </c>
      <c r="V2246" s="17">
        <f>ROUNDUP((T2246+U2246+2*'Read Me'!$B$13)*(1+'Read Me'!$B$12),-1)</f>
        <v/>
      </c>
      <c r="W2246" s="17">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7" t="n">
        <v>53</v>
      </c>
      <c r="U2247" s="17" t="n">
        <v>10</v>
      </c>
      <c r="V2247" s="17">
        <f>ROUNDUP((T2247+U2247+2*'Read Me'!$B$13)*(1+'Read Me'!$B$12),-1)</f>
        <v/>
      </c>
      <c r="W2247" s="17">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7" t="n">
        <v>676</v>
      </c>
      <c r="U2248" s="17" t="n">
        <v>167</v>
      </c>
      <c r="V2248" s="17">
        <f>ROUNDUP((T2248+U2248+2*'Read Me'!$B$13)*(1+'Read Me'!$B$12),-1)</f>
        <v/>
      </c>
      <c r="W2248" s="17">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7" t="n">
        <v>55</v>
      </c>
      <c r="U2249" s="17" t="n">
        <v>10</v>
      </c>
      <c r="V2249" s="17">
        <f>ROUNDUP((T2249+U2249+2*'Read Me'!$B$13)*(1+'Read Me'!$B$12),-1)</f>
        <v/>
      </c>
      <c r="W2249" s="17">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7" t="n">
        <v>532</v>
      </c>
      <c r="U2250" s="17" t="n">
        <v>135</v>
      </c>
      <c r="V2250" s="17">
        <f>ROUNDUP((T2250+U2250+2*'Read Me'!$B$13)*(1+'Read Me'!$B$12),-1)</f>
        <v/>
      </c>
      <c r="W2250" s="17">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7" t="n">
        <v>55</v>
      </c>
      <c r="U2251" s="17" t="n">
        <v>10</v>
      </c>
      <c r="V2251" s="17">
        <f>ROUNDUP((T2251+U2251+2*'Read Me'!$B$13)*(1+'Read Me'!$B$12),-1)</f>
        <v/>
      </c>
      <c r="W2251" s="17">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7" t="n">
        <v>532</v>
      </c>
      <c r="U2252" s="17" t="n">
        <v>135</v>
      </c>
      <c r="V2252" s="17">
        <f>ROUNDUP((T2252+U2252+2*'Read Me'!$B$13)*(1+'Read Me'!$B$12),-1)</f>
        <v/>
      </c>
      <c r="W2252" s="17">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7" t="n">
        <v>55</v>
      </c>
      <c r="U2253" s="17" t="n">
        <v>10</v>
      </c>
      <c r="V2253" s="17">
        <f>ROUNDUP((T2253+U2253+2*'Read Me'!$B$13)*(1+'Read Me'!$B$12),-1)</f>
        <v/>
      </c>
      <c r="W2253" s="17">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7" t="n">
        <v>532</v>
      </c>
      <c r="U2254" s="17" t="n">
        <v>135</v>
      </c>
      <c r="V2254" s="17">
        <f>ROUNDUP((T2254+U2254+2*'Read Me'!$B$13)*(1+'Read Me'!$B$12),-1)</f>
        <v/>
      </c>
      <c r="W2254" s="17">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7" t="n">
        <v>55</v>
      </c>
      <c r="U2255" s="17" t="n">
        <v>10</v>
      </c>
      <c r="V2255" s="17">
        <f>ROUNDUP((T2255+U2255+2*'Read Me'!$B$13)*(1+'Read Me'!$B$12),-1)</f>
        <v/>
      </c>
      <c r="W2255" s="17">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7" t="n">
        <v>532</v>
      </c>
      <c r="U2256" s="17" t="n">
        <v>135</v>
      </c>
      <c r="V2256" s="17">
        <f>ROUNDUP((T2256+U2256+2*'Read Me'!$B$13)*(1+'Read Me'!$B$12),-1)</f>
        <v/>
      </c>
      <c r="W2256" s="17">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7" t="n">
        <v>66</v>
      </c>
      <c r="U2257" s="17" t="n">
        <v>10</v>
      </c>
      <c r="V2257" s="17">
        <f>ROUNDUP((T2257+U2257+2*'Read Me'!$B$13)*(1+'Read Me'!$B$12),-1)</f>
        <v/>
      </c>
      <c r="W2257" s="17">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7" t="n">
        <v>410</v>
      </c>
      <c r="U2258" s="17" t="n">
        <v>105</v>
      </c>
      <c r="V2258" s="17">
        <f>ROUNDUP((T2258+U2258+2*'Read Me'!$B$13)*(1+'Read Me'!$B$12),-1)</f>
        <v/>
      </c>
      <c r="W2258" s="17">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7" t="n">
        <v>66</v>
      </c>
      <c r="U2259" s="17" t="n">
        <v>10</v>
      </c>
      <c r="V2259" s="17">
        <f>ROUNDUP((T2259+U2259+2*'Read Me'!$B$13)*(1+'Read Me'!$B$12),-1)</f>
        <v/>
      </c>
      <c r="W2259" s="17">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7" t="n">
        <v>410</v>
      </c>
      <c r="U2260" s="17" t="n">
        <v>105</v>
      </c>
      <c r="V2260" s="17">
        <f>ROUNDUP((T2260+U2260+2*'Read Me'!$B$13)*(1+'Read Me'!$B$12),-1)</f>
        <v/>
      </c>
      <c r="W2260" s="17">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7" t="n">
        <v>18</v>
      </c>
      <c r="U2261" s="17" t="n">
        <v>81</v>
      </c>
      <c r="V2261" s="17">
        <f>ROUNDUP((T2261+U2261+2*'Read Me'!$B$13)*(1+'Read Me'!$B$12),-1)</f>
        <v/>
      </c>
      <c r="W2261" s="17">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7" t="n">
        <v>0</v>
      </c>
      <c r="U2262" s="17" t="n">
        <v>91</v>
      </c>
      <c r="V2262" s="17">
        <f>ROUNDUP((T2262+U2262+2*'Read Me'!$B$13)*(1+'Read Me'!$B$12),-1)</f>
        <v/>
      </c>
      <c r="W2262" s="17">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7" t="n">
        <v>0</v>
      </c>
      <c r="U2263" s="17" t="n">
        <v>73</v>
      </c>
      <c r="V2263" s="17">
        <f>ROUNDUP((T2263+U2263+2*'Read Me'!$B$13)*(1+'Read Me'!$B$12),-1)</f>
        <v/>
      </c>
      <c r="W2263" s="17">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7" t="n">
        <v>0</v>
      </c>
      <c r="U2264" s="17" t="n">
        <v>61</v>
      </c>
      <c r="V2264" s="17">
        <f>ROUNDUP((T2264+U2264+2*'Read Me'!$B$13)*(1+'Read Me'!$B$12),-1)</f>
        <v/>
      </c>
      <c r="W2264" s="17">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7" t="n">
        <v>42</v>
      </c>
      <c r="U2265" s="17" t="n">
        <v>10</v>
      </c>
      <c r="V2265" s="17">
        <f>ROUNDUP((T2265+U2265+2*'Read Me'!$B$13)*(1+'Read Me'!$B$12),-1)</f>
        <v/>
      </c>
      <c r="W2265" s="17">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7" t="n">
        <v>159</v>
      </c>
      <c r="U2266" s="17" t="n">
        <v>56</v>
      </c>
      <c r="V2266" s="17">
        <f>ROUNDUP((T2266+U2266+2*'Read Me'!$B$13)*(1+'Read Me'!$B$12),-1)</f>
        <v/>
      </c>
      <c r="W2266" s="17">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7" t="n">
        <v>42</v>
      </c>
      <c r="U2267" s="17" t="n">
        <v>10</v>
      </c>
      <c r="V2267" s="17">
        <f>ROUNDUP((T2267+U2267+2*'Read Me'!$B$13)*(1+'Read Me'!$B$12),-1)</f>
        <v/>
      </c>
      <c r="W2267" s="17">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7" t="n">
        <v>159</v>
      </c>
      <c r="U2268" s="17" t="n">
        <v>56</v>
      </c>
      <c r="V2268" s="17">
        <f>ROUNDUP((T2268+U2268+2*'Read Me'!$B$13)*(1+'Read Me'!$B$12),-1)</f>
        <v/>
      </c>
      <c r="W2268" s="17">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7" t="n">
        <v>42</v>
      </c>
      <c r="U2269" s="17" t="n">
        <v>10</v>
      </c>
      <c r="V2269" s="17">
        <f>ROUNDUP((T2269+U2269+2*'Read Me'!$B$13)*(1+'Read Me'!$B$12),-1)</f>
        <v/>
      </c>
      <c r="W2269" s="17">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7" t="n">
        <v>185</v>
      </c>
      <c r="U2270" s="17" t="n">
        <v>56</v>
      </c>
      <c r="V2270" s="17">
        <f>ROUNDUP((T2270+U2270+2*'Read Me'!$B$13)*(1+'Read Me'!$B$12),-1)</f>
        <v/>
      </c>
      <c r="W2270" s="17">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7" t="n">
        <v>42</v>
      </c>
      <c r="U2271" s="17" t="n">
        <v>10</v>
      </c>
      <c r="V2271" s="17">
        <f>ROUNDUP((T2271+U2271+2*'Read Me'!$B$13)*(1+'Read Me'!$B$12),-1)</f>
        <v/>
      </c>
      <c r="W2271" s="17">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7" t="n">
        <v>185</v>
      </c>
      <c r="U2272" s="17" t="n">
        <v>56</v>
      </c>
      <c r="V2272" s="17">
        <f>ROUNDUP((T2272+U2272+2*'Read Me'!$B$13)*(1+'Read Me'!$B$12),-1)</f>
        <v/>
      </c>
      <c r="W2272" s="17">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7" t="n">
        <v>42</v>
      </c>
      <c r="U2273" s="17" t="n">
        <v>10</v>
      </c>
      <c r="V2273" s="17">
        <f>ROUNDUP((T2273+U2273+2*'Read Me'!$B$13)*(1+'Read Me'!$B$12),-1)</f>
        <v/>
      </c>
      <c r="W2273" s="17">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7" t="n">
        <v>214</v>
      </c>
      <c r="U2274" s="17" t="n">
        <v>43</v>
      </c>
      <c r="V2274" s="17">
        <f>ROUNDUP((T2274+U2274+2*'Read Me'!$B$13)*(1+'Read Me'!$B$12),-1)</f>
        <v/>
      </c>
      <c r="W2274" s="17">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7" t="n">
        <v>42</v>
      </c>
      <c r="U2275" s="17" t="n">
        <v>10</v>
      </c>
      <c r="V2275" s="17">
        <f>ROUNDUP((T2275+U2275+2*'Read Me'!$B$13)*(1+'Read Me'!$B$12),-1)</f>
        <v/>
      </c>
      <c r="W2275" s="17">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7" t="n">
        <v>214</v>
      </c>
      <c r="U2276" s="17" t="n">
        <v>43</v>
      </c>
      <c r="V2276" s="17">
        <f>ROUNDUP((T2276+U2276+2*'Read Me'!$B$13)*(1+'Read Me'!$B$12),-1)</f>
        <v/>
      </c>
      <c r="W2276" s="17">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7" t="n">
        <v>42</v>
      </c>
      <c r="U2277" s="17" t="n">
        <v>10</v>
      </c>
      <c r="V2277" s="17">
        <f>ROUNDUP((T2277+U2277+2*'Read Me'!$B$13)*(1+'Read Me'!$B$12),-1)</f>
        <v/>
      </c>
      <c r="W2277" s="17">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7" t="n">
        <v>208</v>
      </c>
      <c r="U2278" s="17" t="n">
        <v>69</v>
      </c>
      <c r="V2278" s="17">
        <f>ROUNDUP((T2278+U2278+2*'Read Me'!$B$13)*(1+'Read Me'!$B$12),-1)</f>
        <v/>
      </c>
      <c r="W2278" s="17">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7" t="n">
        <v>42</v>
      </c>
      <c r="U2279" s="17" t="n">
        <v>10</v>
      </c>
      <c r="V2279" s="17">
        <f>ROUNDUP((T2279+U2279+2*'Read Me'!$B$13)*(1+'Read Me'!$B$12),-1)</f>
        <v/>
      </c>
      <c r="W2279" s="17">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7" t="n">
        <v>208</v>
      </c>
      <c r="U2280" s="17" t="n">
        <v>69</v>
      </c>
      <c r="V2280" s="17">
        <f>ROUNDUP((T2280+U2280+2*'Read Me'!$B$13)*(1+'Read Me'!$B$12),-1)</f>
        <v/>
      </c>
      <c r="W2280" s="17">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7" t="n">
        <v>53</v>
      </c>
      <c r="U2281" s="17" t="n">
        <v>10</v>
      </c>
      <c r="V2281" s="17">
        <f>ROUNDUP((T2281+U2281+2*'Read Me'!$B$13)*(1+'Read Me'!$B$12),-1)</f>
        <v/>
      </c>
      <c r="W2281" s="17">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7" t="n">
        <v>532</v>
      </c>
      <c r="U2282" s="17" t="n">
        <v>91</v>
      </c>
      <c r="V2282" s="17">
        <f>ROUNDUP((T2282+U2282+2*'Read Me'!$B$13)*(1+'Read Me'!$B$12),-1)</f>
        <v/>
      </c>
      <c r="W2282" s="17">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7" t="n">
        <v>53</v>
      </c>
      <c r="U2283" s="17" t="n">
        <v>10</v>
      </c>
      <c r="V2283" s="17">
        <f>ROUNDUP((T2283+U2283+2*'Read Me'!$B$13)*(1+'Read Me'!$B$12),-1)</f>
        <v/>
      </c>
      <c r="W2283" s="17">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7" t="n">
        <v>532</v>
      </c>
      <c r="U2284" s="17" t="n">
        <v>91</v>
      </c>
      <c r="V2284" s="17">
        <f>ROUNDUP((T2284+U2284+2*'Read Me'!$B$13)*(1+'Read Me'!$B$12),-1)</f>
        <v/>
      </c>
      <c r="W2284" s="17">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7" t="n">
        <v>389</v>
      </c>
      <c r="U2285" s="17" t="n">
        <v>44</v>
      </c>
      <c r="V2285" s="17">
        <f>ROUNDUP((T2285+U2285+2*'Read Me'!$B$13)*(1+'Read Me'!$B$12),-1)</f>
        <v/>
      </c>
      <c r="W2285" s="17">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7" t="n">
        <v>357</v>
      </c>
      <c r="U2286" s="17" t="n">
        <v>44</v>
      </c>
      <c r="V2286" s="17">
        <f>ROUNDUP((T2286+U2286+2*'Read Me'!$B$13)*(1+'Read Me'!$B$12),-1)</f>
        <v/>
      </c>
      <c r="W2286" s="17">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7" t="n">
        <v>325</v>
      </c>
      <c r="U2287" s="17" t="n">
        <v>44</v>
      </c>
      <c r="V2287" s="17">
        <f>ROUNDUP((T2287+U2287+2*'Read Me'!$B$13)*(1+'Read Me'!$B$12),-1)</f>
        <v/>
      </c>
      <c r="W2287" s="17">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7" t="n">
        <v>293</v>
      </c>
      <c r="U2288" s="17" t="n">
        <v>44</v>
      </c>
      <c r="V2288" s="17">
        <f>ROUNDUP((T2288+U2288+2*'Read Me'!$B$13)*(1+'Read Me'!$B$12),-1)</f>
        <v/>
      </c>
      <c r="W2288" s="17">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7" t="n">
        <v>261</v>
      </c>
      <c r="U2289" s="17" t="n">
        <v>44</v>
      </c>
      <c r="V2289" s="17">
        <f>ROUNDUP((T2289+U2289+2*'Read Me'!$B$13)*(1+'Read Me'!$B$12),-1)</f>
        <v/>
      </c>
      <c r="W2289" s="17">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7" t="n">
        <v>261</v>
      </c>
      <c r="U2290" s="17" t="n">
        <v>44</v>
      </c>
      <c r="V2290" s="17">
        <f>ROUNDUP((T2290+U2290+2*'Read Me'!$B$13)*(1+'Read Me'!$B$12),-1)</f>
        <v/>
      </c>
      <c r="W2290" s="17">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7" t="n">
        <v>293</v>
      </c>
      <c r="U2291" s="17" t="n">
        <v>44</v>
      </c>
      <c r="V2291" s="17">
        <f>ROUNDUP((T2291+U2291+2*'Read Me'!$B$13)*(1+'Read Me'!$B$12),-1)</f>
        <v/>
      </c>
      <c r="W2291" s="17">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7" t="n">
        <v>325</v>
      </c>
      <c r="U2292" s="17" t="n">
        <v>44</v>
      </c>
      <c r="V2292" s="17">
        <f>ROUNDUP((T2292+U2292+2*'Read Me'!$B$13)*(1+'Read Me'!$B$12),-1)</f>
        <v/>
      </c>
      <c r="W2292" s="17">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7" t="n">
        <v>357</v>
      </c>
      <c r="U2293" s="17" t="n">
        <v>44</v>
      </c>
      <c r="V2293" s="17">
        <f>ROUNDUP((T2293+U2293+2*'Read Me'!$B$13)*(1+'Read Me'!$B$12),-1)</f>
        <v/>
      </c>
      <c r="W2293" s="17">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7" t="n">
        <v>389</v>
      </c>
      <c r="U2294" s="17" t="n">
        <v>44</v>
      </c>
      <c r="V2294" s="17">
        <f>ROUNDUP((T2294+U2294+2*'Read Me'!$B$13)*(1+'Read Me'!$B$12),-1)</f>
        <v/>
      </c>
      <c r="W2294" s="17">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7" t="n">
        <v>339</v>
      </c>
      <c r="U2295" s="17" t="n">
        <v>44</v>
      </c>
      <c r="V2295" s="17">
        <f>ROUNDUP((T2295+U2295+2*'Read Me'!$B$13)*(1+'Read Me'!$B$12),-1)</f>
        <v/>
      </c>
      <c r="W2295" s="17">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7" t="n">
        <v>307</v>
      </c>
      <c r="U2296" s="17" t="n">
        <v>44</v>
      </c>
      <c r="V2296" s="17">
        <f>ROUNDUP((T2296+U2296+2*'Read Me'!$B$13)*(1+'Read Me'!$B$12),-1)</f>
        <v/>
      </c>
      <c r="W2296" s="17">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7" t="n">
        <v>275</v>
      </c>
      <c r="U2297" s="17" t="n">
        <v>44</v>
      </c>
      <c r="V2297" s="17">
        <f>ROUNDUP((T2297+U2297+2*'Read Me'!$B$13)*(1+'Read Me'!$B$12),-1)</f>
        <v/>
      </c>
      <c r="W2297" s="17">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7" t="n">
        <v>243</v>
      </c>
      <c r="U2298" s="17" t="n">
        <v>44</v>
      </c>
      <c r="V2298" s="17">
        <f>ROUNDUP((T2298+U2298+2*'Read Me'!$B$13)*(1+'Read Me'!$B$12),-1)</f>
        <v/>
      </c>
      <c r="W2298" s="17">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7" t="n">
        <v>211</v>
      </c>
      <c r="U2299" s="17" t="n">
        <v>44</v>
      </c>
      <c r="V2299" s="17">
        <f>ROUNDUP((T2299+U2299+2*'Read Me'!$B$13)*(1+'Read Me'!$B$12),-1)</f>
        <v/>
      </c>
      <c r="W2299" s="17">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7" t="n">
        <v>211</v>
      </c>
      <c r="U2300" s="17" t="n">
        <v>44</v>
      </c>
      <c r="V2300" s="17">
        <f>ROUNDUP((T2300+U2300+2*'Read Me'!$B$13)*(1+'Read Me'!$B$12),-1)</f>
        <v/>
      </c>
      <c r="W2300" s="17">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7" t="n">
        <v>243</v>
      </c>
      <c r="U2301" s="17" t="n">
        <v>44</v>
      </c>
      <c r="V2301" s="17">
        <f>ROUNDUP((T2301+U2301+2*'Read Me'!$B$13)*(1+'Read Me'!$B$12),-1)</f>
        <v/>
      </c>
      <c r="W2301" s="17">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7" t="n">
        <v>275</v>
      </c>
      <c r="U2302" s="17" t="n">
        <v>44</v>
      </c>
      <c r="V2302" s="17">
        <f>ROUNDUP((T2302+U2302+2*'Read Me'!$B$13)*(1+'Read Me'!$B$12),-1)</f>
        <v/>
      </c>
      <c r="W2302" s="17">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7" t="n">
        <v>307</v>
      </c>
      <c r="U2303" s="17" t="n">
        <v>44</v>
      </c>
      <c r="V2303" s="17">
        <f>ROUNDUP((T2303+U2303+2*'Read Me'!$B$13)*(1+'Read Me'!$B$12),-1)</f>
        <v/>
      </c>
      <c r="W2303" s="17">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7" t="n">
        <v>339</v>
      </c>
      <c r="U2304" s="17" t="n">
        <v>44</v>
      </c>
      <c r="V2304" s="17">
        <f>ROUNDUP((T2304+U2304+2*'Read Me'!$B$13)*(1+'Read Me'!$B$12),-1)</f>
        <v/>
      </c>
      <c r="W2304" s="17">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7" t="n">
        <v>289</v>
      </c>
      <c r="U2305" s="17" t="n">
        <v>44</v>
      </c>
      <c r="V2305" s="17">
        <f>ROUNDUP((T2305+U2305+2*'Read Me'!$B$13)*(1+'Read Me'!$B$12),-1)</f>
        <v/>
      </c>
      <c r="W2305" s="17">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7" t="n">
        <v>257</v>
      </c>
      <c r="U2306" s="17" t="n">
        <v>44</v>
      </c>
      <c r="V2306" s="17">
        <f>ROUNDUP((T2306+U2306+2*'Read Me'!$B$13)*(1+'Read Me'!$B$12),-1)</f>
        <v/>
      </c>
      <c r="W2306" s="17">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7" t="n">
        <v>225</v>
      </c>
      <c r="U2307" s="17" t="n">
        <v>44</v>
      </c>
      <c r="V2307" s="17">
        <f>ROUNDUP((T2307+U2307+2*'Read Me'!$B$13)*(1+'Read Me'!$B$12),-1)</f>
        <v/>
      </c>
      <c r="W2307" s="17">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7" t="n">
        <v>193</v>
      </c>
      <c r="U2308" s="17" t="n">
        <v>44</v>
      </c>
      <c r="V2308" s="17">
        <f>ROUNDUP((T2308+U2308+2*'Read Me'!$B$13)*(1+'Read Me'!$B$12),-1)</f>
        <v/>
      </c>
      <c r="W2308" s="17">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7" t="n">
        <v>161</v>
      </c>
      <c r="U2309" s="17" t="n">
        <v>44</v>
      </c>
      <c r="V2309" s="17">
        <f>ROUNDUP((T2309+U2309+2*'Read Me'!$B$13)*(1+'Read Me'!$B$12),-1)</f>
        <v/>
      </c>
      <c r="W2309" s="17">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7" t="n">
        <v>161</v>
      </c>
      <c r="U2310" s="17" t="n">
        <v>44</v>
      </c>
      <c r="V2310" s="17">
        <f>ROUNDUP((T2310+U2310+2*'Read Me'!$B$13)*(1+'Read Me'!$B$12),-1)</f>
        <v/>
      </c>
      <c r="W2310" s="17">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7" t="n">
        <v>193</v>
      </c>
      <c r="U2311" s="17" t="n">
        <v>44</v>
      </c>
      <c r="V2311" s="17">
        <f>ROUNDUP((T2311+U2311+2*'Read Me'!$B$13)*(1+'Read Me'!$B$12),-1)</f>
        <v/>
      </c>
      <c r="W2311" s="17">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7" t="n">
        <v>225</v>
      </c>
      <c r="U2312" s="17" t="n">
        <v>44</v>
      </c>
      <c r="V2312" s="17">
        <f>ROUNDUP((T2312+U2312+2*'Read Me'!$B$13)*(1+'Read Me'!$B$12),-1)</f>
        <v/>
      </c>
      <c r="W2312" s="17">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7" t="n">
        <v>257</v>
      </c>
      <c r="U2313" s="17" t="n">
        <v>44</v>
      </c>
      <c r="V2313" s="17">
        <f>ROUNDUP((T2313+U2313+2*'Read Me'!$B$13)*(1+'Read Me'!$B$12),-1)</f>
        <v/>
      </c>
      <c r="W2313" s="17">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7" t="n">
        <v>289</v>
      </c>
      <c r="U2314" s="17" t="n">
        <v>44</v>
      </c>
      <c r="V2314" s="17">
        <f>ROUNDUP((T2314+U2314+2*'Read Me'!$B$13)*(1+'Read Me'!$B$12),-1)</f>
        <v/>
      </c>
      <c r="W2314" s="17">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7" t="n">
        <v>239</v>
      </c>
      <c r="U2315" s="17" t="n">
        <v>44</v>
      </c>
      <c r="V2315" s="17">
        <f>ROUNDUP((T2315+U2315+2*'Read Me'!$B$13)*(1+'Read Me'!$B$12),-1)</f>
        <v/>
      </c>
      <c r="W2315" s="17">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7" t="n">
        <v>207</v>
      </c>
      <c r="U2316" s="17" t="n">
        <v>44</v>
      </c>
      <c r="V2316" s="17">
        <f>ROUNDUP((T2316+U2316+2*'Read Me'!$B$13)*(1+'Read Me'!$B$12),-1)</f>
        <v/>
      </c>
      <c r="W2316" s="17">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7" t="n">
        <v>175</v>
      </c>
      <c r="U2317" s="17" t="n">
        <v>44</v>
      </c>
      <c r="V2317" s="17">
        <f>ROUNDUP((T2317+U2317+2*'Read Me'!$B$13)*(1+'Read Me'!$B$12),-1)</f>
        <v/>
      </c>
      <c r="W2317" s="17">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7" t="n">
        <v>143</v>
      </c>
      <c r="U2318" s="17" t="n">
        <v>44</v>
      </c>
      <c r="V2318" s="17">
        <f>ROUNDUP((T2318+U2318+2*'Read Me'!$B$13)*(1+'Read Me'!$B$12),-1)</f>
        <v/>
      </c>
      <c r="W2318" s="17">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7" t="n">
        <v>111</v>
      </c>
      <c r="U2319" s="17" t="n">
        <v>44</v>
      </c>
      <c r="V2319" s="17">
        <f>ROUNDUP((T2319+U2319+2*'Read Me'!$B$13)*(1+'Read Me'!$B$12),-1)</f>
        <v/>
      </c>
      <c r="W2319" s="17">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7" t="n">
        <v>111</v>
      </c>
      <c r="U2320" s="17" t="n">
        <v>44</v>
      </c>
      <c r="V2320" s="17">
        <f>ROUNDUP((T2320+U2320+2*'Read Me'!$B$13)*(1+'Read Me'!$B$12),-1)</f>
        <v/>
      </c>
      <c r="W2320" s="17">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7" t="n">
        <v>143</v>
      </c>
      <c r="U2321" s="17" t="n">
        <v>44</v>
      </c>
      <c r="V2321" s="17">
        <f>ROUNDUP((T2321+U2321+2*'Read Me'!$B$13)*(1+'Read Me'!$B$12),-1)</f>
        <v/>
      </c>
      <c r="W2321" s="17">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7" t="n">
        <v>175</v>
      </c>
      <c r="U2322" s="17" t="n">
        <v>44</v>
      </c>
      <c r="V2322" s="17">
        <f>ROUNDUP((T2322+U2322+2*'Read Me'!$B$13)*(1+'Read Me'!$B$12),-1)</f>
        <v/>
      </c>
      <c r="W2322" s="17">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7" t="n">
        <v>207</v>
      </c>
      <c r="U2323" s="17" t="n">
        <v>44</v>
      </c>
      <c r="V2323" s="17">
        <f>ROUNDUP((T2323+U2323+2*'Read Me'!$B$13)*(1+'Read Me'!$B$12),-1)</f>
        <v/>
      </c>
      <c r="W2323" s="17">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7" t="n">
        <v>239</v>
      </c>
      <c r="U2324" s="17" t="n">
        <v>44</v>
      </c>
      <c r="V2324" s="17">
        <f>ROUNDUP((T2324+U2324+2*'Read Me'!$B$13)*(1+'Read Me'!$B$12),-1)</f>
        <v/>
      </c>
      <c r="W2324" s="17">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7" t="n">
        <v>239</v>
      </c>
      <c r="U2325" s="17" t="n">
        <v>44</v>
      </c>
      <c r="V2325" s="17">
        <f>ROUNDUP((T2325+U2325+2*'Read Me'!$B$13)*(1+'Read Me'!$B$12),-1)</f>
        <v/>
      </c>
      <c r="W2325" s="17">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7" t="n">
        <v>207</v>
      </c>
      <c r="U2326" s="17" t="n">
        <v>44</v>
      </c>
      <c r="V2326" s="17">
        <f>ROUNDUP((T2326+U2326+2*'Read Me'!$B$13)*(1+'Read Me'!$B$12),-1)</f>
        <v/>
      </c>
      <c r="W2326" s="17">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7" t="n">
        <v>175</v>
      </c>
      <c r="U2327" s="17" t="n">
        <v>44</v>
      </c>
      <c r="V2327" s="17">
        <f>ROUNDUP((T2327+U2327+2*'Read Me'!$B$13)*(1+'Read Me'!$B$12),-1)</f>
        <v/>
      </c>
      <c r="W2327" s="17">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7" t="n">
        <v>143</v>
      </c>
      <c r="U2328" s="17" t="n">
        <v>44</v>
      </c>
      <c r="V2328" s="17">
        <f>ROUNDUP((T2328+U2328+2*'Read Me'!$B$13)*(1+'Read Me'!$B$12),-1)</f>
        <v/>
      </c>
      <c r="W2328" s="17">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7" t="n">
        <v>111</v>
      </c>
      <c r="U2329" s="17" t="n">
        <v>44</v>
      </c>
      <c r="V2329" s="17">
        <f>ROUNDUP((T2329+U2329+2*'Read Me'!$B$13)*(1+'Read Me'!$B$12),-1)</f>
        <v/>
      </c>
      <c r="W2329" s="17">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7" t="n">
        <v>111</v>
      </c>
      <c r="U2330" s="17" t="n">
        <v>44</v>
      </c>
      <c r="V2330" s="17">
        <f>ROUNDUP((T2330+U2330+2*'Read Me'!$B$13)*(1+'Read Me'!$B$12),-1)</f>
        <v/>
      </c>
      <c r="W2330" s="17">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7" t="n">
        <v>143</v>
      </c>
      <c r="U2331" s="17" t="n">
        <v>44</v>
      </c>
      <c r="V2331" s="17">
        <f>ROUNDUP((T2331+U2331+2*'Read Me'!$B$13)*(1+'Read Me'!$B$12),-1)</f>
        <v/>
      </c>
      <c r="W2331" s="17">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7" t="n">
        <v>175</v>
      </c>
      <c r="U2332" s="17" t="n">
        <v>44</v>
      </c>
      <c r="V2332" s="17">
        <f>ROUNDUP((T2332+U2332+2*'Read Me'!$B$13)*(1+'Read Me'!$B$12),-1)</f>
        <v/>
      </c>
      <c r="W2332" s="17">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7" t="n">
        <v>207</v>
      </c>
      <c r="U2333" s="17" t="n">
        <v>44</v>
      </c>
      <c r="V2333" s="17">
        <f>ROUNDUP((T2333+U2333+2*'Read Me'!$B$13)*(1+'Read Me'!$B$12),-1)</f>
        <v/>
      </c>
      <c r="W2333" s="17">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7" t="n">
        <v>239</v>
      </c>
      <c r="U2334" s="17" t="n">
        <v>44</v>
      </c>
      <c r="V2334" s="17">
        <f>ROUNDUP((T2334+U2334+2*'Read Me'!$B$13)*(1+'Read Me'!$B$12),-1)</f>
        <v/>
      </c>
      <c r="W2334" s="17">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7" t="n">
        <v>289</v>
      </c>
      <c r="U2335" s="17" t="n">
        <v>44</v>
      </c>
      <c r="V2335" s="17">
        <f>ROUNDUP((T2335+U2335+2*'Read Me'!$B$13)*(1+'Read Me'!$B$12),-1)</f>
        <v/>
      </c>
      <c r="W2335" s="17">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7" t="n">
        <v>257</v>
      </c>
      <c r="U2336" s="17" t="n">
        <v>44</v>
      </c>
      <c r="V2336" s="17">
        <f>ROUNDUP((T2336+U2336+2*'Read Me'!$B$13)*(1+'Read Me'!$B$12),-1)</f>
        <v/>
      </c>
      <c r="W2336" s="17">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7" t="n">
        <v>225</v>
      </c>
      <c r="U2337" s="17" t="n">
        <v>44</v>
      </c>
      <c r="V2337" s="17">
        <f>ROUNDUP((T2337+U2337+2*'Read Me'!$B$13)*(1+'Read Me'!$B$12),-1)</f>
        <v/>
      </c>
      <c r="W2337" s="17">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7" t="n">
        <v>193</v>
      </c>
      <c r="U2338" s="17" t="n">
        <v>44</v>
      </c>
      <c r="V2338" s="17">
        <f>ROUNDUP((T2338+U2338+2*'Read Me'!$B$13)*(1+'Read Me'!$B$12),-1)</f>
        <v/>
      </c>
      <c r="W2338" s="17">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7" t="n">
        <v>161</v>
      </c>
      <c r="U2339" s="17" t="n">
        <v>44</v>
      </c>
      <c r="V2339" s="17">
        <f>ROUNDUP((T2339+U2339+2*'Read Me'!$B$13)*(1+'Read Me'!$B$12),-1)</f>
        <v/>
      </c>
      <c r="W2339" s="17">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7" t="n">
        <v>161</v>
      </c>
      <c r="U2340" s="17" t="n">
        <v>44</v>
      </c>
      <c r="V2340" s="17">
        <f>ROUNDUP((T2340+U2340+2*'Read Me'!$B$13)*(1+'Read Me'!$B$12),-1)</f>
        <v/>
      </c>
      <c r="W2340" s="17">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7" t="n">
        <v>193</v>
      </c>
      <c r="U2341" s="17" t="n">
        <v>44</v>
      </c>
      <c r="V2341" s="17">
        <f>ROUNDUP((T2341+U2341+2*'Read Me'!$B$13)*(1+'Read Me'!$B$12),-1)</f>
        <v/>
      </c>
      <c r="W2341" s="17">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7" t="n">
        <v>225</v>
      </c>
      <c r="U2342" s="17" t="n">
        <v>44</v>
      </c>
      <c r="V2342" s="17">
        <f>ROUNDUP((T2342+U2342+2*'Read Me'!$B$13)*(1+'Read Me'!$B$12),-1)</f>
        <v/>
      </c>
      <c r="W2342" s="17">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7" t="n">
        <v>257</v>
      </c>
      <c r="U2343" s="17" t="n">
        <v>44</v>
      </c>
      <c r="V2343" s="17">
        <f>ROUNDUP((T2343+U2343+2*'Read Me'!$B$13)*(1+'Read Me'!$B$12),-1)</f>
        <v/>
      </c>
      <c r="W2343" s="17">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7" t="n">
        <v>289</v>
      </c>
      <c r="U2344" s="17" t="n">
        <v>44</v>
      </c>
      <c r="V2344" s="17">
        <f>ROUNDUP((T2344+U2344+2*'Read Me'!$B$13)*(1+'Read Me'!$B$12),-1)</f>
        <v/>
      </c>
      <c r="W2344" s="17">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7" t="n">
        <v>339</v>
      </c>
      <c r="U2345" s="17" t="n">
        <v>44</v>
      </c>
      <c r="V2345" s="17">
        <f>ROUNDUP((T2345+U2345+2*'Read Me'!$B$13)*(1+'Read Me'!$B$12),-1)</f>
        <v/>
      </c>
      <c r="W2345" s="17">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7" t="n">
        <v>307</v>
      </c>
      <c r="U2346" s="17" t="n">
        <v>44</v>
      </c>
      <c r="V2346" s="17">
        <f>ROUNDUP((T2346+U2346+2*'Read Me'!$B$13)*(1+'Read Me'!$B$12),-1)</f>
        <v/>
      </c>
      <c r="W2346" s="17">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7" t="n">
        <v>275</v>
      </c>
      <c r="U2347" s="17" t="n">
        <v>44</v>
      </c>
      <c r="V2347" s="17">
        <f>ROUNDUP((T2347+U2347+2*'Read Me'!$B$13)*(1+'Read Me'!$B$12),-1)</f>
        <v/>
      </c>
      <c r="W2347" s="17">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7" t="n">
        <v>243</v>
      </c>
      <c r="U2348" s="17" t="n">
        <v>44</v>
      </c>
      <c r="V2348" s="17">
        <f>ROUNDUP((T2348+U2348+2*'Read Me'!$B$13)*(1+'Read Me'!$B$12),-1)</f>
        <v/>
      </c>
      <c r="W2348" s="17">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7" t="n">
        <v>211</v>
      </c>
      <c r="U2349" s="17" t="n">
        <v>44</v>
      </c>
      <c r="V2349" s="17">
        <f>ROUNDUP((T2349+U2349+2*'Read Me'!$B$13)*(1+'Read Me'!$B$12),-1)</f>
        <v/>
      </c>
      <c r="W2349" s="17">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7" t="n">
        <v>211</v>
      </c>
      <c r="U2350" s="17" t="n">
        <v>44</v>
      </c>
      <c r="V2350" s="17">
        <f>ROUNDUP((T2350+U2350+2*'Read Me'!$B$13)*(1+'Read Me'!$B$12),-1)</f>
        <v/>
      </c>
      <c r="W2350" s="17">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7" t="n">
        <v>243</v>
      </c>
      <c r="U2351" s="17" t="n">
        <v>44</v>
      </c>
      <c r="V2351" s="17">
        <f>ROUNDUP((T2351+U2351+2*'Read Me'!$B$13)*(1+'Read Me'!$B$12),-1)</f>
        <v/>
      </c>
      <c r="W2351" s="17">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7" t="n">
        <v>275</v>
      </c>
      <c r="U2352" s="17" t="n">
        <v>44</v>
      </c>
      <c r="V2352" s="17">
        <f>ROUNDUP((T2352+U2352+2*'Read Me'!$B$13)*(1+'Read Me'!$B$12),-1)</f>
        <v/>
      </c>
      <c r="W2352" s="17">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7" t="n">
        <v>307</v>
      </c>
      <c r="U2353" s="17" t="n">
        <v>44</v>
      </c>
      <c r="V2353" s="17">
        <f>ROUNDUP((T2353+U2353+2*'Read Me'!$B$13)*(1+'Read Me'!$B$12),-1)</f>
        <v/>
      </c>
      <c r="W2353" s="17">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7" t="n">
        <v>339</v>
      </c>
      <c r="U2354" s="17" t="n">
        <v>44</v>
      </c>
      <c r="V2354" s="17">
        <f>ROUNDUP((T2354+U2354+2*'Read Me'!$B$13)*(1+'Read Me'!$B$12),-1)</f>
        <v/>
      </c>
      <c r="W2354" s="17">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7" t="n">
        <v>389</v>
      </c>
      <c r="U2355" s="17" t="n">
        <v>44</v>
      </c>
      <c r="V2355" s="17">
        <f>ROUNDUP((T2355+U2355+2*'Read Me'!$B$13)*(1+'Read Me'!$B$12),-1)</f>
        <v/>
      </c>
      <c r="W2355" s="17">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7" t="n">
        <v>357</v>
      </c>
      <c r="U2356" s="17" t="n">
        <v>44</v>
      </c>
      <c r="V2356" s="17">
        <f>ROUNDUP((T2356+U2356+2*'Read Me'!$B$13)*(1+'Read Me'!$B$12),-1)</f>
        <v/>
      </c>
      <c r="W2356" s="17">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7" t="n">
        <v>325</v>
      </c>
      <c r="U2357" s="17" t="n">
        <v>44</v>
      </c>
      <c r="V2357" s="17">
        <f>ROUNDUP((T2357+U2357+2*'Read Me'!$B$13)*(1+'Read Me'!$B$12),-1)</f>
        <v/>
      </c>
      <c r="W2357" s="17">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7" t="n">
        <v>293</v>
      </c>
      <c r="U2358" s="17" t="n">
        <v>44</v>
      </c>
      <c r="V2358" s="17">
        <f>ROUNDUP((T2358+U2358+2*'Read Me'!$B$13)*(1+'Read Me'!$B$12),-1)</f>
        <v/>
      </c>
      <c r="W2358" s="17">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7" t="n">
        <v>261</v>
      </c>
      <c r="U2359" s="17" t="n">
        <v>44</v>
      </c>
      <c r="V2359" s="17">
        <f>ROUNDUP((T2359+U2359+2*'Read Me'!$B$13)*(1+'Read Me'!$B$12),-1)</f>
        <v/>
      </c>
      <c r="W2359" s="17">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7" t="n">
        <v>261</v>
      </c>
      <c r="U2360" s="17" t="n">
        <v>44</v>
      </c>
      <c r="V2360" s="17">
        <f>ROUNDUP((T2360+U2360+2*'Read Me'!$B$13)*(1+'Read Me'!$B$12),-1)</f>
        <v/>
      </c>
      <c r="W2360" s="17">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7" t="n">
        <v>293</v>
      </c>
      <c r="U2361" s="17" t="n">
        <v>44</v>
      </c>
      <c r="V2361" s="17">
        <f>ROUNDUP((T2361+U2361+2*'Read Me'!$B$13)*(1+'Read Me'!$B$12),-1)</f>
        <v/>
      </c>
      <c r="W2361" s="17">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7" t="n">
        <v>325</v>
      </c>
      <c r="U2362" s="17" t="n">
        <v>44</v>
      </c>
      <c r="V2362" s="17">
        <f>ROUNDUP((T2362+U2362+2*'Read Me'!$B$13)*(1+'Read Me'!$B$12),-1)</f>
        <v/>
      </c>
      <c r="W2362" s="17">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7" t="n">
        <v>357</v>
      </c>
      <c r="U2363" s="17" t="n">
        <v>44</v>
      </c>
      <c r="V2363" s="17">
        <f>ROUNDUP((T2363+U2363+2*'Read Me'!$B$13)*(1+'Read Me'!$B$12),-1)</f>
        <v/>
      </c>
      <c r="W2363" s="17">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7" t="n">
        <v>389</v>
      </c>
      <c r="U2364" s="17" t="n">
        <v>44</v>
      </c>
      <c r="V2364" s="17">
        <f>ROUNDUP((T2364+U2364+2*'Read Me'!$B$13)*(1+'Read Me'!$B$12),-1)</f>
        <v/>
      </c>
      <c r="W2364" s="17">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7" t="n">
        <v>0</v>
      </c>
      <c r="U2365" s="17" t="n">
        <v>52</v>
      </c>
      <c r="V2365" s="17">
        <f>ROUNDUP((T2365+U2365+2*'Read Me'!$B$13)*(1+'Read Me'!$B$12),-1)</f>
        <v/>
      </c>
      <c r="W2365" s="17">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7" t="n">
        <v>0</v>
      </c>
      <c r="U2366" s="17" t="n">
        <v>52</v>
      </c>
      <c r="V2366" s="17">
        <f>ROUNDUP((T2366+U2366+2*'Read Me'!$B$13)*(1+'Read Me'!$B$12),-1)</f>
        <v/>
      </c>
      <c r="W2366" s="17">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7" t="n">
        <v>0</v>
      </c>
      <c r="U2367" s="17" t="n">
        <v>52</v>
      </c>
      <c r="V2367" s="17">
        <f>ROUNDUP((T2367+U2367+2*'Read Me'!$B$13)*(1+'Read Me'!$B$12),-1)</f>
        <v/>
      </c>
      <c r="W2367" s="17">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7" t="n">
        <v>0</v>
      </c>
      <c r="U2368" s="17" t="n">
        <v>52</v>
      </c>
      <c r="V2368" s="17">
        <f>ROUNDUP((T2368+U2368+2*'Read Me'!$B$13)*(1+'Read Me'!$B$12),-1)</f>
        <v/>
      </c>
      <c r="W2368" s="17">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7" t="n">
        <v>0</v>
      </c>
      <c r="U2369" s="17" t="n">
        <v>52</v>
      </c>
      <c r="V2369" s="17">
        <f>ROUNDUP((T2369+U2369+2*'Read Me'!$B$13)*(1+'Read Me'!$B$12),-1)</f>
        <v/>
      </c>
      <c r="W2369" s="17">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7" t="n">
        <v>0</v>
      </c>
      <c r="U2370" s="17" t="n">
        <v>52</v>
      </c>
      <c r="V2370" s="17">
        <f>ROUNDUP((T2370+U2370+2*'Read Me'!$B$13)*(1+'Read Me'!$B$12),-1)</f>
        <v/>
      </c>
      <c r="W2370" s="17">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7" t="n">
        <v>0</v>
      </c>
      <c r="U2371" s="17" t="n">
        <v>52</v>
      </c>
      <c r="V2371" s="17">
        <f>ROUNDUP((T2371+U2371+2*'Read Me'!$B$13)*(1+'Read Me'!$B$12),-1)</f>
        <v/>
      </c>
      <c r="W2371" s="17">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7" t="n">
        <v>0</v>
      </c>
      <c r="U2372" s="17" t="n">
        <v>52</v>
      </c>
      <c r="V2372" s="17">
        <f>ROUNDUP((T2372+U2372+2*'Read Me'!$B$13)*(1+'Read Me'!$B$12),-1)</f>
        <v/>
      </c>
      <c r="W2372" s="17">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7" t="n">
        <v>0</v>
      </c>
      <c r="U2373" s="17" t="n">
        <v>52</v>
      </c>
      <c r="V2373" s="17">
        <f>ROUNDUP((T2373+U2373+2*'Read Me'!$B$13)*(1+'Read Me'!$B$12),-1)</f>
        <v/>
      </c>
      <c r="W2373" s="17">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7" t="n">
        <v>0</v>
      </c>
      <c r="U2374" s="17" t="n">
        <v>52</v>
      </c>
      <c r="V2374" s="17">
        <f>ROUNDUP((T2374+U2374+2*'Read Me'!$B$13)*(1+'Read Me'!$B$12),-1)</f>
        <v/>
      </c>
      <c r="W2374" s="17">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7" t="n">
        <v>0</v>
      </c>
      <c r="U2375" s="17" t="n">
        <v>52</v>
      </c>
      <c r="V2375" s="17">
        <f>ROUNDUP((T2375+U2375+2*'Read Me'!$B$13)*(1+'Read Me'!$B$12),-1)</f>
        <v/>
      </c>
      <c r="W2375" s="17">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7" t="n">
        <v>0</v>
      </c>
      <c r="U2376" s="17" t="n">
        <v>52</v>
      </c>
      <c r="V2376" s="17">
        <f>ROUNDUP((T2376+U2376+2*'Read Me'!$B$13)*(1+'Read Me'!$B$12),-1)</f>
        <v/>
      </c>
      <c r="W2376" s="17">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7" t="n">
        <v>0</v>
      </c>
      <c r="U2377" s="17" t="n">
        <v>52</v>
      </c>
      <c r="V2377" s="17">
        <f>ROUNDUP((T2377+U2377+2*'Read Me'!$B$13)*(1+'Read Me'!$B$12),-1)</f>
        <v/>
      </c>
      <c r="W2377" s="17">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7" t="n">
        <v>0</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7" t="n">
        <v>0</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7" t="n">
        <v>0</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7" t="n">
        <v>0</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7" t="n">
        <v>0</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7" t="n">
        <v>0</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7" t="n">
        <v>0</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7" t="n">
        <v>0</v>
      </c>
      <c r="U2385" s="17" t="n">
        <v>52</v>
      </c>
      <c r="V2385" s="17">
        <f>ROUNDUP((T2385+U2385+2*'Read Me'!$B$13)*(1+'Read Me'!$B$12),-1)</f>
        <v/>
      </c>
      <c r="W2385" s="17">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7" t="n">
        <v>0</v>
      </c>
      <c r="U2386" s="17" t="n">
        <v>52</v>
      </c>
      <c r="V2386" s="17">
        <f>ROUNDUP((T2386+U2386+2*'Read Me'!$B$13)*(1+'Read Me'!$B$12),-1)</f>
        <v/>
      </c>
      <c r="W2386" s="17">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7" t="n">
        <v>0</v>
      </c>
      <c r="U2387" s="17" t="n">
        <v>52</v>
      </c>
      <c r="V2387" s="17">
        <f>ROUNDUP((T2387+U2387+2*'Read Me'!$B$13)*(1+'Read Me'!$B$12),-1)</f>
        <v/>
      </c>
      <c r="W2387" s="17">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7" t="n">
        <v>0</v>
      </c>
      <c r="U2388" s="17" t="n">
        <v>52</v>
      </c>
      <c r="V2388" s="17">
        <f>ROUNDUP((T2388+U2388+2*'Read Me'!$B$13)*(1+'Read Me'!$B$12),-1)</f>
        <v/>
      </c>
      <c r="W2388" s="17">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7" t="n">
        <v>0</v>
      </c>
      <c r="U2389" s="17" t="n">
        <v>52</v>
      </c>
      <c r="V2389" s="17">
        <f>ROUNDUP((T2389+U2389+2*'Read Me'!$B$13)*(1+'Read Me'!$B$12),-1)</f>
        <v/>
      </c>
      <c r="W2389" s="17">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7" t="n">
        <v>0</v>
      </c>
      <c r="U2390" s="17" t="n">
        <v>52</v>
      </c>
      <c r="V2390" s="17">
        <f>ROUNDUP((T2390+U2390+2*'Read Me'!$B$13)*(1+'Read Me'!$B$12),-1)</f>
        <v/>
      </c>
      <c r="W2390" s="17">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7" t="n">
        <v>0</v>
      </c>
      <c r="U2391" s="17" t="n">
        <v>52</v>
      </c>
      <c r="V2391" s="17">
        <f>ROUNDUP((T2391+U2391+2*'Read Me'!$B$13)*(1+'Read Me'!$B$12),-1)</f>
        <v/>
      </c>
      <c r="W2391" s="17">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7" t="n">
        <v>0</v>
      </c>
      <c r="U2392" s="17" t="n">
        <v>52</v>
      </c>
      <c r="V2392" s="17">
        <f>ROUNDUP((T2392+U2392+2*'Read Me'!$B$13)*(1+'Read Me'!$B$12),-1)</f>
        <v/>
      </c>
      <c r="W2392" s="17">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7" t="n">
        <v>0</v>
      </c>
      <c r="U2393" s="17" t="n">
        <v>52</v>
      </c>
      <c r="V2393" s="17">
        <f>ROUNDUP((T2393+U2393+2*'Read Me'!$B$13)*(1+'Read Me'!$B$12),-1)</f>
        <v/>
      </c>
      <c r="W2393" s="17">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7" t="n">
        <v>0</v>
      </c>
      <c r="U2394" s="17" t="n">
        <v>52</v>
      </c>
      <c r="V2394" s="17">
        <f>ROUNDUP((T2394+U2394+2*'Read Me'!$B$13)*(1+'Read Me'!$B$12),-1)</f>
        <v/>
      </c>
      <c r="W2394" s="17">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7" t="n">
        <v>300</v>
      </c>
      <c r="U2395" s="17" t="n">
        <v>52</v>
      </c>
      <c r="V2395" s="17">
        <f>ROUNDUP((T2395+U2395+2*'Read Me'!$B$13)*(1+'Read Me'!$B$12),-1)</f>
        <v/>
      </c>
      <c r="W2395" s="17">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7" t="n">
        <v>300</v>
      </c>
      <c r="U2396" s="17" t="n">
        <v>52</v>
      </c>
      <c r="V2396" s="17">
        <f>ROUNDUP((T2396+U2396+2*'Read Me'!$B$13)*(1+'Read Me'!$B$12),-1)</f>
        <v/>
      </c>
      <c r="W2396" s="17">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7" t="n">
        <v>300</v>
      </c>
      <c r="U2397" s="17" t="n">
        <v>52</v>
      </c>
      <c r="V2397" s="17">
        <f>ROUNDUP((T2397+U2397+2*'Read Me'!$B$13)*(1+'Read Me'!$B$12),-1)</f>
        <v/>
      </c>
      <c r="W2397" s="17">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7" t="n">
        <v>300</v>
      </c>
      <c r="U2398" s="17" t="n">
        <v>52</v>
      </c>
      <c r="V2398" s="17">
        <f>ROUNDUP((T2398+U2398+2*'Read Me'!$B$13)*(1+'Read Me'!$B$12),-1)</f>
        <v/>
      </c>
      <c r="W2398" s="17">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7" t="n">
        <v>300</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7" t="n">
        <v>300</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7" t="n">
        <v>300</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7" t="n">
        <v>0</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7" t="n">
        <v>0</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7" t="n">
        <v>0</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7" t="n">
        <v>0</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7" t="n">
        <v>765</v>
      </c>
      <c r="U2406" s="17" t="n">
        <v>211</v>
      </c>
      <c r="V2406" s="17">
        <f>ROUNDUP((T2406+U2406+2*'Read Me'!$B$13)*(1+'Read Me'!$B$12),-1)</f>
        <v/>
      </c>
      <c r="W2406" s="17">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7" t="n">
        <v>765</v>
      </c>
      <c r="U2407" s="17" t="n">
        <v>211</v>
      </c>
      <c r="V2407" s="17">
        <f>ROUNDUP((T2407+U2407+2*'Read Me'!$B$13)*(1+'Read Me'!$B$12),-1)</f>
        <v/>
      </c>
      <c r="W2407" s="17">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7" t="n">
        <v>765</v>
      </c>
      <c r="U2408" s="17" t="n">
        <v>211</v>
      </c>
      <c r="V2408" s="17">
        <f>ROUNDUP((T2408+U2408+2*'Read Me'!$B$13)*(1+'Read Me'!$B$12),-1)</f>
        <v/>
      </c>
      <c r="W2408" s="17">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7" t="n">
        <v>765</v>
      </c>
      <c r="U2409" s="17" t="n">
        <v>211</v>
      </c>
      <c r="V2409" s="17">
        <f>ROUNDUP((T2409+U2409+2*'Read Me'!$B$13)*(1+'Read Me'!$B$12),-1)</f>
        <v/>
      </c>
      <c r="W2409" s="17">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7" t="n">
        <v>765</v>
      </c>
      <c r="U2410" s="17" t="n">
        <v>211</v>
      </c>
      <c r="V2410" s="17">
        <f>ROUNDUP((T2410+U2410+2*'Read Me'!$B$13)*(1+'Read Me'!$B$12),-1)</f>
        <v/>
      </c>
      <c r="W2410" s="17">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7" t="n">
        <v>765</v>
      </c>
      <c r="U2411" s="17" t="n">
        <v>211</v>
      </c>
      <c r="V2411" s="17">
        <f>ROUNDUP((T2411+U2411+2*'Read Me'!$B$13)*(1+'Read Me'!$B$12),-1)</f>
        <v/>
      </c>
      <c r="W2411" s="17">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7" t="n">
        <v>765</v>
      </c>
      <c r="U2412" s="17" t="n">
        <v>211</v>
      </c>
      <c r="V2412" s="17">
        <f>ROUNDUP((T2412+U2412+2*'Read Me'!$B$13)*(1+'Read Me'!$B$12),-1)</f>
        <v/>
      </c>
      <c r="W2412" s="17">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7" t="n">
        <v>765</v>
      </c>
      <c r="U2413" s="17" t="n">
        <v>211</v>
      </c>
      <c r="V2413" s="17">
        <f>ROUNDUP((T2413+U2413+2*'Read Me'!$B$13)*(1+'Read Me'!$B$12),-1)</f>
        <v/>
      </c>
      <c r="W2413" s="17">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7" t="n">
        <v>765</v>
      </c>
      <c r="U2414" s="17" t="n">
        <v>211</v>
      </c>
      <c r="V2414" s="17">
        <f>ROUNDUP((T2414+U2414+2*'Read Me'!$B$13)*(1+'Read Me'!$B$12),-1)</f>
        <v/>
      </c>
      <c r="W2414" s="17">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7" t="n">
        <v>765</v>
      </c>
      <c r="U2415" s="17" t="n">
        <v>211</v>
      </c>
      <c r="V2415" s="17">
        <f>ROUNDUP((T2415+U2415+2*'Read Me'!$B$13)*(1+'Read Me'!$B$12),-1)</f>
        <v/>
      </c>
      <c r="W2415" s="17">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7" t="n">
        <v>765</v>
      </c>
      <c r="U2416" s="17" t="n">
        <v>211</v>
      </c>
      <c r="V2416" s="17">
        <f>ROUNDUP((T2416+U2416+2*'Read Me'!$B$13)*(1+'Read Me'!$B$12),-1)</f>
        <v/>
      </c>
      <c r="W2416" s="17">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7" t="n">
        <v>765</v>
      </c>
      <c r="U2417" s="17" t="n">
        <v>211</v>
      </c>
      <c r="V2417" s="17">
        <f>ROUNDUP((T2417+U2417+2*'Read Me'!$B$13)*(1+'Read Me'!$B$12),-1)</f>
        <v/>
      </c>
      <c r="W2417" s="17">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7" t="n">
        <v>664</v>
      </c>
      <c r="U2418" s="17" t="n">
        <v>175</v>
      </c>
      <c r="V2418" s="17">
        <f>ROUNDUP((T2418+U2418+2*'Read Me'!$B$13)*(1+'Read Me'!$B$12),-1)</f>
        <v/>
      </c>
      <c r="W2418" s="17">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7" t="n">
        <v>664</v>
      </c>
      <c r="U2419" s="17" t="n">
        <v>175</v>
      </c>
      <c r="V2419" s="17">
        <f>ROUNDUP((T2419+U2419+2*'Read Me'!$B$13)*(1+'Read Me'!$B$12),-1)</f>
        <v/>
      </c>
      <c r="W2419" s="17">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7" t="n">
        <v>398</v>
      </c>
      <c r="U2420" s="17" t="n">
        <v>113</v>
      </c>
      <c r="V2420" s="17">
        <f>ROUNDUP((T2420+U2420+2*'Read Me'!$B$13)*(1+'Read Me'!$B$12),-1)</f>
        <v/>
      </c>
      <c r="W2420" s="17">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7" t="n">
        <v>0</v>
      </c>
      <c r="U2421" s="17" t="n">
        <v>54</v>
      </c>
      <c r="V2421" s="17">
        <f>ROUNDUP((T2421+U2421+2*'Read Me'!$B$13)*(1+'Read Me'!$B$12),-1)</f>
        <v/>
      </c>
      <c r="W2421" s="17">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7" t="n">
        <v>160</v>
      </c>
      <c r="U2422" s="17" t="n">
        <v>64</v>
      </c>
      <c r="V2422" s="17">
        <f>ROUNDUP((T2422+U2422+2*'Read Me'!$B$13)*(1+'Read Me'!$B$12),-1)</f>
        <v/>
      </c>
      <c r="W2422" s="17">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7" t="n">
        <v>160</v>
      </c>
      <c r="U2423" s="17" t="n">
        <v>64</v>
      </c>
      <c r="V2423" s="17">
        <f>ROUNDUP((T2423+U2423+2*'Read Me'!$B$13)*(1+'Read Me'!$B$12),-1)</f>
        <v/>
      </c>
      <c r="W2423" s="17">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7" t="n">
        <v>160</v>
      </c>
      <c r="U2424" s="17" t="n">
        <v>64</v>
      </c>
      <c r="V2424" s="17">
        <f>ROUNDUP((T2424+U2424+2*'Read Me'!$B$13)*(1+'Read Me'!$B$12),-1)</f>
        <v/>
      </c>
      <c r="W2424" s="17">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7" t="n">
        <v>160</v>
      </c>
      <c r="U2425" s="17" t="n">
        <v>64</v>
      </c>
      <c r="V2425" s="17">
        <f>ROUNDUP((T2425+U2425+2*'Read Me'!$B$13)*(1+'Read Me'!$B$12),-1)</f>
        <v/>
      </c>
      <c r="W2425" s="17">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7" t="n">
        <v>160</v>
      </c>
      <c r="U2426" s="17" t="n">
        <v>64</v>
      </c>
      <c r="V2426" s="17">
        <f>ROUNDUP((T2426+U2426+2*'Read Me'!$B$13)*(1+'Read Me'!$B$12),-1)</f>
        <v/>
      </c>
      <c r="W2426" s="17">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7" t="n">
        <v>160</v>
      </c>
      <c r="U2427" s="17" t="n">
        <v>64</v>
      </c>
      <c r="V2427" s="17">
        <f>ROUNDUP((T2427+U2427+2*'Read Me'!$B$13)*(1+'Read Me'!$B$12),-1)</f>
        <v/>
      </c>
      <c r="W2427" s="17">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7" t="n">
        <v>186</v>
      </c>
      <c r="U2428" s="17" t="n">
        <v>64</v>
      </c>
      <c r="V2428" s="17">
        <f>ROUNDUP((T2428+U2428+2*'Read Me'!$B$13)*(1+'Read Me'!$B$12),-1)</f>
        <v/>
      </c>
      <c r="W2428" s="17">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7" t="n">
        <v>186</v>
      </c>
      <c r="U2429" s="17" t="n">
        <v>64</v>
      </c>
      <c r="V2429" s="17">
        <f>ROUNDUP((T2429+U2429+2*'Read Me'!$B$13)*(1+'Read Me'!$B$12),-1)</f>
        <v/>
      </c>
      <c r="W2429" s="17">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7" t="n">
        <v>186</v>
      </c>
      <c r="U2430" s="17" t="n">
        <v>64</v>
      </c>
      <c r="V2430" s="17">
        <f>ROUNDUP((T2430+U2430+2*'Read Me'!$B$13)*(1+'Read Me'!$B$12),-1)</f>
        <v/>
      </c>
      <c r="W2430" s="17">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7" t="n">
        <v>186</v>
      </c>
      <c r="U2431" s="17" t="n">
        <v>64</v>
      </c>
      <c r="V2431" s="17">
        <f>ROUNDUP((T2431+U2431+2*'Read Me'!$B$13)*(1+'Read Me'!$B$12),-1)</f>
        <v/>
      </c>
      <c r="W2431" s="17">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7" t="n">
        <v>186</v>
      </c>
      <c r="U2432" s="17" t="n">
        <v>64</v>
      </c>
      <c r="V2432" s="17">
        <f>ROUNDUP((T2432+U2432+2*'Read Me'!$B$13)*(1+'Read Me'!$B$12),-1)</f>
        <v/>
      </c>
      <c r="W2432" s="17">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7" t="n">
        <v>186</v>
      </c>
      <c r="U2433" s="17" t="n">
        <v>64</v>
      </c>
      <c r="V2433" s="17">
        <f>ROUNDUP((T2433+U2433+2*'Read Me'!$B$13)*(1+'Read Me'!$B$12),-1)</f>
        <v/>
      </c>
      <c r="W2433" s="17">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7" t="n">
        <v>215</v>
      </c>
      <c r="U2434" s="17" t="n">
        <v>51</v>
      </c>
      <c r="V2434" s="17">
        <f>ROUNDUP((T2434+U2434+2*'Read Me'!$B$13)*(1+'Read Me'!$B$12),-1)</f>
        <v/>
      </c>
      <c r="W2434" s="17">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7" t="n">
        <v>215</v>
      </c>
      <c r="U2435" s="17" t="n">
        <v>51</v>
      </c>
      <c r="V2435" s="17">
        <f>ROUNDUP((T2435+U2435+2*'Read Me'!$B$13)*(1+'Read Me'!$B$12),-1)</f>
        <v/>
      </c>
      <c r="W2435" s="17">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7" t="n">
        <v>215</v>
      </c>
      <c r="U2436" s="17" t="n">
        <v>51</v>
      </c>
      <c r="V2436" s="17">
        <f>ROUNDUP((T2436+U2436+2*'Read Me'!$B$13)*(1+'Read Me'!$B$12),-1)</f>
        <v/>
      </c>
      <c r="W2436" s="17">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7" t="n">
        <v>215</v>
      </c>
      <c r="U2437" s="17" t="n">
        <v>51</v>
      </c>
      <c r="V2437" s="17">
        <f>ROUNDUP((T2437+U2437+2*'Read Me'!$B$13)*(1+'Read Me'!$B$12),-1)</f>
        <v/>
      </c>
      <c r="W2437" s="17">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7" t="n">
        <v>215</v>
      </c>
      <c r="U2438" s="17" t="n">
        <v>51</v>
      </c>
      <c r="V2438" s="17">
        <f>ROUNDUP((T2438+U2438+2*'Read Me'!$B$13)*(1+'Read Me'!$B$12),-1)</f>
        <v/>
      </c>
      <c r="W2438" s="17">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7" t="n">
        <v>215</v>
      </c>
      <c r="U2439" s="17" t="n">
        <v>51</v>
      </c>
      <c r="V2439" s="17">
        <f>ROUNDUP((T2439+U2439+2*'Read Me'!$B$13)*(1+'Read Me'!$B$12),-1)</f>
        <v/>
      </c>
      <c r="W2439" s="17">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7" t="n">
        <v>209</v>
      </c>
      <c r="U2440" s="17" t="n">
        <v>77</v>
      </c>
      <c r="V2440" s="17">
        <f>ROUNDUP((T2440+U2440+2*'Read Me'!$B$13)*(1+'Read Me'!$B$12),-1)</f>
        <v/>
      </c>
      <c r="W2440" s="17">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7" t="n">
        <v>209</v>
      </c>
      <c r="U2441" s="17" t="n">
        <v>77</v>
      </c>
      <c r="V2441" s="17">
        <f>ROUNDUP((T2441+U2441+2*'Read Me'!$B$13)*(1+'Read Me'!$B$12),-1)</f>
        <v/>
      </c>
      <c r="W2441" s="17">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7" t="n">
        <v>209</v>
      </c>
      <c r="U2442" s="17" t="n">
        <v>77</v>
      </c>
      <c r="V2442" s="17">
        <f>ROUNDUP((T2442+U2442+2*'Read Me'!$B$13)*(1+'Read Me'!$B$12),-1)</f>
        <v/>
      </c>
      <c r="W2442" s="17">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7" t="n">
        <v>209</v>
      </c>
      <c r="U2443" s="17" t="n">
        <v>77</v>
      </c>
      <c r="V2443" s="17">
        <f>ROUNDUP((T2443+U2443+2*'Read Me'!$B$13)*(1+'Read Me'!$B$12),-1)</f>
        <v/>
      </c>
      <c r="W2443" s="17">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7" t="n">
        <v>209</v>
      </c>
      <c r="U2444" s="17" t="n">
        <v>77</v>
      </c>
      <c r="V2444" s="17">
        <f>ROUNDUP((T2444+U2444+2*'Read Me'!$B$13)*(1+'Read Me'!$B$12),-1)</f>
        <v/>
      </c>
      <c r="W2444" s="17">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7" t="n">
        <v>209</v>
      </c>
      <c r="U2445" s="17" t="n">
        <v>77</v>
      </c>
      <c r="V2445" s="17">
        <f>ROUNDUP((T2445+U2445+2*'Read Me'!$B$13)*(1+'Read Me'!$B$12),-1)</f>
        <v/>
      </c>
      <c r="W2445" s="17">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7" t="n">
        <v>520</v>
      </c>
      <c r="U2446" s="17" t="n">
        <v>99</v>
      </c>
      <c r="V2446" s="17">
        <f>ROUNDUP((T2446+U2446+2*'Read Me'!$B$13)*(1+'Read Me'!$B$12),-1)</f>
        <v/>
      </c>
      <c r="W2446" s="17">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7" t="n">
        <v>520</v>
      </c>
      <c r="U2447" s="17" t="n">
        <v>99</v>
      </c>
      <c r="V2447" s="17">
        <f>ROUNDUP((T2447+U2447+2*'Read Me'!$B$13)*(1+'Read Me'!$B$12),-1)</f>
        <v/>
      </c>
      <c r="W2447" s="17">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7" t="n">
        <v>1173</v>
      </c>
      <c r="U2448" s="17" t="n">
        <v>147</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7" t="n">
        <v>1228</v>
      </c>
      <c r="U2449" s="17" t="n">
        <v>163</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7" t="n">
        <v>1310</v>
      </c>
      <c r="U2450" s="17" t="n">
        <v>128</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7" t="n">
        <v>1222</v>
      </c>
      <c r="U2451" s="17" t="n">
        <v>160</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7" t="n">
        <v>1215</v>
      </c>
      <c r="U2452" s="17" t="n">
        <v>274</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7" t="n">
        <v>855</v>
      </c>
      <c r="U2453" s="17" t="n">
        <v>155</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7" t="n">
        <v>1215</v>
      </c>
      <c r="U2454" s="17" t="n">
        <v>274</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7" t="n">
        <v>5824</v>
      </c>
      <c r="U2455" s="17" t="n">
        <v>0</v>
      </c>
      <c r="V2455" s="17">
        <f>ROUNDUP((T2455+U2455+2*'Read Me'!$B$13)*(1+'Read Me'!$B$12),-1)</f>
        <v/>
      </c>
      <c r="W2455" s="17">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274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274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274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7" t="n">
        <v>274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274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274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7" t="n">
        <v>274</v>
      </c>
      <c r="U2462" s="17" t="n">
        <v>40</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274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274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274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7" t="n">
        <v>274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274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274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7" t="n">
        <v>274</v>
      </c>
      <c r="U2469" s="17" t="n">
        <v>52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274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274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274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7" t="n">
        <v>274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274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274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7" t="n">
        <v>274</v>
      </c>
      <c r="U2476" s="17" t="n">
        <v>92</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7" t="n">
        <v>474</v>
      </c>
      <c r="U2477" s="17" t="n">
        <v>40</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7" t="n">
        <v>474</v>
      </c>
      <c r="U2478" s="17" t="n">
        <v>40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7" t="n">
        <v>474</v>
      </c>
      <c r="U2479" s="17" t="n">
        <v>40</v>
      </c>
      <c r="V2479" s="17">
        <f>ROUNDUP((T2479+U2479+2*'Read Me'!$B$13)*(1+'Read Me'!$B$12),-1)</f>
        <v/>
      </c>
      <c r="W2479" s="17">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7" t="n">
        <v>474</v>
      </c>
      <c r="U2480" s="17" t="n">
        <v>40</v>
      </c>
      <c r="V2480" s="17">
        <f>ROUNDUP((T2480+U2480+2*'Read Me'!$B$13)*(1+'Read Me'!$B$12),-1)</f>
        <v/>
      </c>
      <c r="W2480" s="17">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7" t="n">
        <v>474</v>
      </c>
      <c r="U2481" s="17" t="n">
        <v>40</v>
      </c>
      <c r="V2481" s="17">
        <f>ROUNDUP((T2481+U2481+2*'Read Me'!$B$13)*(1+'Read Me'!$B$12),-1)</f>
        <v/>
      </c>
      <c r="W2481" s="17">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7" t="n">
        <v>474</v>
      </c>
      <c r="U2482" s="17" t="n">
        <v>40</v>
      </c>
      <c r="V2482" s="17">
        <f>ROUNDUP((T2482+U2482+2*'Read Me'!$B$13)*(1+'Read Me'!$B$12),-1)</f>
        <v/>
      </c>
      <c r="W2482" s="17">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7" t="n">
        <v>474</v>
      </c>
      <c r="U2483" s="17" t="n">
        <v>40</v>
      </c>
      <c r="V2483" s="17">
        <f>ROUNDUP((T2483+U2483+2*'Read Me'!$B$13)*(1+'Read Me'!$B$12),-1)</f>
        <v/>
      </c>
      <c r="W2483" s="17">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7" t="n">
        <v>474</v>
      </c>
      <c r="U2484" s="17" t="n">
        <v>52</v>
      </c>
      <c r="V2484" s="17">
        <f>ROUNDUP((T2484+U2484+2*'Read Me'!$B$13)*(1+'Read Me'!$B$12),-1)</f>
        <v/>
      </c>
      <c r="W2484" s="17">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7" t="n">
        <v>474</v>
      </c>
      <c r="U2485" s="17" t="n">
        <v>52</v>
      </c>
      <c r="V2485" s="17">
        <f>ROUNDUP((T2485+U2485+2*'Read Me'!$B$13)*(1+'Read Me'!$B$12),-1)</f>
        <v/>
      </c>
      <c r="W2485" s="17">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7" t="n">
        <v>474</v>
      </c>
      <c r="U2486" s="17" t="n">
        <v>52</v>
      </c>
      <c r="V2486" s="17">
        <f>ROUNDUP((T2486+U2486+2*'Read Me'!$B$13)*(1+'Read Me'!$B$12),-1)</f>
        <v/>
      </c>
      <c r="W2486" s="17">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7" t="n">
        <v>474</v>
      </c>
      <c r="U2487" s="17" t="n">
        <v>52</v>
      </c>
      <c r="V2487" s="17">
        <f>ROUNDUP((T2487+U2487+2*'Read Me'!$B$13)*(1+'Read Me'!$B$12),-1)</f>
        <v/>
      </c>
      <c r="W2487" s="17">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7" t="n">
        <v>474</v>
      </c>
      <c r="U2488" s="17" t="n">
        <v>52</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7" t="n">
        <v>474</v>
      </c>
      <c r="U2489" s="17" t="n">
        <v>52</v>
      </c>
      <c r="V2489" s="17">
        <f>ROUNDUP((T2489+U2489+2*'Read Me'!$B$13)*(1+'Read Me'!$B$12),-1)</f>
        <v/>
      </c>
      <c r="W2489" s="17">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7" t="n">
        <v>474</v>
      </c>
      <c r="U2490" s="17" t="n">
        <v>52</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7" t="n">
        <v>474</v>
      </c>
      <c r="U2491" s="17" t="n">
        <v>92</v>
      </c>
      <c r="V2491" s="17">
        <f>ROUNDUP((T2491+U2491+2*'Read Me'!$B$13)*(1+'Read Me'!$B$12),-1)</f>
        <v/>
      </c>
      <c r="W2491" s="17">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7" t="n">
        <v>474</v>
      </c>
      <c r="U2492" s="17" t="n">
        <v>92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7" t="n">
        <v>474</v>
      </c>
      <c r="U2493" s="17" t="n">
        <v>92</v>
      </c>
      <c r="V2493" s="17">
        <f>ROUNDUP((T2493+U2493+2*'Read Me'!$B$13)*(1+'Read Me'!$B$12),-1)</f>
        <v/>
      </c>
      <c r="W2493" s="17">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7" t="n">
        <v>474</v>
      </c>
      <c r="U2494" s="17" t="n">
        <v>92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7" t="n">
        <v>474</v>
      </c>
      <c r="U2495" s="17" t="n">
        <v>92</v>
      </c>
      <c r="V2495" s="17">
        <f>ROUNDUP((T2495+U2495+2*'Read Me'!$B$13)*(1+'Read Me'!$B$12),-1)</f>
        <v/>
      </c>
      <c r="W2495" s="17">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7" t="n">
        <v>474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7" t="n">
        <v>474</v>
      </c>
      <c r="U2497" s="17" t="n">
        <v>92</v>
      </c>
      <c r="V2497" s="17">
        <f>ROUNDUP((T2497+U2497+2*'Read Me'!$B$13)*(1+'Read Me'!$B$12),-1)</f>
        <v/>
      </c>
      <c r="W2497" s="17">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7" t="n">
        <v>674</v>
      </c>
      <c r="U2498" s="17" t="n">
        <v>40</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7" t="n">
        <v>674</v>
      </c>
      <c r="U2499" s="17" t="n">
        <v>40</v>
      </c>
      <c r="V2499" s="17">
        <f>ROUNDUP((T2499+U2499+2*'Read Me'!$B$13)*(1+'Read Me'!$B$12),-1)</f>
        <v/>
      </c>
      <c r="W2499" s="17">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7" t="n">
        <v>674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7" t="n">
        <v>674</v>
      </c>
      <c r="U2501" s="17" t="n">
        <v>40</v>
      </c>
      <c r="V2501" s="17">
        <f>ROUNDUP((T2501+U2501+2*'Read Me'!$B$13)*(1+'Read Me'!$B$12),-1)</f>
        <v/>
      </c>
      <c r="W2501" s="17">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7" t="n">
        <v>674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7" t="n">
        <v>674</v>
      </c>
      <c r="U2503" s="17" t="n">
        <v>40</v>
      </c>
      <c r="V2503" s="17">
        <f>ROUNDUP((T2503+U2503+2*'Read Me'!$B$13)*(1+'Read Me'!$B$12),-1)</f>
        <v/>
      </c>
      <c r="W2503" s="17">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7" t="n">
        <v>674</v>
      </c>
      <c r="U2504" s="17" t="n">
        <v>40</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7" t="n">
        <v>674</v>
      </c>
      <c r="U2505" s="17" t="n">
        <v>52</v>
      </c>
      <c r="V2505" s="17">
        <f>ROUNDUP((T2505+U2505+2*'Read Me'!$B$13)*(1+'Read Me'!$B$12),-1)</f>
        <v/>
      </c>
      <c r="W2505" s="17">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7" t="n">
        <v>674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7" t="n">
        <v>674</v>
      </c>
      <c r="U2507" s="17" t="n">
        <v>52</v>
      </c>
      <c r="V2507" s="17">
        <f>ROUNDUP((T2507+U2507+2*'Read Me'!$B$13)*(1+'Read Me'!$B$12),-1)</f>
        <v/>
      </c>
      <c r="W2507" s="17">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7" t="n">
        <v>674</v>
      </c>
      <c r="U2508" s="17" t="n">
        <v>52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7" t="n">
        <v>674</v>
      </c>
      <c r="U2509" s="17" t="n">
        <v>52</v>
      </c>
      <c r="V2509" s="17">
        <f>ROUNDUP((T2509+U2509+2*'Read Me'!$B$13)*(1+'Read Me'!$B$12),-1)</f>
        <v/>
      </c>
      <c r="W2509" s="17">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7" t="n">
        <v>674</v>
      </c>
      <c r="U2510" s="17" t="n">
        <v>52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7" t="n">
        <v>674</v>
      </c>
      <c r="U2511" s="17" t="n">
        <v>52</v>
      </c>
      <c r="V2511" s="17">
        <f>ROUNDUP((T2511+U2511+2*'Read Me'!$B$13)*(1+'Read Me'!$B$12),-1)</f>
        <v/>
      </c>
      <c r="W2511" s="17">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7" t="n">
        <v>674</v>
      </c>
      <c r="U2512" s="17" t="n">
        <v>92</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7" t="n">
        <v>674</v>
      </c>
      <c r="U2513" s="17" t="n">
        <v>92</v>
      </c>
      <c r="V2513" s="17">
        <f>ROUNDUP((T2513+U2513+2*'Read Me'!$B$13)*(1+'Read Me'!$B$12),-1)</f>
        <v/>
      </c>
      <c r="W2513" s="17">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7" t="n">
        <v>674</v>
      </c>
      <c r="U2514" s="17" t="n">
        <v>92</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7" t="n">
        <v>674</v>
      </c>
      <c r="U2515" s="17" t="n">
        <v>92</v>
      </c>
      <c r="V2515" s="17">
        <f>ROUNDUP((T2515+U2515+2*'Read Me'!$B$13)*(1+'Read Me'!$B$12),-1)</f>
        <v/>
      </c>
      <c r="W2515" s="17">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7" t="n">
        <v>674</v>
      </c>
      <c r="U2516" s="17" t="n">
        <v>92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7" t="n">
        <v>674</v>
      </c>
      <c r="U2517" s="17" t="n">
        <v>92</v>
      </c>
      <c r="V2517" s="17">
        <f>ROUNDUP((T2517+U2517+2*'Read Me'!$B$13)*(1+'Read Me'!$B$12),-1)</f>
        <v/>
      </c>
      <c r="W2517" s="17">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7" t="n">
        <v>674</v>
      </c>
      <c r="U2518" s="17" t="n">
        <v>92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7" t="n">
        <v>1294</v>
      </c>
      <c r="U2519" s="17" t="n">
        <v>40</v>
      </c>
      <c r="V2519" s="17">
        <f>ROUNDUP((T2519+U2519+2*'Read Me'!$B$13)*(1+'Read Me'!$B$12),-1)</f>
        <v/>
      </c>
      <c r="W2519" s="17">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7" t="n">
        <v>1294</v>
      </c>
      <c r="U2520" s="17" t="n">
        <v>40</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7" t="n">
        <v>1294</v>
      </c>
      <c r="U2521" s="17" t="n">
        <v>40</v>
      </c>
      <c r="V2521" s="17">
        <f>ROUNDUP((T2521+U2521+2*'Read Me'!$B$13)*(1+'Read Me'!$B$12),-1)</f>
        <v/>
      </c>
      <c r="W2521" s="17">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7" t="n">
        <v>1294</v>
      </c>
      <c r="U2522" s="17" t="n">
        <v>40</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7" t="n">
        <v>1294</v>
      </c>
      <c r="U2523" s="17" t="n">
        <v>40</v>
      </c>
      <c r="V2523" s="17">
        <f>ROUNDUP((T2523+U2523+2*'Read Me'!$B$13)*(1+'Read Me'!$B$12),-1)</f>
        <v/>
      </c>
      <c r="W2523" s="17">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7" t="n">
        <v>1294</v>
      </c>
      <c r="U2525" s="17" t="n">
        <v>40</v>
      </c>
      <c r="V2525" s="17">
        <f>ROUNDUP((T2525+U2525+2*'Read Me'!$B$13)*(1+'Read Me'!$B$12),-1)</f>
        <v/>
      </c>
      <c r="W2525" s="17">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7" t="n">
        <v>1294</v>
      </c>
      <c r="U2526" s="17" t="n">
        <v>52</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7" t="n">
        <v>1294</v>
      </c>
      <c r="U2527" s="17" t="n">
        <v>52</v>
      </c>
      <c r="V2527" s="17">
        <f>ROUNDUP((T2527+U2527+2*'Read Me'!$B$13)*(1+'Read Me'!$B$12),-1)</f>
        <v/>
      </c>
      <c r="W2527" s="17">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7" t="n">
        <v>1294</v>
      </c>
      <c r="U2529" s="17" t="n">
        <v>52</v>
      </c>
      <c r="V2529" s="17">
        <f>ROUNDUP((T2529+U2529+2*'Read Me'!$B$13)*(1+'Read Me'!$B$12),-1)</f>
        <v/>
      </c>
      <c r="W2529" s="17">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7" t="n">
        <v>1294</v>
      </c>
      <c r="U2531" s="17" t="n">
        <v>52</v>
      </c>
      <c r="V2531" s="17">
        <f>ROUNDUP((T2531+U2531+2*'Read Me'!$B$13)*(1+'Read Me'!$B$12),-1)</f>
        <v/>
      </c>
      <c r="W2531" s="17">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7" t="n">
        <v>1294</v>
      </c>
      <c r="U2532" s="17" t="n">
        <v>52</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7" t="n">
        <v>1340</v>
      </c>
      <c r="U2533" s="17" t="n">
        <v>46</v>
      </c>
      <c r="V2533" s="17">
        <f>ROUNDUP((T2533+U2533+2*'Read Me'!$B$13)*(1+'Read Me'!$B$12),-1)</f>
        <v/>
      </c>
      <c r="W2533" s="17">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7" t="n">
        <v>1340</v>
      </c>
      <c r="U2535" s="17" t="n">
        <v>46</v>
      </c>
      <c r="V2535" s="17">
        <f>ROUNDUP((T2535+U2535+2*'Read Me'!$B$13)*(1+'Read Me'!$B$12),-1)</f>
        <v/>
      </c>
      <c r="W2535" s="17">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7" t="n">
        <v>1340</v>
      </c>
      <c r="U2536" s="17" t="n">
        <v>46</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7" t="n">
        <v>1340</v>
      </c>
      <c r="U2537" s="17" t="n">
        <v>46</v>
      </c>
      <c r="V2537" s="17">
        <f>ROUNDUP((T2537+U2537+2*'Read Me'!$B$13)*(1+'Read Me'!$B$12),-1)</f>
        <v/>
      </c>
      <c r="W2537" s="17">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7" t="n">
        <v>1340</v>
      </c>
      <c r="U2538" s="17" t="n">
        <v>46</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7" t="n">
        <v>1340</v>
      </c>
      <c r="U2539" s="17" t="n">
        <v>46</v>
      </c>
      <c r="V2539" s="17">
        <f>ROUNDUP((T2539+U2539+2*'Read Me'!$B$13)*(1+'Read Me'!$B$12),-1)</f>
        <v/>
      </c>
      <c r="W2539" s="17">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7" t="n">
        <v>1434</v>
      </c>
      <c r="U2540" s="17" t="n">
        <v>40</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7" t="n">
        <v>1434</v>
      </c>
      <c r="U2541" s="17" t="n">
        <v>40</v>
      </c>
      <c r="V2541" s="17">
        <f>ROUNDUP((T2541+U2541+2*'Read Me'!$B$13)*(1+'Read Me'!$B$12),-1)</f>
        <v/>
      </c>
      <c r="W2541" s="17">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7" t="n">
        <v>1434</v>
      </c>
      <c r="U2542" s="17" t="n">
        <v>40</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7" t="n">
        <v>1434</v>
      </c>
      <c r="U2543" s="17" t="n">
        <v>40</v>
      </c>
      <c r="V2543" s="17">
        <f>ROUNDUP((T2543+U2543+2*'Read Me'!$B$13)*(1+'Read Me'!$B$12),-1)</f>
        <v/>
      </c>
      <c r="W2543" s="17">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7" t="n">
        <v>1434</v>
      </c>
      <c r="U2544" s="17" t="n">
        <v>40</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7" t="n">
        <v>1434</v>
      </c>
      <c r="U2545" s="17" t="n">
        <v>40</v>
      </c>
      <c r="V2545" s="17">
        <f>ROUNDUP((T2545+U2545+2*'Read Me'!$B$13)*(1+'Read Me'!$B$12),-1)</f>
        <v/>
      </c>
      <c r="W2545" s="17">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7" t="n">
        <v>1434</v>
      </c>
      <c r="U2546" s="17" t="n">
        <v>40</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7" t="n">
        <v>1434</v>
      </c>
      <c r="U2547" s="17" t="n">
        <v>52</v>
      </c>
      <c r="V2547" s="17">
        <f>ROUNDUP((T2547+U2547+2*'Read Me'!$B$13)*(1+'Read Me'!$B$12),-1)</f>
        <v/>
      </c>
      <c r="W2547" s="17">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7" t="n">
        <v>1434</v>
      </c>
      <c r="U2548" s="17" t="n">
        <v>52</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7" t="n">
        <v>1434</v>
      </c>
      <c r="U2549" s="17" t="n">
        <v>52</v>
      </c>
      <c r="V2549" s="17">
        <f>ROUNDUP((T2549+U2549+2*'Read Me'!$B$13)*(1+'Read Me'!$B$12),-1)</f>
        <v/>
      </c>
      <c r="W2549" s="17">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7" t="n">
        <v>1434</v>
      </c>
      <c r="U2550" s="17" t="n">
        <v>52</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7" t="n">
        <v>1434</v>
      </c>
      <c r="U2551" s="17" t="n">
        <v>52</v>
      </c>
      <c r="V2551" s="17">
        <f>ROUNDUP((T2551+U2551+2*'Read Me'!$B$13)*(1+'Read Me'!$B$12),-1)</f>
        <v/>
      </c>
      <c r="W2551" s="17">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7" t="n">
        <v>1434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7" t="n">
        <v>1434</v>
      </c>
      <c r="U2553" s="17" t="n">
        <v>52</v>
      </c>
      <c r="V2553" s="17">
        <f>ROUNDUP((T2553+U2553+2*'Read Me'!$B$13)*(1+'Read Me'!$B$12),-1)</f>
        <v/>
      </c>
      <c r="W2553" s="17">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7" t="n">
        <v>1434</v>
      </c>
      <c r="U2554" s="17" t="n">
        <v>92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7" t="n">
        <v>1434</v>
      </c>
      <c r="U2555" s="17" t="n">
        <v>92</v>
      </c>
      <c r="V2555" s="17">
        <f>ROUNDUP((T2555+U2555+2*'Read Me'!$B$13)*(1+'Read Me'!$B$12),-1)</f>
        <v/>
      </c>
      <c r="W2555" s="17">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7" t="n">
        <v>1434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7" t="n">
        <v>1434</v>
      </c>
      <c r="U2557" s="17" t="n">
        <v>92</v>
      </c>
      <c r="V2557" s="17">
        <f>ROUNDUP((T2557+U2557+2*'Read Me'!$B$13)*(1+'Read Me'!$B$12),-1)</f>
        <v/>
      </c>
      <c r="W2557" s="17">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7" t="n">
        <v>1434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7" t="n">
        <v>1434</v>
      </c>
      <c r="U2559" s="17" t="n">
        <v>92</v>
      </c>
      <c r="V2559" s="17">
        <f>ROUNDUP((T2559+U2559+2*'Read Me'!$B$13)*(1+'Read Me'!$B$12),-1)</f>
        <v/>
      </c>
      <c r="W2559" s="17">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7" t="n">
        <v>1434</v>
      </c>
      <c r="U2560" s="17" t="n">
        <v>92</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7" t="n">
        <v>1584</v>
      </c>
      <c r="U2561" s="17" t="n">
        <v>40</v>
      </c>
      <c r="V2561" s="17">
        <f>ROUNDUP((T2561+U2561+2*'Read Me'!$B$13)*(1+'Read Me'!$B$12),-1)</f>
        <v/>
      </c>
      <c r="W2561" s="17">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7" t="n">
        <v>1584</v>
      </c>
      <c r="U2562" s="17" t="n">
        <v>40</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7" t="n">
        <v>1584</v>
      </c>
      <c r="U2563" s="17" t="n">
        <v>40</v>
      </c>
      <c r="V2563" s="17">
        <f>ROUNDUP((T2563+U2563+2*'Read Me'!$B$13)*(1+'Read Me'!$B$12),-1)</f>
        <v/>
      </c>
      <c r="W2563" s="17">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7" t="n">
        <v>1584</v>
      </c>
      <c r="U2564" s="17" t="n">
        <v>40</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7" t="n">
        <v>1584</v>
      </c>
      <c r="U2565" s="17" t="n">
        <v>40</v>
      </c>
      <c r="V2565" s="17">
        <f>ROUNDUP((T2565+U2565+2*'Read Me'!$B$13)*(1+'Read Me'!$B$12),-1)</f>
        <v/>
      </c>
      <c r="W2565" s="17">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7" t="n">
        <v>1584</v>
      </c>
      <c r="U2566" s="17" t="n">
        <v>40</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7" t="n">
        <v>1584</v>
      </c>
      <c r="U2567" s="17" t="n">
        <v>40</v>
      </c>
      <c r="V2567" s="17">
        <f>ROUNDUP((T2567+U2567+2*'Read Me'!$B$13)*(1+'Read Me'!$B$12),-1)</f>
        <v/>
      </c>
      <c r="W2567" s="17">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7" t="n">
        <v>1584</v>
      </c>
      <c r="U2568" s="17" t="n">
        <v>52</v>
      </c>
      <c r="V2568" s="17">
        <f>ROUNDUP((T2568+U2568+2*'Read Me'!$B$13)*(1+'Read Me'!$B$12),-1)</f>
        <v/>
      </c>
      <c r="W2568" s="17">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7" t="n">
        <v>1584</v>
      </c>
      <c r="U2569" s="17" t="n">
        <v>52</v>
      </c>
      <c r="V2569" s="17">
        <f>ROUNDUP((T2569+U2569+2*'Read Me'!$B$13)*(1+'Read Me'!$B$12),-1)</f>
        <v/>
      </c>
      <c r="W2569" s="17">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7" t="n">
        <v>1584</v>
      </c>
      <c r="U2570" s="17" t="n">
        <v>52</v>
      </c>
      <c r="V2570" s="17">
        <f>ROUNDUP((T2570+U2570+2*'Read Me'!$B$13)*(1+'Read Me'!$B$12),-1)</f>
        <v/>
      </c>
      <c r="W2570" s="17">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7" t="n">
        <v>1584</v>
      </c>
      <c r="U2571" s="17" t="n">
        <v>52</v>
      </c>
      <c r="V2571" s="17">
        <f>ROUNDUP((T2571+U2571+2*'Read Me'!$B$13)*(1+'Read Me'!$B$12),-1)</f>
        <v/>
      </c>
      <c r="W2571" s="17">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7" t="n">
        <v>1584</v>
      </c>
      <c r="U2572" s="17" t="n">
        <v>52</v>
      </c>
      <c r="V2572" s="17">
        <f>ROUNDUP((T2572+U2572+2*'Read Me'!$B$13)*(1+'Read Me'!$B$12),-1)</f>
        <v/>
      </c>
      <c r="W2572" s="17">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7" t="n">
        <v>1584</v>
      </c>
      <c r="U2573" s="17" t="n">
        <v>52</v>
      </c>
      <c r="V2573" s="17">
        <f>ROUNDUP((T2573+U2573+2*'Read Me'!$B$13)*(1+'Read Me'!$B$12),-1)</f>
        <v/>
      </c>
      <c r="W2573" s="17">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7" t="n">
        <v>1584</v>
      </c>
      <c r="U2574" s="17" t="n">
        <v>52</v>
      </c>
      <c r="V2574" s="17">
        <f>ROUNDUP((T2574+U2574+2*'Read Me'!$B$13)*(1+'Read Me'!$B$12),-1)</f>
        <v/>
      </c>
      <c r="W2574" s="17">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7" t="n">
        <v>1584</v>
      </c>
      <c r="U2575" s="17" t="n">
        <v>92</v>
      </c>
      <c r="V2575" s="17">
        <f>ROUNDUP((T2575+U2575+2*'Read Me'!$B$13)*(1+'Read Me'!$B$12),-1)</f>
        <v/>
      </c>
      <c r="W2575" s="17">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7" t="n">
        <v>1584</v>
      </c>
      <c r="U2576" s="17" t="n">
        <v>92</v>
      </c>
      <c r="V2576" s="17">
        <f>ROUNDUP((T2576+U2576+2*'Read Me'!$B$13)*(1+'Read Me'!$B$12),-1)</f>
        <v/>
      </c>
      <c r="W2576" s="17">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7" t="n">
        <v>1584</v>
      </c>
      <c r="U2577" s="17" t="n">
        <v>92</v>
      </c>
      <c r="V2577" s="17">
        <f>ROUNDUP((T2577+U2577+2*'Read Me'!$B$13)*(1+'Read Me'!$B$12),-1)</f>
        <v/>
      </c>
      <c r="W2577" s="17">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7" t="n">
        <v>1584</v>
      </c>
      <c r="U2578" s="17" t="n">
        <v>92</v>
      </c>
      <c r="V2578" s="17">
        <f>ROUNDUP((T2578+U2578+2*'Read Me'!$B$13)*(1+'Read Me'!$B$12),-1)</f>
        <v/>
      </c>
      <c r="W2578" s="17">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7" t="n">
        <v>1584</v>
      </c>
      <c r="U2579" s="17" t="n">
        <v>92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7" t="n">
        <v>1584</v>
      </c>
      <c r="U2580" s="17" t="n">
        <v>92</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7" t="n">
        <v>1584</v>
      </c>
      <c r="U2581" s="17" t="n">
        <v>92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7" t="n">
        <v>0</v>
      </c>
      <c r="U2582" s="17" t="n">
        <v>30</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7" t="n">
        <v>809</v>
      </c>
      <c r="U2583" s="17" t="n">
        <v>32</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7" t="n">
        <v>0</v>
      </c>
      <c r="U2584" s="17" t="n">
        <v>30</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1222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7" t="n">
        <v>73320</v>
      </c>
      <c r="U2585" s="17" t="n">
        <v>0</v>
      </c>
      <c r="V2585" s="17">
        <f>ROUNDUP((T2585+U2585+2*'Read Me'!$B$13)*(1+'Read Me'!$B$12),-1)</f>
        <v/>
      </c>
      <c r="W2585" s="17">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7" t="n">
        <v>68700</v>
      </c>
      <c r="U2586" s="17" t="n">
        <v>0</v>
      </c>
      <c r="V2586" s="17">
        <f>ROUNDUP((T2586+U2586+2*'Read Me'!$B$13)*(1+'Read Me'!$B$12),-1)</f>
        <v/>
      </c>
      <c r="W2586" s="17">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7" t="n">
        <v>182</v>
      </c>
      <c r="U2587" s="17" t="n">
        <v>80</v>
      </c>
      <c r="V2587" s="17">
        <f>ROUNDUP((T2587+U2587+2*'Read Me'!$B$13)*(1+'Read Me'!$B$12),-1)</f>
        <v/>
      </c>
      <c r="W2587" s="17">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7" t="n">
        <v>1486</v>
      </c>
      <c r="U2588" s="17" t="n">
        <v>80</v>
      </c>
      <c r="V2588" s="17">
        <f>ROUNDUP((T2588+U2588+2*'Read Me'!$B$13)*(1+'Read Me'!$B$12),-1)</f>
        <v/>
      </c>
      <c r="W2588" s="17">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7" t="n">
        <v>1536</v>
      </c>
      <c r="U2589" s="17" t="n">
        <v>80</v>
      </c>
      <c r="V2589" s="17">
        <f>ROUNDUP((T2589+U2589+2*'Read Me'!$B$13)*(1+'Read Me'!$B$12),-1)</f>
        <v/>
      </c>
      <c r="W2589" s="17">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7" t="n">
        <v>1720</v>
      </c>
      <c r="U2590" s="17" t="n">
        <v>80</v>
      </c>
      <c r="V2590" s="17">
        <f>ROUNDUP((T2590+U2590+2*'Read Me'!$B$13)*(1+'Read Me'!$B$12),-1)</f>
        <v/>
      </c>
      <c r="W2590" s="17">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7" t="n">
        <v>12</v>
      </c>
      <c r="U2591" s="17" t="n">
        <v>80</v>
      </c>
      <c r="V2591" s="17">
        <f>ROUNDUP((T2591+U2591+2*'Read Me'!$B$13)*(1+'Read Me'!$B$12),-1)</f>
        <v/>
      </c>
      <c r="W2591" s="17">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7" t="n">
        <v>10</v>
      </c>
      <c r="U2592" s="17" t="n">
        <v>80</v>
      </c>
      <c r="V2592" s="17">
        <f>ROUNDUP((T2592+U2592+2*'Read Me'!$B$13)*(1+'Read Me'!$B$12),-1)</f>
        <v/>
      </c>
      <c r="W2592" s="17">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7" t="n">
        <v>52</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7" t="n">
        <v>274</v>
      </c>
      <c r="U2594" s="17" t="n">
        <v>40</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7" t="n">
        <v>52</v>
      </c>
      <c r="U2595" s="17" t="n">
        <v>10</v>
      </c>
      <c r="V2595" s="17">
        <f>ROUNDUP((T2595+U2595+2*'Read Me'!$B$13)*(1+'Read Me'!$B$12),-1)</f>
        <v/>
      </c>
      <c r="W2595" s="17">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7" t="n">
        <v>274</v>
      </c>
      <c r="U2596" s="17" t="n">
        <v>40</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7" t="n">
        <v>52</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7" t="n">
        <v>274</v>
      </c>
      <c r="U2598" s="17" t="n">
        <v>52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7" t="n">
        <v>52</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7" t="n">
        <v>274</v>
      </c>
      <c r="U2600" s="17" t="n">
        <v>52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7" t="n">
        <v>52</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7" t="n">
        <v>274</v>
      </c>
      <c r="U2602" s="17" t="n">
        <v>92</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7" t="n">
        <v>52</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7" t="n">
        <v>274</v>
      </c>
      <c r="U2604" s="17" t="n">
        <v>92</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7" t="n">
        <v>52</v>
      </c>
      <c r="U2605" s="17" t="n">
        <v>10</v>
      </c>
      <c r="V2605" s="17">
        <f>ROUNDUP((T2605+U2605+2*'Read Me'!$B$13)*(1+'Read Me'!$B$12),-1)</f>
        <v/>
      </c>
      <c r="W2605" s="17">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7" t="n">
        <v>474</v>
      </c>
      <c r="U2606" s="17" t="n">
        <v>40</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7" t="n">
        <v>52</v>
      </c>
      <c r="U2607" s="17" t="n">
        <v>10</v>
      </c>
      <c r="V2607" s="17">
        <f>ROUNDUP((T2607+U2607+2*'Read Me'!$B$13)*(1+'Read Me'!$B$12),-1)</f>
        <v/>
      </c>
      <c r="W2607" s="17">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7" t="n">
        <v>474</v>
      </c>
      <c r="U2608" s="17" t="n">
        <v>40</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7" t="n">
        <v>52</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7" t="n">
        <v>474</v>
      </c>
      <c r="U2610" s="17" t="n">
        <v>52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7" t="n">
        <v>52</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7" t="n">
        <v>474</v>
      </c>
      <c r="U2612" s="17" t="n">
        <v>52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7" t="n">
        <v>52</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7" t="n">
        <v>474</v>
      </c>
      <c r="U2614" s="17" t="n">
        <v>92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7" t="n">
        <v>52</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7" t="n">
        <v>474</v>
      </c>
      <c r="U2616" s="17" t="n">
        <v>92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7" t="n">
        <v>52</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7" t="n">
        <v>674</v>
      </c>
      <c r="U2618" s="17" t="n">
        <v>40</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7" t="n">
        <v>52</v>
      </c>
      <c r="U2619" s="17" t="n">
        <v>10</v>
      </c>
      <c r="V2619" s="17">
        <f>ROUNDUP((T2619+U2619+2*'Read Me'!$B$13)*(1+'Read Me'!$B$12),-1)</f>
        <v/>
      </c>
      <c r="W2619" s="17">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7" t="n">
        <v>674</v>
      </c>
      <c r="U2620" s="17" t="n">
        <v>40</v>
      </c>
      <c r="V2620" s="17">
        <f>ROUNDUP((T2620+U2620+2*'Read Me'!$B$13)*(1+'Read Me'!$B$12),-1)</f>
        <v/>
      </c>
      <c r="W2620" s="17">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7" t="n">
        <v>52</v>
      </c>
      <c r="U2621" s="17" t="n">
        <v>10</v>
      </c>
      <c r="V2621" s="17">
        <f>ROUNDUP((T2621+U2621+2*'Read Me'!$B$13)*(1+'Read Me'!$B$12),-1)</f>
        <v/>
      </c>
      <c r="W2621" s="17">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7" t="n">
        <v>674</v>
      </c>
      <c r="U2622" s="17" t="n">
        <v>52</v>
      </c>
      <c r="V2622" s="17">
        <f>ROUNDUP((T2622+U2622+2*'Read Me'!$B$13)*(1+'Read Me'!$B$12),-1)</f>
        <v/>
      </c>
      <c r="W2622" s="17">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7" t="n">
        <v>52</v>
      </c>
      <c r="U2623" s="17" t="n">
        <v>10</v>
      </c>
      <c r="V2623" s="17">
        <f>ROUNDUP((T2623+U2623+2*'Read Me'!$B$13)*(1+'Read Me'!$B$12),-1)</f>
        <v/>
      </c>
      <c r="W2623" s="17">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7" t="n">
        <v>674</v>
      </c>
      <c r="U2624" s="17" t="n">
        <v>52</v>
      </c>
      <c r="V2624" s="17">
        <f>ROUNDUP((T2624+U2624+2*'Read Me'!$B$13)*(1+'Read Me'!$B$12),-1)</f>
        <v/>
      </c>
      <c r="W2624" s="17">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7" t="n">
        <v>52</v>
      </c>
      <c r="U2625" s="17" t="n">
        <v>10</v>
      </c>
      <c r="V2625" s="17">
        <f>ROUNDUP((T2625+U2625+2*'Read Me'!$B$13)*(1+'Read Me'!$B$12),-1)</f>
        <v/>
      </c>
      <c r="W2625" s="17">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7" t="n">
        <v>674</v>
      </c>
      <c r="U2626" s="17" t="n">
        <v>92</v>
      </c>
      <c r="V2626" s="17">
        <f>ROUNDUP((T2626+U2626+2*'Read Me'!$B$13)*(1+'Read Me'!$B$12),-1)</f>
        <v/>
      </c>
      <c r="W2626" s="17">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7" t="n">
        <v>52</v>
      </c>
      <c r="U2627" s="17" t="n">
        <v>10</v>
      </c>
      <c r="V2627" s="17">
        <f>ROUNDUP((T2627+U2627+2*'Read Me'!$B$13)*(1+'Read Me'!$B$12),-1)</f>
        <v/>
      </c>
      <c r="W2627" s="17">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7" t="n">
        <v>674</v>
      </c>
      <c r="U2628" s="17" t="n">
        <v>92</v>
      </c>
      <c r="V2628" s="17">
        <f>ROUNDUP((T2628+U2628+2*'Read Me'!$B$13)*(1+'Read Me'!$B$12),-1)</f>
        <v/>
      </c>
      <c r="W2628" s="17">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7" t="n">
        <v>52</v>
      </c>
      <c r="U2629" s="17" t="n">
        <v>10</v>
      </c>
      <c r="V2629" s="17">
        <f>ROUNDUP((T2629+U2629+2*'Read Me'!$B$13)*(1+'Read Me'!$B$12),-1)</f>
        <v/>
      </c>
      <c r="W2629" s="17">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7" t="n">
        <v>1294</v>
      </c>
      <c r="U2630" s="17" t="n">
        <v>40</v>
      </c>
      <c r="V2630" s="17">
        <f>ROUNDUP((T2630+U2630+2*'Read Me'!$B$13)*(1+'Read Me'!$B$12),-1)</f>
        <v/>
      </c>
      <c r="W2630" s="17">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7" t="n">
        <v>52</v>
      </c>
      <c r="U2631" s="17" t="n">
        <v>10</v>
      </c>
      <c r="V2631" s="17">
        <f>ROUNDUP((T2631+U2631+2*'Read Me'!$B$13)*(1+'Read Me'!$B$12),-1)</f>
        <v/>
      </c>
      <c r="W2631" s="17">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7" t="n">
        <v>1294</v>
      </c>
      <c r="U2632" s="17" t="n">
        <v>40</v>
      </c>
      <c r="V2632" s="17">
        <f>ROUNDUP((T2632+U2632+2*'Read Me'!$B$13)*(1+'Read Me'!$B$12),-1)</f>
        <v/>
      </c>
      <c r="W2632" s="17">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7" t="n">
        <v>52</v>
      </c>
      <c r="U2633" s="17" t="n">
        <v>10</v>
      </c>
      <c r="V2633" s="17">
        <f>ROUNDUP((T2633+U2633+2*'Read Me'!$B$13)*(1+'Read Me'!$B$12),-1)</f>
        <v/>
      </c>
      <c r="W2633" s="17">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7" t="n">
        <v>1294</v>
      </c>
      <c r="U2634" s="17" t="n">
        <v>52</v>
      </c>
      <c r="V2634" s="17">
        <f>ROUNDUP((T2634+U2634+2*'Read Me'!$B$13)*(1+'Read Me'!$B$12),-1)</f>
        <v/>
      </c>
      <c r="W2634" s="17">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7" t="n">
        <v>52</v>
      </c>
      <c r="U2635" s="17" t="n">
        <v>10</v>
      </c>
      <c r="V2635" s="17">
        <f>ROUNDUP((T2635+U2635+2*'Read Me'!$B$13)*(1+'Read Me'!$B$12),-1)</f>
        <v/>
      </c>
      <c r="W2635" s="17">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7" t="n">
        <v>1294</v>
      </c>
      <c r="U2636" s="17" t="n">
        <v>52</v>
      </c>
      <c r="V2636" s="17">
        <f>ROUNDUP((T2636+U2636+2*'Read Me'!$B$13)*(1+'Read Me'!$B$12),-1)</f>
        <v/>
      </c>
      <c r="W2636" s="17">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7" t="n">
        <v>52</v>
      </c>
      <c r="U2637" s="17" t="n">
        <v>10</v>
      </c>
      <c r="V2637" s="17">
        <f>ROUNDUP((T2637+U2637+2*'Read Me'!$B$13)*(1+'Read Me'!$B$12),-1)</f>
        <v/>
      </c>
      <c r="W2637" s="17">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7" t="n">
        <v>1340</v>
      </c>
      <c r="U2638" s="17" t="n">
        <v>46</v>
      </c>
      <c r="V2638" s="17">
        <f>ROUNDUP((T2638+U2638+2*'Read Me'!$B$13)*(1+'Read Me'!$B$12),-1)</f>
        <v/>
      </c>
      <c r="W2638" s="17">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7" t="n">
        <v>52</v>
      </c>
      <c r="U2639" s="17" t="n">
        <v>10</v>
      </c>
      <c r="V2639" s="17">
        <f>ROUNDUP((T2639+U2639+2*'Read Me'!$B$13)*(1+'Read Me'!$B$12),-1)</f>
        <v/>
      </c>
      <c r="W2639" s="17">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7" t="n">
        <v>1340</v>
      </c>
      <c r="U2640" s="17" t="n">
        <v>46</v>
      </c>
      <c r="V2640" s="17">
        <f>ROUNDUP((T2640+U2640+2*'Read Me'!$B$13)*(1+'Read Me'!$B$12),-1)</f>
        <v/>
      </c>
      <c r="W2640" s="17">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7" t="n">
        <v>52</v>
      </c>
      <c r="U2641" s="17" t="n">
        <v>10</v>
      </c>
      <c r="V2641" s="17">
        <f>ROUNDUP((T2641+U2641+2*'Read Me'!$B$13)*(1+'Read Me'!$B$12),-1)</f>
        <v/>
      </c>
      <c r="W2641" s="17">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7" t="n">
        <v>1434</v>
      </c>
      <c r="U2642" s="17" t="n">
        <v>40</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7" t="n">
        <v>52</v>
      </c>
      <c r="U2643" s="17" t="n">
        <v>10</v>
      </c>
      <c r="V2643" s="17">
        <f>ROUNDUP((T2643+U2643+2*'Read Me'!$B$13)*(1+'Read Me'!$B$12),-1)</f>
        <v/>
      </c>
      <c r="W2643" s="17">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7" t="n">
        <v>1434</v>
      </c>
      <c r="U2644" s="17" t="n">
        <v>40</v>
      </c>
      <c r="V2644" s="17">
        <f>ROUNDUP((T2644+U2644+2*'Read Me'!$B$13)*(1+'Read Me'!$B$12),-1)</f>
        <v/>
      </c>
      <c r="W2644" s="17">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7" t="n">
        <v>52</v>
      </c>
      <c r="U2645" s="17" t="n">
        <v>10</v>
      </c>
      <c r="V2645" s="17">
        <f>ROUNDUP((T2645+U2645+2*'Read Me'!$B$13)*(1+'Read Me'!$B$12),-1)</f>
        <v/>
      </c>
      <c r="W2645" s="17">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7" t="n">
        <v>1434</v>
      </c>
      <c r="U2646" s="17" t="n">
        <v>52</v>
      </c>
      <c r="V2646" s="17">
        <f>ROUNDUP((T2646+U2646+2*'Read Me'!$B$13)*(1+'Read Me'!$B$12),-1)</f>
        <v/>
      </c>
      <c r="W2646" s="17">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7" t="n">
        <v>52</v>
      </c>
      <c r="U2647" s="17" t="n">
        <v>10</v>
      </c>
      <c r="V2647" s="17">
        <f>ROUNDUP((T2647+U2647+2*'Read Me'!$B$13)*(1+'Read Me'!$B$12),-1)</f>
        <v/>
      </c>
      <c r="W2647" s="17">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7" t="n">
        <v>1434</v>
      </c>
      <c r="U2648" s="17" t="n">
        <v>52</v>
      </c>
      <c r="V2648" s="17">
        <f>ROUNDUP((T2648+U2648+2*'Read Me'!$B$13)*(1+'Read Me'!$B$12),-1)</f>
        <v/>
      </c>
      <c r="W2648" s="17">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7" t="n">
        <v>52</v>
      </c>
      <c r="U2649" s="17" t="n">
        <v>10</v>
      </c>
      <c r="V2649" s="17">
        <f>ROUNDUP((T2649+U2649+2*'Read Me'!$B$13)*(1+'Read Me'!$B$12),-1)</f>
        <v/>
      </c>
      <c r="W2649" s="17">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7" t="n">
        <v>1434</v>
      </c>
      <c r="U2650" s="17" t="n">
        <v>92</v>
      </c>
      <c r="V2650" s="17">
        <f>ROUNDUP((T2650+U2650+2*'Read Me'!$B$13)*(1+'Read Me'!$B$12),-1)</f>
        <v/>
      </c>
      <c r="W2650" s="17">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7" t="n">
        <v>52</v>
      </c>
      <c r="U2651" s="17" t="n">
        <v>10</v>
      </c>
      <c r="V2651" s="17">
        <f>ROUNDUP((T2651+U2651+2*'Read Me'!$B$13)*(1+'Read Me'!$B$12),-1)</f>
        <v/>
      </c>
      <c r="W2651" s="17">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7" t="n">
        <v>1434</v>
      </c>
      <c r="U2652" s="17" t="n">
        <v>92</v>
      </c>
      <c r="V2652" s="17">
        <f>ROUNDUP((T2652+U2652+2*'Read Me'!$B$13)*(1+'Read Me'!$B$12),-1)</f>
        <v/>
      </c>
      <c r="W2652" s="17">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7" t="n">
        <v>52</v>
      </c>
      <c r="U2653" s="17" t="n">
        <v>10</v>
      </c>
      <c r="V2653" s="17">
        <f>ROUNDUP((T2653+U2653+2*'Read Me'!$B$13)*(1+'Read Me'!$B$12),-1)</f>
        <v/>
      </c>
      <c r="W2653" s="17">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7" t="n">
        <v>1584</v>
      </c>
      <c r="U2654" s="17" t="n">
        <v>40</v>
      </c>
      <c r="V2654" s="17">
        <f>ROUNDUP((T2654+U2654+2*'Read Me'!$B$13)*(1+'Read Me'!$B$12),-1)</f>
        <v/>
      </c>
      <c r="W2654" s="17">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7" t="n">
        <v>52</v>
      </c>
      <c r="U2655" s="17" t="n">
        <v>10</v>
      </c>
      <c r="V2655" s="17">
        <f>ROUNDUP((T2655+U2655+2*'Read Me'!$B$13)*(1+'Read Me'!$B$12),-1)</f>
        <v/>
      </c>
      <c r="W2655" s="17">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7" t="n">
        <v>1584</v>
      </c>
      <c r="U2656" s="17" t="n">
        <v>40</v>
      </c>
      <c r="V2656" s="17">
        <f>ROUNDUP((T2656+U2656+2*'Read Me'!$B$13)*(1+'Read Me'!$B$12),-1)</f>
        <v/>
      </c>
      <c r="W2656" s="17">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7" t="n">
        <v>52</v>
      </c>
      <c r="U2657" s="17" t="n">
        <v>10</v>
      </c>
      <c r="V2657" s="17">
        <f>ROUNDUP((T2657+U2657+2*'Read Me'!$B$13)*(1+'Read Me'!$B$12),-1)</f>
        <v/>
      </c>
      <c r="W2657" s="17">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7" t="n">
        <v>1584</v>
      </c>
      <c r="U2658" s="17" t="n">
        <v>52</v>
      </c>
      <c r="V2658" s="17">
        <f>ROUNDUP((T2658+U2658+2*'Read Me'!$B$13)*(1+'Read Me'!$B$12),-1)</f>
        <v/>
      </c>
      <c r="W2658" s="17">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7" t="n">
        <v>52</v>
      </c>
      <c r="U2659" s="17" t="n">
        <v>10</v>
      </c>
      <c r="V2659" s="17">
        <f>ROUNDUP((T2659+U2659+2*'Read Me'!$B$13)*(1+'Read Me'!$B$12),-1)</f>
        <v/>
      </c>
      <c r="W2659" s="17">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7" t="n">
        <v>1584</v>
      </c>
      <c r="U2660" s="17" t="n">
        <v>52</v>
      </c>
      <c r="V2660" s="17">
        <f>ROUNDUP((T2660+U2660+2*'Read Me'!$B$13)*(1+'Read Me'!$B$12),-1)</f>
        <v/>
      </c>
      <c r="W2660" s="17">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7" t="n">
        <v>52</v>
      </c>
      <c r="U2661" s="17" t="n">
        <v>10</v>
      </c>
      <c r="V2661" s="17">
        <f>ROUNDUP((T2661+U2661+2*'Read Me'!$B$13)*(1+'Read Me'!$B$12),-1)</f>
        <v/>
      </c>
      <c r="W2661" s="17">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7" t="n">
        <v>1584</v>
      </c>
      <c r="U2662" s="17" t="n">
        <v>92</v>
      </c>
      <c r="V2662" s="17">
        <f>ROUNDUP((T2662+U2662+2*'Read Me'!$B$13)*(1+'Read Me'!$B$12),-1)</f>
        <v/>
      </c>
      <c r="W2662" s="17">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7" t="n">
        <v>52</v>
      </c>
      <c r="U2663" s="17" t="n">
        <v>10</v>
      </c>
      <c r="V2663" s="17">
        <f>ROUNDUP((T2663+U2663+2*'Read Me'!$B$13)*(1+'Read Me'!$B$12),-1)</f>
        <v/>
      </c>
      <c r="W2663" s="17">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7" t="n">
        <v>1584</v>
      </c>
      <c r="U2664" s="17" t="n">
        <v>92</v>
      </c>
      <c r="V2664" s="17">
        <f>ROUNDUP((T2664+U2664+2*'Read Me'!$B$13)*(1+'Read Me'!$B$12),-1)</f>
        <v/>
      </c>
      <c r="W2664" s="17">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7" t="n">
        <v>77</v>
      </c>
      <c r="U2665" s="17" t="n">
        <v>10</v>
      </c>
      <c r="V2665" s="17">
        <f>ROUNDUP((T2665+U2665+2*'Read Me'!$B$13)*(1+'Read Me'!$B$12),-1)</f>
        <v/>
      </c>
      <c r="W2665" s="17">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7" t="n">
        <v>91</v>
      </c>
      <c r="U2666" s="17" t="n">
        <v>285</v>
      </c>
      <c r="V2666" s="17">
        <f>ROUNDUP((T2666+U2666+2*'Read Me'!$B$13)*(1+'Read Me'!$B$12),-1)</f>
        <v/>
      </c>
      <c r="W2666" s="17">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7" t="n">
        <v>55</v>
      </c>
      <c r="U2667" s="17" t="n">
        <v>10</v>
      </c>
      <c r="V2667" s="17">
        <f>ROUNDUP((T2667+U2667+2*'Read Me'!$B$13)*(1+'Read Me'!$B$12),-1)</f>
        <v/>
      </c>
      <c r="W2667" s="17">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7" t="n">
        <v>91</v>
      </c>
      <c r="U2668" s="17" t="n">
        <v>226</v>
      </c>
      <c r="V2668" s="17">
        <f>ROUNDUP((T2668+U2668+2*'Read Me'!$B$13)*(1+'Read Me'!$B$12),-1)</f>
        <v/>
      </c>
      <c r="W2668" s="17">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7" t="n">
        <v>77</v>
      </c>
      <c r="U2669" s="17" t="n">
        <v>10</v>
      </c>
      <c r="V2669" s="17">
        <f>ROUNDUP((T2669+U2669+2*'Read Me'!$B$13)*(1+'Read Me'!$B$12),-1)</f>
        <v/>
      </c>
      <c r="W2669" s="17">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7" t="n">
        <v>526</v>
      </c>
      <c r="U2670" s="17" t="n">
        <v>86</v>
      </c>
      <c r="V2670" s="17">
        <f>ROUNDUP((T2670+U2670+2*'Read Me'!$B$13)*(1+'Read Me'!$B$12),-1)</f>
        <v/>
      </c>
      <c r="W2670" s="17">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7" t="n">
        <v>55</v>
      </c>
      <c r="U2671" s="17" t="n">
        <v>10</v>
      </c>
      <c r="V2671" s="17">
        <f>ROUNDUP((T2671+U2671+2*'Read Me'!$B$13)*(1+'Read Me'!$B$12),-1)</f>
        <v/>
      </c>
      <c r="W2671" s="17">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7" t="n">
        <v>474</v>
      </c>
      <c r="U2672" s="17" t="n">
        <v>78</v>
      </c>
      <c r="V2672" s="17">
        <f>ROUNDUP((T2672+U2672+2*'Read Me'!$B$13)*(1+'Read Me'!$B$12),-1)</f>
        <v/>
      </c>
      <c r="W2672" s="17">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7" t="n">
        <v>900</v>
      </c>
      <c r="U2673" s="17" t="n">
        <v>30</v>
      </c>
      <c r="V2673" s="17">
        <f>ROUNDUP((T2673+U2673+2*'Read Me'!$B$13)*(1+'Read Me'!$B$12),-1)</f>
        <v/>
      </c>
      <c r="W2673" s="17">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7" t="n">
        <v>900</v>
      </c>
      <c r="U2674" s="17" t="n">
        <v>30</v>
      </c>
      <c r="V2674" s="17">
        <f>ROUNDUP((T2674+U2674+2*'Read Me'!$B$13)*(1+'Read Me'!$B$12),-1)</f>
        <v/>
      </c>
      <c r="W2674" s="17">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7" t="n">
        <v>900</v>
      </c>
      <c r="U2675" s="17" t="n">
        <v>30</v>
      </c>
      <c r="V2675" s="17">
        <f>ROUNDUP((T2675+U2675+2*'Read Me'!$B$13)*(1+'Read Me'!$B$12),-1)</f>
        <v/>
      </c>
      <c r="W2675" s="17">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7" t="n">
        <v>900</v>
      </c>
      <c r="U2676" s="17" t="n">
        <v>30</v>
      </c>
      <c r="V2676" s="17">
        <f>ROUNDUP((T2676+U2676+2*'Read Me'!$B$13)*(1+'Read Me'!$B$12),-1)</f>
        <v/>
      </c>
      <c r="W2676" s="17">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7" t="n">
        <v>0</v>
      </c>
      <c r="U2677" s="17" t="n">
        <v>30</v>
      </c>
      <c r="V2677" s="17">
        <f>ROUNDUP((T2677+U2677+2*'Read Me'!$B$13)*(1+'Read Me'!$B$12),-1)</f>
        <v/>
      </c>
      <c r="W2677" s="17">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7" t="n">
        <v>115</v>
      </c>
      <c r="U2678" s="17" t="n">
        <v>0</v>
      </c>
      <c r="V2678" s="17">
        <f>ROUNDUP((T2678+U2678+2*'Read Me'!$B$13)*(1+'Read Me'!$B$12),-1)</f>
        <v/>
      </c>
      <c r="W2678" s="17">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7" t="n">
        <v>115</v>
      </c>
      <c r="U2679" s="17" t="n">
        <v>0</v>
      </c>
      <c r="V2679" s="17">
        <f>ROUNDUP((T2679+U2679+2*'Read Me'!$B$13)*(1+'Read Me'!$B$12),-1)</f>
        <v/>
      </c>
      <c r="W2679" s="17">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7" t="n">
        <v>263</v>
      </c>
      <c r="U2680" s="17" t="n">
        <v>0</v>
      </c>
      <c r="V2680" s="17">
        <f>ROUNDUP((T2680+U2680+2*'Read Me'!$B$13)*(1+'Read Me'!$B$12),-1)</f>
        <v/>
      </c>
      <c r="W2680" s="17">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7" t="n">
        <v>304</v>
      </c>
      <c r="U2681" s="17" t="n">
        <v>0</v>
      </c>
      <c r="V2681" s="17">
        <f>ROUNDUP((T2681+U2681+2*'Read Me'!$B$13)*(1+'Read Me'!$B$12),-1)</f>
        <v/>
      </c>
      <c r="W2681" s="17">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7" t="n">
        <v>324</v>
      </c>
      <c r="U2682" s="17" t="n">
        <v>0</v>
      </c>
      <c r="V2682" s="17">
        <f>ROUNDUP((T2682+U2682+2*'Read Me'!$B$13)*(1+'Read Me'!$B$12),-1)</f>
        <v/>
      </c>
      <c r="W2682" s="17">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7" t="n">
        <v>236</v>
      </c>
      <c r="U2683" s="17" t="n">
        <v>0</v>
      </c>
      <c r="V2683" s="17">
        <f>ROUNDUP((T2683+U2683+2*'Read Me'!$B$13)*(1+'Read Me'!$B$12),-1)</f>
        <v/>
      </c>
      <c r="W2683" s="17">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7" t="n">
        <v>1544</v>
      </c>
      <c r="U2684" s="17" t="n">
        <v>0</v>
      </c>
      <c r="V2684" s="17">
        <f>ROUNDUP((T2684+U2684+2*'Read Me'!$B$13)*(1+'Read Me'!$B$12),-1)</f>
        <v/>
      </c>
      <c r="W2684" s="17">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7" t="n">
        <v>65</v>
      </c>
      <c r="U2685" s="17" t="n">
        <v>132</v>
      </c>
      <c r="V2685" s="17">
        <f>ROUNDUP((T2685+U2685+2*'Read Me'!$B$13)*(1+'Read Me'!$B$12),-1)</f>
        <v/>
      </c>
      <c r="W2685" s="17">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7" t="n">
        <v>65</v>
      </c>
      <c r="U2686" s="17" t="n">
        <v>59</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7" t="n">
        <v>65</v>
      </c>
      <c r="U2687" s="17" t="n">
        <v>42</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7" t="n">
        <v>2412</v>
      </c>
      <c r="U2688" s="17" t="n">
        <v>157</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7" t="n">
        <v>2412</v>
      </c>
      <c r="U2689" s="17" t="n">
        <v>157</v>
      </c>
      <c r="V2689" s="17">
        <f>ROUNDUP((T2689+U2689+2*'Read Me'!$B$13)*(1+'Read Me'!$B$12),-1)</f>
        <v/>
      </c>
      <c r="W2689" s="17">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7" t="n">
        <v>2412</v>
      </c>
      <c r="U2690" s="17" t="n">
        <v>157</v>
      </c>
      <c r="V2690" s="17">
        <f>ROUNDUP((T2690+U2690+2*'Read Me'!$B$13)*(1+'Read Me'!$B$12),-1)</f>
        <v/>
      </c>
      <c r="W2690" s="17">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7" t="n">
        <v>2412</v>
      </c>
      <c r="U2691" s="17" t="n">
        <v>157</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7" t="n">
        <v>2412</v>
      </c>
      <c r="U2692" s="17" t="n">
        <v>157</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7" t="n">
        <v>2412</v>
      </c>
      <c r="U2693" s="17" t="n">
        <v>157</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7" t="n">
        <v>0</v>
      </c>
      <c r="U2694" s="17" t="n">
        <v>84</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7" t="n">
        <v>60</v>
      </c>
      <c r="U2695" s="17" t="n">
        <v>10</v>
      </c>
      <c r="V2695" s="17">
        <f>ROUNDUP((T2695+U2695+2*'Read Me'!$B$13)*(1+'Read Me'!$B$12),-1)</f>
        <v/>
      </c>
      <c r="W2695" s="17">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7" t="n">
        <v>193</v>
      </c>
      <c r="U2696" s="17" t="n">
        <v>32</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7" t="n">
        <v>60</v>
      </c>
      <c r="U2697" s="17" t="n">
        <v>10</v>
      </c>
      <c r="V2697" s="17">
        <f>ROUNDUP((T2697+U2697+2*'Read Me'!$B$13)*(1+'Read Me'!$B$12),-1)</f>
        <v/>
      </c>
      <c r="W2697" s="17">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7" t="n">
        <v>83</v>
      </c>
      <c r="U2698" s="17" t="n">
        <v>32</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7" t="n">
        <v>46</v>
      </c>
      <c r="U2699" s="17" t="n">
        <v>10</v>
      </c>
      <c r="V2699" s="17">
        <f>ROUNDUP((T2699+U2699+2*'Read Me'!$B$13)*(1+'Read Me'!$B$12),-1)</f>
        <v/>
      </c>
      <c r="W2699" s="17">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7" t="n">
        <v>193</v>
      </c>
      <c r="U2700" s="17" t="n">
        <v>129</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7" t="n">
        <v>0</v>
      </c>
      <c r="U2701" s="17" t="n">
        <v>32</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15</v>
      </c>
      <c r="U2702" s="17" t="n">
        <v>32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7" t="n">
        <v>134</v>
      </c>
      <c r="U2703" s="17" t="n">
        <v>10</v>
      </c>
      <c r="V2703" s="17">
        <f>ROUNDUP((T2703+U2703+2*'Read Me'!$B$13)*(1+'Read Me'!$B$12),-1)</f>
        <v/>
      </c>
      <c r="W2703" s="17">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7" t="n">
        <v>199</v>
      </c>
      <c r="U2704" s="17" t="n">
        <v>32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7" t="n">
        <v>134</v>
      </c>
      <c r="U2705" s="17" t="n">
        <v>10</v>
      </c>
      <c r="V2705" s="17">
        <f>ROUNDUP((T2705+U2705+2*'Read Me'!$B$13)*(1+'Read Me'!$B$12),-1)</f>
        <v/>
      </c>
      <c r="W2705" s="17">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7" t="n">
        <v>199</v>
      </c>
      <c r="U2706" s="17" t="n">
        <v>32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7" t="n">
        <v>137</v>
      </c>
      <c r="U2707" s="17" t="n">
        <v>10</v>
      </c>
      <c r="V2707" s="17">
        <f>ROUNDUP((T2707+U2707+2*'Read Me'!$B$13)*(1+'Read Me'!$B$12),-1)</f>
        <v/>
      </c>
      <c r="W2707" s="17">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7" t="n">
        <v>154</v>
      </c>
      <c r="U2708" s="17" t="n">
        <v>67</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7" t="n">
        <v>137</v>
      </c>
      <c r="U2709" s="17" t="n">
        <v>10</v>
      </c>
      <c r="V2709" s="17">
        <f>ROUNDUP((T2709+U2709+2*'Read Me'!$B$13)*(1+'Read Me'!$B$12),-1)</f>
        <v/>
      </c>
      <c r="W2709" s="17">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7" t="n">
        <v>154</v>
      </c>
      <c r="U2710" s="17" t="n">
        <v>67</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7" t="n">
        <v>65</v>
      </c>
      <c r="U2711" s="17" t="n">
        <v>132</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7" t="n">
        <v>65</v>
      </c>
      <c r="U2712" s="17" t="n">
        <v>59</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7" t="n">
        <v>65</v>
      </c>
      <c r="U2713" s="17" t="n">
        <v>59</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7" t="n">
        <v>65</v>
      </c>
      <c r="U2714" s="17" t="n">
        <v>42</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7" t="n">
        <v>133</v>
      </c>
      <c r="U2715" s="17" t="n">
        <v>10</v>
      </c>
      <c r="V2715" s="17">
        <f>ROUNDUP((T2715+U2715+2*'Read Me'!$B$13)*(1+'Read Me'!$B$12),-1)</f>
        <v/>
      </c>
      <c r="W2715" s="17">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7" t="n">
        <v>553</v>
      </c>
      <c r="U2716" s="17" t="n">
        <v>32</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7" t="n">
        <v>133</v>
      </c>
      <c r="U2717" s="17" t="n">
        <v>10</v>
      </c>
      <c r="V2717" s="17">
        <f>ROUNDUP((T2717+U2717+2*'Read Me'!$B$13)*(1+'Read Me'!$B$12),-1)</f>
        <v/>
      </c>
      <c r="W2717" s="17">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7" t="n">
        <v>553</v>
      </c>
      <c r="U2718" s="17" t="n">
        <v>32</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7" t="n">
        <v>133</v>
      </c>
      <c r="U2719" s="17" t="n">
        <v>10</v>
      </c>
      <c r="V2719" s="17">
        <f>ROUNDUP((T2719+U2719+2*'Read Me'!$B$13)*(1+'Read Me'!$B$12),-1)</f>
        <v/>
      </c>
      <c r="W2719" s="17">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7" t="n">
        <v>553</v>
      </c>
      <c r="U2720" s="17" t="n">
        <v>32</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7" t="n">
        <v>133</v>
      </c>
      <c r="U2721" s="17" t="n">
        <v>10</v>
      </c>
      <c r="V2721" s="17">
        <f>ROUNDUP((T2721+U2721+2*'Read Me'!$B$13)*(1+'Read Me'!$B$12),-1)</f>
        <v/>
      </c>
      <c r="W2721" s="17">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7" t="n">
        <v>553</v>
      </c>
      <c r="U2722" s="17" t="n">
        <v>32</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7" t="n">
        <v>133</v>
      </c>
      <c r="U2723" s="17" t="n">
        <v>10</v>
      </c>
      <c r="V2723" s="17">
        <f>ROUNDUP((T2723+U2723+2*'Read Me'!$B$13)*(1+'Read Me'!$B$12),-1)</f>
        <v/>
      </c>
      <c r="W2723" s="17">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7" t="n">
        <v>553</v>
      </c>
      <c r="U2724" s="17" t="n">
        <v>32</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7" t="n">
        <v>0</v>
      </c>
      <c r="U2725" s="17" t="n">
        <v>84</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7" t="n">
        <v>61</v>
      </c>
      <c r="U2726" s="17" t="n">
        <v>10</v>
      </c>
      <c r="V2726" s="17">
        <f>ROUNDUP((T2726+U2726+2*'Read Me'!$B$13)*(1+'Read Me'!$B$12),-1)</f>
        <v/>
      </c>
      <c r="W2726" s="17">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7" t="n">
        <v>143</v>
      </c>
      <c r="U2727" s="17" t="n">
        <v>32</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7" t="n">
        <v>61</v>
      </c>
      <c r="U2728" s="17" t="n">
        <v>10</v>
      </c>
      <c r="V2728" s="17">
        <f>ROUNDUP((T2728+U2728+2*'Read Me'!$B$13)*(1+'Read Me'!$B$12),-1)</f>
        <v/>
      </c>
      <c r="W2728" s="17">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7" t="n">
        <v>143</v>
      </c>
      <c r="U2729" s="17" t="n">
        <v>32</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7" t="n">
        <v>64</v>
      </c>
      <c r="U2730" s="17" t="n">
        <v>10</v>
      </c>
      <c r="V2730" s="17">
        <f>ROUNDUP((T2730+U2730+2*'Read Me'!$B$13)*(1+'Read Me'!$B$12),-1)</f>
        <v/>
      </c>
      <c r="W2730" s="17">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7" t="n">
        <v>83</v>
      </c>
      <c r="U2731" s="17" t="n">
        <v>72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7" t="n">
        <v>64</v>
      </c>
      <c r="U2732" s="17" t="n">
        <v>10</v>
      </c>
      <c r="V2732" s="17">
        <f>ROUNDUP((T2732+U2732+2*'Read Me'!$B$13)*(1+'Read Me'!$B$12),-1)</f>
        <v/>
      </c>
      <c r="W2732" s="17">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7" t="n">
        <v>83</v>
      </c>
      <c r="U2733" s="17" t="n">
        <v>72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7" t="n">
        <v>60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7" t="n">
        <v>193</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7" t="n">
        <v>60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7" t="n">
        <v>193</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7" t="n">
        <v>56</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7" t="n">
        <v>4</v>
      </c>
      <c r="U2739" s="17" t="n">
        <v>114</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7" t="n">
        <v>56</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7" t="n">
        <v>4</v>
      </c>
      <c r="U2741" s="17" t="n">
        <v>114</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7" t="n">
        <v>60</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7" t="n">
        <v>83</v>
      </c>
      <c r="U2743" s="17" t="n">
        <v>32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7" t="n">
        <v>60</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7" t="n">
        <v>83</v>
      </c>
      <c r="U2745" s="17" t="n">
        <v>32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7" t="n">
        <v>46</v>
      </c>
      <c r="U2746" s="17" t="n">
        <v>10</v>
      </c>
      <c r="V2746" s="17">
        <f>ROUNDUP((T2746+U2746+2*'Read Me'!$B$13)*(1+'Read Me'!$B$12),-1)</f>
        <v/>
      </c>
      <c r="W2746" s="17">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7" t="n">
        <v>193</v>
      </c>
      <c r="U2747" s="17" t="n">
        <v>129</v>
      </c>
      <c r="V2747" s="17">
        <f>ROUNDUP((T2747+U2747+2*'Read Me'!$B$13)*(1+'Read Me'!$B$12),-1)</f>
        <v/>
      </c>
      <c r="W2747" s="17">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7" t="n">
        <v>0</v>
      </c>
      <c r="U2748" s="17" t="n">
        <v>32</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7" t="n">
        <v>1902</v>
      </c>
      <c r="U2749" s="17" t="n">
        <v>157</v>
      </c>
      <c r="V2749" s="17">
        <f>ROUNDUP((T2749+U2749+2*'Read Me'!$B$13)*(1+'Read Me'!$B$12),-1)</f>
        <v/>
      </c>
      <c r="W2749" s="17">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7" t="n">
        <v>1768</v>
      </c>
      <c r="U2750" s="17" t="n">
        <v>257</v>
      </c>
      <c r="V2750" s="17">
        <f>ROUNDUP((T2750+U2750+2*'Read Me'!$B$13)*(1+'Read Me'!$B$12),-1)</f>
        <v/>
      </c>
      <c r="W2750" s="17">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7" t="n">
        <v>1768</v>
      </c>
      <c r="U2751" s="17" t="n">
        <v>184</v>
      </c>
      <c r="V2751" s="17">
        <f>ROUNDUP((T2751+U2751+2*'Read Me'!$B$13)*(1+'Read Me'!$B$12),-1)</f>
        <v/>
      </c>
      <c r="W2751" s="17">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7" t="n">
        <v>1768</v>
      </c>
      <c r="U2752" s="17" t="n">
        <v>167</v>
      </c>
      <c r="V2752" s="17">
        <f>ROUNDUP((T2752+U2752+2*'Read Me'!$B$13)*(1+'Read Me'!$B$12),-1)</f>
        <v/>
      </c>
      <c r="W2752" s="17">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7" t="n">
        <v>2412</v>
      </c>
      <c r="U2753" s="17" t="n">
        <v>157</v>
      </c>
      <c r="V2753" s="17">
        <f>ROUNDUP((T2753+U2753+2*'Read Me'!$B$13)*(1+'Read Me'!$B$12),-1)</f>
        <v/>
      </c>
      <c r="W2753" s="17">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7" t="n">
        <v>2412</v>
      </c>
      <c r="U2754" s="17" t="n">
        <v>157</v>
      </c>
      <c r="V2754" s="17">
        <f>ROUNDUP((T2754+U2754+2*'Read Me'!$B$13)*(1+'Read Me'!$B$12),-1)</f>
        <v/>
      </c>
      <c r="W2754" s="17">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7" t="n">
        <v>2412</v>
      </c>
      <c r="U2755" s="17" t="n">
        <v>157</v>
      </c>
      <c r="V2755" s="17">
        <f>ROUNDUP((T2755+U2755+2*'Read Me'!$B$13)*(1+'Read Me'!$B$12),-1)</f>
        <v/>
      </c>
      <c r="W2755" s="17">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7" t="n">
        <v>2412</v>
      </c>
      <c r="U2756" s="17" t="n">
        <v>157</v>
      </c>
      <c r="V2756" s="17">
        <f>ROUNDUP((T2756+U2756+2*'Read Me'!$B$13)*(1+'Read Me'!$B$12),-1)</f>
        <v/>
      </c>
      <c r="W2756" s="17">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7" t="n">
        <v>2412</v>
      </c>
      <c r="U2757" s="17" t="n">
        <v>157</v>
      </c>
      <c r="V2757" s="17">
        <f>ROUNDUP((T2757+U2757+2*'Read Me'!$B$13)*(1+'Read Me'!$B$12),-1)</f>
        <v/>
      </c>
      <c r="W2757" s="17">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7" t="n">
        <v>2412</v>
      </c>
      <c r="U2758" s="17" t="n">
        <v>157</v>
      </c>
      <c r="V2758" s="17">
        <f>ROUNDUP((T2758+U2758+2*'Read Me'!$B$13)*(1+'Read Me'!$B$12),-1)</f>
        <v/>
      </c>
      <c r="W2758" s="17">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7" t="n">
        <v>1833</v>
      </c>
      <c r="U2759" s="17" t="n">
        <v>209</v>
      </c>
      <c r="V2759" s="17">
        <f>ROUNDUP((T2759+U2759+2*'Read Me'!$B$13)*(1+'Read Me'!$B$12),-1)</f>
        <v/>
      </c>
      <c r="W2759" s="17">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7" t="n">
        <v>1500</v>
      </c>
      <c r="U2760" s="17" t="n">
        <v>0</v>
      </c>
      <c r="V2760" s="17">
        <f>ROUNDUP((T2760+U2760+2*'Read Me'!$B$13)*(1+'Read Me'!$B$12),-1)</f>
        <v/>
      </c>
      <c r="W2760" s="17">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7" t="n">
        <v>2002</v>
      </c>
      <c r="U2761" s="17" t="n">
        <v>157</v>
      </c>
      <c r="V2761" s="17">
        <f>ROUNDUP((T2761+U2761+2*'Read Me'!$B$13)*(1+'Read Me'!$B$12),-1)</f>
        <v/>
      </c>
      <c r="W2761" s="17">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7" t="n">
        <v>1942</v>
      </c>
      <c r="U2762" s="17" t="n">
        <v>197</v>
      </c>
      <c r="V2762" s="17">
        <f>ROUNDUP((T2762+U2762+2*'Read Me'!$B$13)*(1+'Read Me'!$B$12),-1)</f>
        <v/>
      </c>
      <c r="W2762" s="17">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7" t="n">
        <v>2052</v>
      </c>
      <c r="U2763" s="17" t="n">
        <v>157</v>
      </c>
      <c r="V2763" s="17">
        <f>ROUNDUP((T2763+U2763+2*'Read Me'!$B$13)*(1+'Read Me'!$B$12),-1)</f>
        <v/>
      </c>
      <c r="W2763" s="17">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7" t="n">
        <v>1942</v>
      </c>
      <c r="U2764" s="17" t="n">
        <v>157</v>
      </c>
      <c r="V2764" s="17">
        <f>ROUNDUP((T2764+U2764+2*'Read Me'!$B$13)*(1+'Read Me'!$B$12),-1)</f>
        <v/>
      </c>
      <c r="W2764" s="17">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7" t="n">
        <v>2052</v>
      </c>
      <c r="U2765" s="17" t="n">
        <v>254</v>
      </c>
      <c r="V2765" s="17">
        <f>ROUNDUP((T2765+U2765+2*'Read Me'!$B$13)*(1+'Read Me'!$B$12),-1)</f>
        <v/>
      </c>
      <c r="W2765" s="17">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7" t="n">
        <v>1833</v>
      </c>
      <c r="U2766" s="17" t="n">
        <v>157</v>
      </c>
      <c r="V2766" s="17">
        <f>ROUNDUP((T2766+U2766+2*'Read Me'!$B$13)*(1+'Read Me'!$B$12),-1)</f>
        <v/>
      </c>
      <c r="W2766" s="17">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7" t="n">
        <v>1868</v>
      </c>
      <c r="U2767" s="17" t="n">
        <v>157</v>
      </c>
      <c r="V2767" s="17">
        <f>ROUNDUP((T2767+U2767+2*'Read Me'!$B$13)*(1+'Read Me'!$B$12),-1)</f>
        <v/>
      </c>
      <c r="W2767" s="17">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7" t="n">
        <v>180</v>
      </c>
      <c r="U2768" s="17" t="n">
        <v>20</v>
      </c>
      <c r="V2768" s="17">
        <f>ROUNDUP((T2768+U2768+2*'Read Me'!$B$13)*(1+'Read Me'!$B$12),-1)</f>
        <v/>
      </c>
      <c r="W2768" s="17">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7" t="n">
        <v>180</v>
      </c>
      <c r="U2769" s="17" t="n">
        <v>20</v>
      </c>
      <c r="V2769" s="17">
        <f>ROUNDUP((T2769+U2769+2*'Read Me'!$B$13)*(1+'Read Me'!$B$12),-1)</f>
        <v/>
      </c>
      <c r="W2769" s="17">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7" t="n">
        <v>180</v>
      </c>
      <c r="U2770" s="17" t="n">
        <v>20</v>
      </c>
      <c r="V2770" s="17">
        <f>ROUNDUP((T2770+U2770+2*'Read Me'!$B$13)*(1+'Read Me'!$B$12),-1)</f>
        <v/>
      </c>
      <c r="W2770" s="17">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7" t="n">
        <v>180</v>
      </c>
      <c r="U2771" s="17" t="n">
        <v>20</v>
      </c>
      <c r="V2771" s="17">
        <f>ROUNDUP((T2771+U2771+2*'Read Me'!$B$13)*(1+'Read Me'!$B$12),-1)</f>
        <v/>
      </c>
      <c r="W2771" s="17">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7" t="n">
        <v>180</v>
      </c>
      <c r="U2772" s="17" t="n">
        <v>20</v>
      </c>
      <c r="V2772" s="17">
        <f>ROUNDUP((T2772+U2772+2*'Read Me'!$B$13)*(1+'Read Me'!$B$12),-1)</f>
        <v/>
      </c>
      <c r="W2772" s="17">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7" t="n">
        <v>180</v>
      </c>
      <c r="U2773" s="17" t="n">
        <v>20</v>
      </c>
      <c r="V2773" s="17">
        <f>ROUNDUP((T2773+U2773+2*'Read Me'!$B$13)*(1+'Read Me'!$B$12),-1)</f>
        <v/>
      </c>
      <c r="W2773" s="17">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7" t="n">
        <v>180</v>
      </c>
      <c r="U2774" s="17" t="n">
        <v>20</v>
      </c>
      <c r="V2774" s="17">
        <f>ROUNDUP((T2774+U2774+2*'Read Me'!$B$13)*(1+'Read Me'!$B$12),-1)</f>
        <v/>
      </c>
      <c r="W2774" s="17">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7" t="n">
        <v>180</v>
      </c>
      <c r="U2775" s="17" t="n">
        <v>20</v>
      </c>
      <c r="V2775" s="17">
        <f>ROUNDUP((T2775+U2775+2*'Read Me'!$B$13)*(1+'Read Me'!$B$12),-1)</f>
        <v/>
      </c>
      <c r="W2775" s="17">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7" t="n">
        <v>180</v>
      </c>
      <c r="U2776" s="17" t="n">
        <v>20</v>
      </c>
      <c r="V2776" s="17">
        <f>ROUNDUP((T2776+U2776+2*'Read Me'!$B$13)*(1+'Read Me'!$B$12),-1)</f>
        <v/>
      </c>
      <c r="W2776" s="17">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7" t="n">
        <v>180</v>
      </c>
      <c r="U2777" s="17" t="n">
        <v>20</v>
      </c>
      <c r="V2777" s="17">
        <f>ROUNDUP((T2777+U2777+2*'Read Me'!$B$13)*(1+'Read Me'!$B$12),-1)</f>
        <v/>
      </c>
      <c r="W2777" s="17">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7" t="n">
        <v>180</v>
      </c>
      <c r="U2778" s="17" t="n">
        <v>20</v>
      </c>
      <c r="V2778" s="17">
        <f>ROUNDUP((T2778+U2778+2*'Read Me'!$B$13)*(1+'Read Me'!$B$12),-1)</f>
        <v/>
      </c>
      <c r="W2778" s="17">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7" t="n">
        <v>180</v>
      </c>
      <c r="U2779" s="17" t="n">
        <v>20</v>
      </c>
      <c r="V2779" s="17">
        <f>ROUNDUP((T2779+U2779+2*'Read Me'!$B$13)*(1+'Read Me'!$B$12),-1)</f>
        <v/>
      </c>
      <c r="W2779" s="17">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7" t="n">
        <v>180</v>
      </c>
      <c r="U2780" s="17" t="n">
        <v>20</v>
      </c>
      <c r="V2780" s="17">
        <f>ROUNDUP((T2780+U2780+2*'Read Me'!$B$13)*(1+'Read Me'!$B$12),-1)</f>
        <v/>
      </c>
      <c r="W2780" s="17">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7" t="n">
        <v>180</v>
      </c>
      <c r="U2781" s="17" t="n">
        <v>20</v>
      </c>
      <c r="V2781" s="17">
        <f>ROUNDUP((T2781+U2781+2*'Read Me'!$B$13)*(1+'Read Me'!$B$12),-1)</f>
        <v/>
      </c>
      <c r="W2781" s="17">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7" t="n">
        <v>180</v>
      </c>
      <c r="U2782" s="17" t="n">
        <v>20</v>
      </c>
      <c r="V2782" s="17">
        <f>ROUNDUP((T2782+U2782+2*'Read Me'!$B$13)*(1+'Read Me'!$B$12),-1)</f>
        <v/>
      </c>
      <c r="W2782" s="17">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7" t="n">
        <v>180</v>
      </c>
      <c r="U2783" s="17" t="n">
        <v>20</v>
      </c>
      <c r="V2783" s="17">
        <f>ROUNDUP((T2783+U2783+2*'Read Me'!$B$13)*(1+'Read Me'!$B$12),-1)</f>
        <v/>
      </c>
      <c r="W2783" s="17">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7" t="n">
        <v>180</v>
      </c>
      <c r="U2784" s="17" t="n">
        <v>20</v>
      </c>
      <c r="V2784" s="17">
        <f>ROUNDUP((T2784+U2784+2*'Read Me'!$B$13)*(1+'Read Me'!$B$12),-1)</f>
        <v/>
      </c>
      <c r="W2784" s="17">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7" t="n">
        <v>180</v>
      </c>
      <c r="U2785" s="17" t="n">
        <v>20</v>
      </c>
      <c r="V2785" s="17">
        <f>ROUNDUP((T2785+U2785+2*'Read Me'!$B$13)*(1+'Read Me'!$B$12),-1)</f>
        <v/>
      </c>
      <c r="W2785" s="17">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7" t="n">
        <v>180</v>
      </c>
      <c r="U2786" s="17" t="n">
        <v>20</v>
      </c>
      <c r="V2786" s="17">
        <f>ROUNDUP((T2786+U2786+2*'Read Me'!$B$13)*(1+'Read Me'!$B$12),-1)</f>
        <v/>
      </c>
      <c r="W2786" s="17">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7" t="n">
        <v>180</v>
      </c>
      <c r="U2787" s="17" t="n">
        <v>20</v>
      </c>
      <c r="V2787" s="17">
        <f>ROUNDUP((T2787+U2787+2*'Read Me'!$B$13)*(1+'Read Me'!$B$12),-1)</f>
        <v/>
      </c>
      <c r="W2787" s="17">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7" t="n">
        <v>180</v>
      </c>
      <c r="U2788" s="17" t="n">
        <v>20</v>
      </c>
      <c r="V2788" s="17">
        <f>ROUNDUP((T2788+U2788+2*'Read Me'!$B$13)*(1+'Read Me'!$B$12),-1)</f>
        <v/>
      </c>
      <c r="W2788" s="17">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7" t="n">
        <v>180</v>
      </c>
      <c r="U2789" s="17" t="n">
        <v>20</v>
      </c>
      <c r="V2789" s="17">
        <f>ROUNDUP((T2789+U2789+2*'Read Me'!$B$13)*(1+'Read Me'!$B$12),-1)</f>
        <v/>
      </c>
      <c r="W2789" s="17">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7" t="n">
        <v>180</v>
      </c>
      <c r="U2790" s="17" t="n">
        <v>20</v>
      </c>
      <c r="V2790" s="17">
        <f>ROUNDUP((T2790+U2790+2*'Read Me'!$B$13)*(1+'Read Me'!$B$12),-1)</f>
        <v/>
      </c>
      <c r="W2790" s="17">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7" t="n">
        <v>180</v>
      </c>
      <c r="U2791" s="17" t="n">
        <v>20</v>
      </c>
      <c r="V2791" s="17">
        <f>ROUNDUP((T2791+U2791+2*'Read Me'!$B$13)*(1+'Read Me'!$B$12),-1)</f>
        <v/>
      </c>
      <c r="W2791" s="17">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7" t="n">
        <v>2380</v>
      </c>
      <c r="U2792" s="17" t="n">
        <v>124</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7" t="n">
        <v>2380</v>
      </c>
      <c r="U2793" s="17" t="n">
        <v>124</v>
      </c>
      <c r="V2793" s="17">
        <f>ROUNDUP((T2793+U2793+2*'Read Me'!$B$13)*(1+'Read Me'!$B$12),-1)</f>
        <v/>
      </c>
      <c r="W2793" s="17">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7" t="n">
        <v>2380</v>
      </c>
      <c r="U2794" s="17" t="n">
        <v>124</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7" t="n">
        <v>1920</v>
      </c>
      <c r="U2795" s="17" t="n">
        <v>0</v>
      </c>
      <c r="V2795" s="17">
        <f>ROUNDUP((T2795+U2795+2*'Read Me'!$B$13)*(1+'Read Me'!$B$12),-1)</f>
        <v/>
      </c>
      <c r="W2795" s="17">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7" t="n">
        <v>21760</v>
      </c>
      <c r="U2796" s="17" t="n">
        <v>0</v>
      </c>
      <c r="V2796" s="17">
        <f>ROUNDUP((T2796+U2796+2*'Read Me'!$B$13)*(1+'Read Me'!$B$12),-1)</f>
        <v/>
      </c>
      <c r="W2796" s="17">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7" t="n">
        <v>2089</v>
      </c>
      <c r="U2802" s="17" t="n">
        <v>165</v>
      </c>
      <c r="V2802" s="17">
        <f>ROUNDUP((T2802+U2802+2*'Read Me'!$B$13)*(1+'Read Me'!$B$12),-1)</f>
        <v/>
      </c>
      <c r="W2802" s="17">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7" t="n">
        <v>2089</v>
      </c>
      <c r="U2803" s="17" t="n">
        <v>165</v>
      </c>
      <c r="V2803" s="17">
        <f>ROUNDUP((T2803+U2803+2*'Read Me'!$B$13)*(1+'Read Me'!$B$12),-1)</f>
        <v/>
      </c>
      <c r="W2803" s="17">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7" t="n">
        <v>128</v>
      </c>
      <c r="U2804" s="17" t="n">
        <v>10</v>
      </c>
      <c r="V2804" s="17">
        <f>ROUNDUP((T2804+U2804+2*'Read Me'!$B$13)*(1+'Read Me'!$B$12),-1)</f>
        <v/>
      </c>
      <c r="W2804" s="17">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7" t="n">
        <v>370</v>
      </c>
      <c r="U2805" s="17" t="n">
        <v>52</v>
      </c>
      <c r="V2805" s="17">
        <f>ROUNDUP((T2805+U2805+2*'Read Me'!$B$13)*(1+'Read Me'!$B$12),-1)</f>
        <v/>
      </c>
      <c r="W2805" s="17">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7" t="n">
        <v>2089</v>
      </c>
      <c r="U2806" s="17" t="n">
        <v>264</v>
      </c>
      <c r="V2806" s="17">
        <f>ROUNDUP((T2806+U2806+2*'Read Me'!$B$13)*(1+'Read Me'!$B$12),-1)</f>
        <v/>
      </c>
      <c r="W2806" s="17">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7" t="n">
        <v>2089</v>
      </c>
      <c r="U2807" s="17" t="n">
        <v>264</v>
      </c>
      <c r="V2807" s="17">
        <f>ROUNDUP((T2807+U2807+2*'Read Me'!$B$13)*(1+'Read Me'!$B$12),-1)</f>
        <v/>
      </c>
      <c r="W2807" s="17">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7" t="n">
        <v>115</v>
      </c>
      <c r="U2808" s="17" t="n">
        <v>96</v>
      </c>
      <c r="V2808" s="17">
        <f>ROUNDUP((T2808+U2808+2*'Read Me'!$B$13)*(1+'Read Me'!$B$12),-1)</f>
        <v/>
      </c>
      <c r="W2808" s="17">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7" t="n">
        <v>2004</v>
      </c>
      <c r="U2809" s="17" t="n">
        <v>209</v>
      </c>
      <c r="V2809" s="17">
        <f>ROUNDUP((T2809+U2809+2*'Read Me'!$B$13)*(1+'Read Me'!$B$12),-1)</f>
        <v/>
      </c>
      <c r="W2809" s="17">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7" t="n">
        <v>2004</v>
      </c>
      <c r="U2810" s="17" t="n">
        <v>209</v>
      </c>
      <c r="V2810" s="17">
        <f>ROUNDUP((T2810+U2810+2*'Read Me'!$B$13)*(1+'Read Me'!$B$12),-1)</f>
        <v/>
      </c>
      <c r="W2810" s="17">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7" t="n">
        <v>292</v>
      </c>
      <c r="U2811" s="17" t="n">
        <v>108</v>
      </c>
      <c r="V2811" s="17">
        <f>ROUNDUP((T2811+U2811+2*'Read Me'!$B$13)*(1+'Read Me'!$B$12),-1)</f>
        <v/>
      </c>
      <c r="W2811" s="17">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7" t="n">
        <v>2002</v>
      </c>
      <c r="U2812" s="17" t="n">
        <v>347</v>
      </c>
      <c r="V2812" s="17">
        <f>ROUNDUP((T2812+U2812+2*'Read Me'!$B$13)*(1+'Read Me'!$B$12),-1)</f>
        <v/>
      </c>
      <c r="W2812" s="17">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7" t="n">
        <v>2002</v>
      </c>
      <c r="U2813" s="17" t="n">
        <v>347</v>
      </c>
      <c r="V2813" s="17">
        <f>ROUNDUP((T2813+U2813+2*'Read Me'!$B$13)*(1+'Read Me'!$B$12),-1)</f>
        <v/>
      </c>
      <c r="W2813" s="17">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7" t="n">
        <v>1859</v>
      </c>
      <c r="U2814" s="17" t="n">
        <v>212</v>
      </c>
      <c r="V2814" s="17">
        <f>ROUNDUP((T2814+U2814+2*'Read Me'!$B$13)*(1+'Read Me'!$B$12),-1)</f>
        <v/>
      </c>
      <c r="W2814" s="17">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7" t="n">
        <v>1859</v>
      </c>
      <c r="U2815" s="17" t="n">
        <v>212</v>
      </c>
      <c r="V2815" s="17">
        <f>ROUNDUP((T2815+U2815+2*'Read Me'!$B$13)*(1+'Read Me'!$B$12),-1)</f>
        <v/>
      </c>
      <c r="W2815" s="17">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7" t="n">
        <v>1859</v>
      </c>
      <c r="U2816" s="17" t="n">
        <v>212</v>
      </c>
      <c r="V2816" s="17">
        <f>ROUNDUP((T2816+U2816+2*'Read Me'!$B$13)*(1+'Read Me'!$B$12),-1)</f>
        <v/>
      </c>
      <c r="W2816" s="17">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7" t="n">
        <v>1859</v>
      </c>
      <c r="U2817" s="17" t="n">
        <v>212</v>
      </c>
      <c r="V2817" s="17">
        <f>ROUNDUP((T2817+U2817+2*'Read Me'!$B$13)*(1+'Read Me'!$B$12),-1)</f>
        <v/>
      </c>
      <c r="W2817" s="17">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7" t="n">
        <v>1859</v>
      </c>
      <c r="U2818" s="17" t="n">
        <v>212</v>
      </c>
      <c r="V2818" s="17">
        <f>ROUNDUP((T2818+U2818+2*'Read Me'!$B$13)*(1+'Read Me'!$B$12),-1)</f>
        <v/>
      </c>
      <c r="W2818" s="17">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7" t="n">
        <v>1859</v>
      </c>
      <c r="U2819" s="17" t="n">
        <v>212</v>
      </c>
      <c r="V2819" s="17">
        <f>ROUNDUP((T2819+U2819+2*'Read Me'!$B$13)*(1+'Read Me'!$B$12),-1)</f>
        <v/>
      </c>
      <c r="W2819" s="17">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7" t="n">
        <v>1859</v>
      </c>
      <c r="U2820" s="17" t="n">
        <v>212</v>
      </c>
      <c r="V2820" s="17">
        <f>ROUNDUP((T2820+U2820+2*'Read Me'!$B$13)*(1+'Read Me'!$B$12),-1)</f>
        <v/>
      </c>
      <c r="W2820" s="17">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7" t="n">
        <v>1859</v>
      </c>
      <c r="U2821" s="17" t="n">
        <v>212</v>
      </c>
      <c r="V2821" s="17">
        <f>ROUNDUP((T2821+U2821+2*'Read Me'!$B$13)*(1+'Read Me'!$B$12),-1)</f>
        <v/>
      </c>
      <c r="W2821" s="17">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7" t="n">
        <v>1629</v>
      </c>
      <c r="U2822" s="17" t="n">
        <v>145</v>
      </c>
      <c r="V2822" s="17">
        <f>ROUNDUP((T2822+U2822+2*'Read Me'!$B$13)*(1+'Read Me'!$B$12),-1)</f>
        <v/>
      </c>
      <c r="W2822" s="17">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7" t="n">
        <v>1629</v>
      </c>
      <c r="U2823" s="17" t="n">
        <v>145</v>
      </c>
      <c r="V2823" s="17">
        <f>ROUNDUP((T2823+U2823+2*'Read Me'!$B$13)*(1+'Read Me'!$B$12),-1)</f>
        <v/>
      </c>
      <c r="W2823" s="17">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7" t="n">
        <v>1629</v>
      </c>
      <c r="U2824" s="17" t="n">
        <v>145</v>
      </c>
      <c r="V2824" s="17">
        <f>ROUNDUP((T2824+U2824+2*'Read Me'!$B$13)*(1+'Read Me'!$B$12),-1)</f>
        <v/>
      </c>
      <c r="W2824" s="17">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7" t="n">
        <v>1629</v>
      </c>
      <c r="U2825" s="17" t="n">
        <v>145</v>
      </c>
      <c r="V2825" s="17">
        <f>ROUNDUP((T2825+U2825+2*'Read Me'!$B$13)*(1+'Read Me'!$B$12),-1)</f>
        <v/>
      </c>
      <c r="W2825" s="17">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7" t="n">
        <v>1629</v>
      </c>
      <c r="U2826" s="17" t="n">
        <v>145</v>
      </c>
      <c r="V2826" s="17">
        <f>ROUNDUP((T2826+U2826+2*'Read Me'!$B$13)*(1+'Read Me'!$B$12),-1)</f>
        <v/>
      </c>
      <c r="W2826" s="17">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7" t="n">
        <v>1629</v>
      </c>
      <c r="U2827" s="17" t="n">
        <v>145</v>
      </c>
      <c r="V2827" s="17">
        <f>ROUNDUP((T2827+U2827+2*'Read Me'!$B$13)*(1+'Read Me'!$B$12),-1)</f>
        <v/>
      </c>
      <c r="W2827" s="17">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7" t="n">
        <v>1629</v>
      </c>
      <c r="U2828" s="17" t="n">
        <v>145</v>
      </c>
      <c r="V2828" s="17">
        <f>ROUNDUP((T2828+U2828+2*'Read Me'!$B$13)*(1+'Read Me'!$B$12),-1)</f>
        <v/>
      </c>
      <c r="W2828" s="17">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7" t="n">
        <v>1629</v>
      </c>
      <c r="U2829" s="17" t="n">
        <v>145</v>
      </c>
      <c r="V2829" s="17">
        <f>ROUNDUP((T2829+U2829+2*'Read Me'!$B$13)*(1+'Read Me'!$B$12),-1)</f>
        <v/>
      </c>
      <c r="W2829" s="17">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7" t="n">
        <v>1629</v>
      </c>
      <c r="U2830" s="17" t="n">
        <v>145</v>
      </c>
      <c r="V2830" s="17">
        <f>ROUNDUP((T2830+U2830+2*'Read Me'!$B$13)*(1+'Read Me'!$B$12),-1)</f>
        <v/>
      </c>
      <c r="W2830" s="17">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7" t="n">
        <v>1629</v>
      </c>
      <c r="U2831" s="17" t="n">
        <v>145</v>
      </c>
      <c r="V2831" s="17">
        <f>ROUNDUP((T2831+U2831+2*'Read Me'!$B$13)*(1+'Read Me'!$B$12),-1)</f>
        <v/>
      </c>
      <c r="W2831" s="17">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7" t="n">
        <v>1629</v>
      </c>
      <c r="U2832" s="17" t="n">
        <v>145</v>
      </c>
      <c r="V2832" s="17">
        <f>ROUNDUP((T2832+U2832+2*'Read Me'!$B$13)*(1+'Read Me'!$B$12),-1)</f>
        <v/>
      </c>
      <c r="W2832" s="17">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7" t="n">
        <v>1629</v>
      </c>
      <c r="U2833" s="17" t="n">
        <v>145</v>
      </c>
      <c r="V2833" s="17">
        <f>ROUNDUP((T2833+U2833+2*'Read Me'!$B$13)*(1+'Read Me'!$B$12),-1)</f>
        <v/>
      </c>
      <c r="W2833" s="17">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7" t="n">
        <v>1629</v>
      </c>
      <c r="U2834" s="17" t="n">
        <v>145</v>
      </c>
      <c r="V2834" s="17">
        <f>ROUNDUP((T2834+U2834+2*'Read Me'!$B$13)*(1+'Read Me'!$B$12),-1)</f>
        <v/>
      </c>
      <c r="W2834" s="17">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7" t="n">
        <v>1629</v>
      </c>
      <c r="U2835" s="17" t="n">
        <v>145</v>
      </c>
      <c r="V2835" s="17">
        <f>ROUNDUP((T2835+U2835+2*'Read Me'!$B$13)*(1+'Read Me'!$B$12),-1)</f>
        <v/>
      </c>
      <c r="W2835" s="17">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7" t="n">
        <v>1629</v>
      </c>
      <c r="U2836" s="17" t="n">
        <v>145</v>
      </c>
      <c r="V2836" s="17">
        <f>ROUNDUP((T2836+U2836+2*'Read Me'!$B$13)*(1+'Read Me'!$B$12),-1)</f>
        <v/>
      </c>
      <c r="W2836" s="17">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7" t="n">
        <v>1629</v>
      </c>
      <c r="U2837" s="17" t="n">
        <v>145</v>
      </c>
      <c r="V2837" s="17">
        <f>ROUNDUP((T2837+U2837+2*'Read Me'!$B$13)*(1+'Read Me'!$B$12),-1)</f>
        <v/>
      </c>
      <c r="W2837" s="17">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7" t="n">
        <v>1629</v>
      </c>
      <c r="U2838" s="17" t="n">
        <v>145</v>
      </c>
      <c r="V2838" s="17">
        <f>ROUNDUP((T2838+U2838+2*'Read Me'!$B$13)*(1+'Read Me'!$B$12),-1)</f>
        <v/>
      </c>
      <c r="W2838" s="17">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7" t="n">
        <v>1629</v>
      </c>
      <c r="U2839" s="17" t="n">
        <v>145</v>
      </c>
      <c r="V2839" s="17">
        <f>ROUNDUP((T2839+U2839+2*'Read Me'!$B$13)*(1+'Read Me'!$B$12),-1)</f>
        <v/>
      </c>
      <c r="W2839" s="17">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7" t="n">
        <v>1629</v>
      </c>
      <c r="U2840" s="17" t="n">
        <v>145</v>
      </c>
      <c r="V2840" s="17">
        <f>ROUNDUP((T2840+U2840+2*'Read Me'!$B$13)*(1+'Read Me'!$B$12),-1)</f>
        <v/>
      </c>
      <c r="W2840" s="17">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7" t="n">
        <v>1629</v>
      </c>
      <c r="U2841" s="17" t="n">
        <v>145</v>
      </c>
      <c r="V2841" s="17">
        <f>ROUNDUP((T2841+U2841+2*'Read Me'!$B$13)*(1+'Read Me'!$B$12),-1)</f>
        <v/>
      </c>
      <c r="W2841" s="17">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7" t="n">
        <v>1251</v>
      </c>
      <c r="U2842" s="17" t="n">
        <v>32</v>
      </c>
      <c r="V2842" s="17">
        <f>ROUNDUP((T2842+U2842+2*'Read Me'!$B$13)*(1+'Read Me'!$B$12),-1)</f>
        <v/>
      </c>
      <c r="W2842" s="17">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7" t="n">
        <v>370</v>
      </c>
      <c r="U2843" s="17" t="n">
        <v>52</v>
      </c>
      <c r="V2843" s="17">
        <f>ROUNDUP((T2843+U2843+2*'Read Me'!$B$13)*(1+'Read Me'!$B$12),-1)</f>
        <v/>
      </c>
      <c r="W2843" s="17">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7" t="n">
        <v>160</v>
      </c>
      <c r="U2844" s="17" t="n">
        <v>96</v>
      </c>
      <c r="V2844" s="17">
        <f>ROUNDUP((T2844+U2844+2*'Read Me'!$B$13)*(1+'Read Me'!$B$12),-1)</f>
        <v/>
      </c>
      <c r="W2844" s="17">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7" t="n">
        <v>0</v>
      </c>
      <c r="U2845" s="17" t="n">
        <v>32</v>
      </c>
      <c r="V2845" s="17">
        <f>ROUNDUP((T2845+U2845+2*'Read Me'!$B$13)*(1+'Read Me'!$B$12),-1)</f>
        <v/>
      </c>
      <c r="W2845" s="17">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7" t="n">
        <v>90</v>
      </c>
      <c r="U2846" s="17" t="n">
        <v>10</v>
      </c>
      <c r="V2846" s="17">
        <f>ROUNDUP((T2846+U2846+2*'Read Me'!$B$13)*(1+'Read Me'!$B$12),-1)</f>
        <v/>
      </c>
      <c r="W2846" s="17">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7" t="n">
        <v>292</v>
      </c>
      <c r="U2847" s="17" t="n">
        <v>32</v>
      </c>
      <c r="V2847" s="17">
        <f>ROUNDUP((T2847+U2847+2*'Read Me'!$B$13)*(1+'Read Me'!$B$12),-1)</f>
        <v/>
      </c>
      <c r="W2847" s="17">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7" t="n">
        <v>90</v>
      </c>
      <c r="U2848" s="17" t="n">
        <v>10</v>
      </c>
      <c r="V2848" s="17">
        <f>ROUNDUP((T2848+U2848+2*'Read Me'!$B$13)*(1+'Read Me'!$B$12),-1)</f>
        <v/>
      </c>
      <c r="W2848" s="17">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7" t="n">
        <v>292</v>
      </c>
      <c r="U2849" s="17" t="n">
        <v>32</v>
      </c>
      <c r="V2849" s="17">
        <f>ROUNDUP((T2849+U2849+2*'Read Me'!$B$13)*(1+'Read Me'!$B$12),-1)</f>
        <v/>
      </c>
      <c r="W2849" s="17">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7" t="n">
        <v>128</v>
      </c>
      <c r="U2850" s="17" t="n">
        <v>10</v>
      </c>
      <c r="V2850" s="17">
        <f>ROUNDUP((T2850+U2850+2*'Read Me'!$B$13)*(1+'Read Me'!$B$12),-1)</f>
        <v/>
      </c>
      <c r="W2850" s="17">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7" t="n">
        <v>370</v>
      </c>
      <c r="U2851" s="17" t="n">
        <v>52</v>
      </c>
      <c r="V2851" s="17">
        <f>ROUNDUP((T2851+U2851+2*'Read Me'!$B$13)*(1+'Read Me'!$B$12),-1)</f>
        <v/>
      </c>
      <c r="W2851" s="17">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7" t="n">
        <v>128</v>
      </c>
      <c r="U2852" s="17" t="n">
        <v>10</v>
      </c>
      <c r="V2852" s="17">
        <f>ROUNDUP((T2852+U2852+2*'Read Me'!$B$13)*(1+'Read Me'!$B$12),-1)</f>
        <v/>
      </c>
      <c r="W2852" s="17">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7" t="n">
        <v>370</v>
      </c>
      <c r="U2853" s="17" t="n">
        <v>52</v>
      </c>
      <c r="V2853" s="17">
        <f>ROUNDUP((T2853+U2853+2*'Read Me'!$B$13)*(1+'Read Me'!$B$12),-1)</f>
        <v/>
      </c>
      <c r="W2853" s="17">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7" t="n">
        <v>128</v>
      </c>
      <c r="U2854" s="17" t="n">
        <v>10</v>
      </c>
      <c r="V2854" s="17">
        <f>ROUNDUP((T2854+U2854+2*'Read Me'!$B$13)*(1+'Read Me'!$B$12),-1)</f>
        <v/>
      </c>
      <c r="W2854" s="17">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7" t="n">
        <v>370</v>
      </c>
      <c r="U2855" s="17" t="n">
        <v>52</v>
      </c>
      <c r="V2855" s="17">
        <f>ROUNDUP((T2855+U2855+2*'Read Me'!$B$13)*(1+'Read Me'!$B$12),-1)</f>
        <v/>
      </c>
      <c r="W2855" s="17">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7" t="n">
        <v>128</v>
      </c>
      <c r="U2856" s="17" t="n">
        <v>10</v>
      </c>
      <c r="V2856" s="17">
        <f>ROUNDUP((T2856+U2856+2*'Read Me'!$B$13)*(1+'Read Me'!$B$12),-1)</f>
        <v/>
      </c>
      <c r="W2856" s="17">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7" t="n">
        <v>370</v>
      </c>
      <c r="U2857" s="17" t="n">
        <v>52</v>
      </c>
      <c r="V2857" s="17">
        <f>ROUNDUP((T2857+U2857+2*'Read Me'!$B$13)*(1+'Read Me'!$B$12),-1)</f>
        <v/>
      </c>
      <c r="W2857" s="17">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7" t="n">
        <v>62</v>
      </c>
      <c r="U2858" s="17" t="n">
        <v>10</v>
      </c>
      <c r="V2858" s="17">
        <f>ROUNDUP((T2858+U2858+2*'Read Me'!$B$13)*(1+'Read Me'!$B$12),-1)</f>
        <v/>
      </c>
      <c r="W2858" s="17">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7" t="n">
        <v>370</v>
      </c>
      <c r="U2859" s="17" t="n">
        <v>151</v>
      </c>
      <c r="V2859" s="17">
        <f>ROUNDUP((T2859+U2859+2*'Read Me'!$B$13)*(1+'Read Me'!$B$12),-1)</f>
        <v/>
      </c>
      <c r="W2859" s="17">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7" t="n">
        <v>62</v>
      </c>
      <c r="U2860" s="17" t="n">
        <v>10</v>
      </c>
      <c r="V2860" s="17">
        <f>ROUNDUP((T2860+U2860+2*'Read Me'!$B$13)*(1+'Read Me'!$B$12),-1)</f>
        <v/>
      </c>
      <c r="W2860" s="17">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7" t="n">
        <v>370</v>
      </c>
      <c r="U2861" s="17" t="n">
        <v>151</v>
      </c>
      <c r="V2861" s="17">
        <f>ROUNDUP((T2861+U2861+2*'Read Me'!$B$13)*(1+'Read Me'!$B$12),-1)</f>
        <v/>
      </c>
      <c r="W2861" s="17">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7" t="n">
        <v>115</v>
      </c>
      <c r="U2862" s="17" t="n">
        <v>96</v>
      </c>
      <c r="V2862" s="17">
        <f>ROUNDUP((T2862+U2862+2*'Read Me'!$B$13)*(1+'Read Me'!$B$12),-1)</f>
        <v/>
      </c>
      <c r="W2862" s="17">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7" t="n">
        <v>86</v>
      </c>
      <c r="U2863" s="17" t="n">
        <v>10</v>
      </c>
      <c r="V2863" s="17">
        <f>ROUNDUP((T2863+U2863+2*'Read Me'!$B$13)*(1+'Read Me'!$B$12),-1)</f>
        <v/>
      </c>
      <c r="W2863" s="17">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7" t="n">
        <v>28</v>
      </c>
      <c r="U2864" s="17" t="n">
        <v>123</v>
      </c>
      <c r="V2864" s="17">
        <f>ROUNDUP((T2864+U2864+2*'Read Me'!$B$13)*(1+'Read Me'!$B$12),-1)</f>
        <v/>
      </c>
      <c r="W2864" s="17">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7" t="n">
        <v>86</v>
      </c>
      <c r="U2865" s="17" t="n">
        <v>10</v>
      </c>
      <c r="V2865" s="17">
        <f>ROUNDUP((T2865+U2865+2*'Read Me'!$B$13)*(1+'Read Me'!$B$12),-1)</f>
        <v/>
      </c>
      <c r="W2865" s="17">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7" t="n">
        <v>28</v>
      </c>
      <c r="U2866" s="17" t="n">
        <v>123</v>
      </c>
      <c r="V2866" s="17">
        <f>ROUNDUP((T2866+U2866+2*'Read Me'!$B$13)*(1+'Read Me'!$B$12),-1)</f>
        <v/>
      </c>
      <c r="W2866" s="17">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7" t="n">
        <v>95</v>
      </c>
      <c r="U2867" s="17" t="n">
        <v>10</v>
      </c>
      <c r="V2867" s="17">
        <f>ROUNDUP((T2867+U2867+2*'Read Me'!$B$13)*(1+'Read Me'!$B$12),-1)</f>
        <v/>
      </c>
      <c r="W2867" s="17">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7" t="n">
        <v>0</v>
      </c>
      <c r="U2868" s="17" t="n">
        <v>100</v>
      </c>
      <c r="V2868" s="17">
        <f>ROUNDUP((T2868+U2868+2*'Read Me'!$B$13)*(1+'Read Me'!$B$12),-1)</f>
        <v/>
      </c>
      <c r="W2868" s="17">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7" t="n">
        <v>95</v>
      </c>
      <c r="U2869" s="17" t="n">
        <v>10</v>
      </c>
      <c r="V2869" s="17">
        <f>ROUNDUP((T2869+U2869+2*'Read Me'!$B$13)*(1+'Read Me'!$B$12),-1)</f>
        <v/>
      </c>
      <c r="W2869" s="17">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7" t="n">
        <v>0</v>
      </c>
      <c r="U2870" s="17" t="n">
        <v>100</v>
      </c>
      <c r="V2870" s="17">
        <f>ROUNDUP((T2870+U2870+2*'Read Me'!$B$13)*(1+'Read Me'!$B$12),-1)</f>
        <v/>
      </c>
      <c r="W2870" s="17">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7" t="n">
        <v>66</v>
      </c>
      <c r="U2871" s="17" t="n">
        <v>10</v>
      </c>
      <c r="V2871" s="17">
        <f>ROUNDUP((T2871+U2871+2*'Read Me'!$B$13)*(1+'Read Me'!$B$12),-1)</f>
        <v/>
      </c>
      <c r="W2871" s="17">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7" t="n">
        <v>160</v>
      </c>
      <c r="U2872" s="17" t="n">
        <v>96</v>
      </c>
      <c r="V2872" s="17">
        <f>ROUNDUP((T2872+U2872+2*'Read Me'!$B$13)*(1+'Read Me'!$B$12),-1)</f>
        <v/>
      </c>
      <c r="W2872" s="17">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7" t="n">
        <v>66</v>
      </c>
      <c r="U2873" s="17" t="n">
        <v>10</v>
      </c>
      <c r="V2873" s="17">
        <f>ROUNDUP((T2873+U2873+2*'Read Me'!$B$13)*(1+'Read Me'!$B$12),-1)</f>
        <v/>
      </c>
      <c r="W2873" s="17">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7" t="n">
        <v>160</v>
      </c>
      <c r="U2874" s="17" t="n">
        <v>96</v>
      </c>
      <c r="V2874" s="17">
        <f>ROUNDUP((T2874+U2874+2*'Read Me'!$B$13)*(1+'Read Me'!$B$12),-1)</f>
        <v/>
      </c>
      <c r="W2874" s="17">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7" t="n">
        <v>66</v>
      </c>
      <c r="U2875" s="17" t="n">
        <v>10</v>
      </c>
      <c r="V2875" s="17">
        <f>ROUNDUP((T2875+U2875+2*'Read Me'!$B$13)*(1+'Read Me'!$B$12),-1)</f>
        <v/>
      </c>
      <c r="W2875" s="17">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7" t="n">
        <v>160</v>
      </c>
      <c r="U2876" s="17" t="n">
        <v>96</v>
      </c>
      <c r="V2876" s="17">
        <f>ROUNDUP((T2876+U2876+2*'Read Me'!$B$13)*(1+'Read Me'!$B$12),-1)</f>
        <v/>
      </c>
      <c r="W2876" s="17">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7" t="n">
        <v>82</v>
      </c>
      <c r="U2877" s="17" t="n">
        <v>10</v>
      </c>
      <c r="V2877" s="17">
        <f>ROUNDUP((T2877+U2877+2*'Read Me'!$B$13)*(1+'Read Me'!$B$12),-1)</f>
        <v/>
      </c>
      <c r="W2877" s="17">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7" t="n">
        <v>535</v>
      </c>
      <c r="U2878" s="17" t="n">
        <v>32</v>
      </c>
      <c r="V2878" s="17">
        <f>ROUNDUP((T2878+U2878+2*'Read Me'!$B$13)*(1+'Read Me'!$B$12),-1)</f>
        <v/>
      </c>
      <c r="W2878" s="17">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7" t="n">
        <v>82</v>
      </c>
      <c r="U2879" s="17" t="n">
        <v>10</v>
      </c>
      <c r="V2879" s="17">
        <f>ROUNDUP((T2879+U2879+2*'Read Me'!$B$13)*(1+'Read Me'!$B$12),-1)</f>
        <v/>
      </c>
      <c r="W2879" s="17">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7" t="n">
        <v>535</v>
      </c>
      <c r="U2880" s="17" t="n">
        <v>32</v>
      </c>
      <c r="V2880" s="17">
        <f>ROUNDUP((T2880+U2880+2*'Read Me'!$B$13)*(1+'Read Me'!$B$12),-1)</f>
        <v/>
      </c>
      <c r="W2880" s="17">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7" t="n">
        <v>40</v>
      </c>
      <c r="U2881" s="17" t="n">
        <v>10</v>
      </c>
      <c r="V2881" s="17">
        <f>ROUNDUP((T2881+U2881+2*'Read Me'!$B$13)*(1+'Read Me'!$B$12),-1)</f>
        <v/>
      </c>
      <c r="W2881" s="17">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7" t="n">
        <v>0</v>
      </c>
      <c r="U2882" s="17" t="n">
        <v>58</v>
      </c>
      <c r="V2882" s="17">
        <f>ROUNDUP((T2882+U2882+2*'Read Me'!$B$13)*(1+'Read Me'!$B$12),-1)</f>
        <v/>
      </c>
      <c r="W2882" s="17">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7" t="n">
        <v>40</v>
      </c>
      <c r="U2883" s="17" t="n">
        <v>10</v>
      </c>
      <c r="V2883" s="17">
        <f>ROUNDUP((T2883+U2883+2*'Read Me'!$B$13)*(1+'Read Me'!$B$12),-1)</f>
        <v/>
      </c>
      <c r="W2883" s="17">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7" t="n">
        <v>0</v>
      </c>
      <c r="U2884" s="17" t="n">
        <v>58</v>
      </c>
      <c r="V2884" s="17">
        <f>ROUNDUP((T2884+U2884+2*'Read Me'!$B$13)*(1+'Read Me'!$B$12),-1)</f>
        <v/>
      </c>
      <c r="W2884" s="17">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7" t="n">
        <v>45</v>
      </c>
      <c r="U2885" s="17" t="n">
        <v>10</v>
      </c>
      <c r="V2885" s="17">
        <f>ROUNDUP((T2885+U2885+2*'Read Me'!$B$13)*(1+'Read Me'!$B$12),-1)</f>
        <v/>
      </c>
      <c r="W2885" s="17">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7" t="n">
        <v>655</v>
      </c>
      <c r="U2886" s="17" t="n">
        <v>32</v>
      </c>
      <c r="V2886" s="17">
        <f>ROUNDUP((T2886+U2886+2*'Read Me'!$B$13)*(1+'Read Me'!$B$12),-1)</f>
        <v/>
      </c>
      <c r="W2886" s="17">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7" t="n">
        <v>45</v>
      </c>
      <c r="U2887" s="17" t="n">
        <v>10</v>
      </c>
      <c r="V2887" s="17">
        <f>ROUNDUP((T2887+U2887+2*'Read Me'!$B$13)*(1+'Read Me'!$B$12),-1)</f>
        <v/>
      </c>
      <c r="W2887" s="17">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7" t="n">
        <v>655</v>
      </c>
      <c r="U2888" s="17" t="n">
        <v>32</v>
      </c>
      <c r="V2888" s="17">
        <f>ROUNDUP((T2888+U2888+2*'Read Me'!$B$13)*(1+'Read Me'!$B$12),-1)</f>
        <v/>
      </c>
      <c r="W2888" s="17">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7" t="n">
        <v>86</v>
      </c>
      <c r="U2889" s="17" t="n">
        <v>10</v>
      </c>
      <c r="V2889" s="17">
        <f>ROUNDUP((T2889+U2889+2*'Read Me'!$B$13)*(1+'Read Me'!$B$12),-1)</f>
        <v/>
      </c>
      <c r="W2889" s="17">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7" t="n">
        <v>125</v>
      </c>
      <c r="U2890" s="17" t="n">
        <v>32</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7" t="n">
        <v>86</v>
      </c>
      <c r="U2891" s="17" t="n">
        <v>10</v>
      </c>
      <c r="V2891" s="17">
        <f>ROUNDUP((T2891+U2891+2*'Read Me'!$B$13)*(1+'Read Me'!$B$12),-1)</f>
        <v/>
      </c>
      <c r="W2891" s="17">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7" t="n">
        <v>125</v>
      </c>
      <c r="U2892" s="17" t="n">
        <v>32</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7" t="n">
        <v>140</v>
      </c>
      <c r="U2893" s="17" t="n">
        <v>10</v>
      </c>
      <c r="V2893" s="17">
        <f>ROUNDUP((T2893+U2893+2*'Read Me'!$B$13)*(1+'Read Me'!$B$12),-1)</f>
        <v/>
      </c>
      <c r="W2893" s="17">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7" t="n">
        <v>15</v>
      </c>
      <c r="U2894" s="17" t="n">
        <v>99</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7" t="n">
        <v>140</v>
      </c>
      <c r="U2895" s="17" t="n">
        <v>10</v>
      </c>
      <c r="V2895" s="17">
        <f>ROUNDUP((T2895+U2895+2*'Read Me'!$B$13)*(1+'Read Me'!$B$12),-1)</f>
        <v/>
      </c>
      <c r="W2895" s="17">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7" t="n">
        <v>15</v>
      </c>
      <c r="U2896" s="17" t="n">
        <v>99</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7" t="n">
        <v>140</v>
      </c>
      <c r="U2897" s="17" t="n">
        <v>10</v>
      </c>
      <c r="V2897" s="17">
        <f>ROUNDUP((T2897+U2897+2*'Read Me'!$B$13)*(1+'Read Me'!$B$12),-1)</f>
        <v/>
      </c>
      <c r="W2897" s="17">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7" t="n">
        <v>15</v>
      </c>
      <c r="U2898" s="17" t="n">
        <v>99</v>
      </c>
      <c r="V2898" s="17">
        <f>ROUNDUP((T2898+U2898+2*'Read Me'!$B$13)*(1+'Read Me'!$B$12),-1)</f>
        <v/>
      </c>
      <c r="W2898" s="17">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7" t="n">
        <v>160</v>
      </c>
      <c r="U2899" s="17" t="n">
        <v>10</v>
      </c>
      <c r="V2899" s="17">
        <f>ROUNDUP((T2899+U2899+2*'Read Me'!$B$13)*(1+'Read Me'!$B$12),-1)</f>
        <v/>
      </c>
      <c r="W2899" s="17">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7" t="n">
        <v>0</v>
      </c>
      <c r="U2900" s="17" t="n">
        <v>32</v>
      </c>
      <c r="V2900" s="17">
        <f>ROUNDUP((T2900+U2900+2*'Read Me'!$B$13)*(1+'Read Me'!$B$12),-1)</f>
        <v/>
      </c>
      <c r="W2900" s="17">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7" t="n">
        <v>160</v>
      </c>
      <c r="U2901" s="17" t="n">
        <v>10</v>
      </c>
      <c r="V2901" s="17">
        <f>ROUNDUP((T2901+U2901+2*'Read Me'!$B$13)*(1+'Read Me'!$B$12),-1)</f>
        <v/>
      </c>
      <c r="W2901" s="17">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7" t="n">
        <v>160</v>
      </c>
      <c r="U2903" s="17" t="n">
        <v>10</v>
      </c>
      <c r="V2903" s="17">
        <f>ROUNDUP((T2903+U2903+2*'Read Me'!$B$13)*(1+'Read Me'!$B$12),-1)</f>
        <v/>
      </c>
      <c r="W2903" s="17">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7" t="n">
        <v>0</v>
      </c>
      <c r="U2904" s="17" t="n">
        <v>32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7" t="n">
        <v>160</v>
      </c>
      <c r="U2905" s="17" t="n">
        <v>10</v>
      </c>
      <c r="V2905" s="17">
        <f>ROUNDUP((T2905+U2905+2*'Read Me'!$B$13)*(1+'Read Me'!$B$12),-1)</f>
        <v/>
      </c>
      <c r="W2905" s="17">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7" t="n">
        <v>0</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7" t="n">
        <v>160</v>
      </c>
      <c r="U2907" s="17" t="n">
        <v>10</v>
      </c>
      <c r="V2907" s="17">
        <f>ROUNDUP((T2907+U2907+2*'Read Me'!$B$13)*(1+'Read Me'!$B$12),-1)</f>
        <v/>
      </c>
      <c r="W2907" s="17">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7" t="n">
        <v>0</v>
      </c>
      <c r="U2908" s="17" t="n">
        <v>32</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7" t="n">
        <v>160</v>
      </c>
      <c r="U2909" s="17" t="n">
        <v>10</v>
      </c>
      <c r="V2909" s="17">
        <f>ROUNDUP((T2909+U2909+2*'Read Me'!$B$13)*(1+'Read Me'!$B$12),-1)</f>
        <v/>
      </c>
      <c r="W2909" s="17">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7" t="n">
        <v>0</v>
      </c>
      <c r="U2910" s="17" t="n">
        <v>32</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7" t="n">
        <v>160</v>
      </c>
      <c r="U2911" s="17" t="n">
        <v>10</v>
      </c>
      <c r="V2911" s="17">
        <f>ROUNDUP((T2911+U2911+2*'Read Me'!$B$13)*(1+'Read Me'!$B$12),-1)</f>
        <v/>
      </c>
      <c r="W2911" s="17">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7" t="n">
        <v>0</v>
      </c>
      <c r="U2912" s="17" t="n">
        <v>32</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7" t="n">
        <v>2010</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7" t="n">
        <v>2010</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7" t="n">
        <v>2089</v>
      </c>
      <c r="U2915" s="17" t="n">
        <v>165</v>
      </c>
      <c r="V2915" s="17">
        <f>ROUNDUP((T2915+U2915+2*'Read Me'!$B$13)*(1+'Read Me'!$B$12),-1)</f>
        <v/>
      </c>
      <c r="W2915" s="17">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7" t="n">
        <v>2089</v>
      </c>
      <c r="U2916" s="17" t="n">
        <v>165</v>
      </c>
      <c r="V2916" s="17">
        <f>ROUNDUP((T2916+U2916+2*'Read Me'!$B$13)*(1+'Read Me'!$B$12),-1)</f>
        <v/>
      </c>
      <c r="W2916" s="17">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7" t="n">
        <v>2089</v>
      </c>
      <c r="U2917" s="17" t="n">
        <v>165</v>
      </c>
      <c r="V2917" s="17">
        <f>ROUNDUP((T2917+U2917+2*'Read Me'!$B$13)*(1+'Read Me'!$B$12),-1)</f>
        <v/>
      </c>
      <c r="W2917" s="17">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7" t="n">
        <v>2089</v>
      </c>
      <c r="U2918" s="17" t="n">
        <v>165</v>
      </c>
      <c r="V2918" s="17">
        <f>ROUNDUP((T2918+U2918+2*'Read Me'!$B$13)*(1+'Read Me'!$B$12),-1)</f>
        <v/>
      </c>
      <c r="W2918" s="17">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7" t="n">
        <v>2089</v>
      </c>
      <c r="U2919" s="17" t="n">
        <v>165</v>
      </c>
      <c r="V2919" s="17">
        <f>ROUNDUP((T2919+U2919+2*'Read Me'!$B$13)*(1+'Read Me'!$B$12),-1)</f>
        <v/>
      </c>
      <c r="W2919" s="17">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7" t="n">
        <v>2089</v>
      </c>
      <c r="U2920" s="17" t="n">
        <v>264</v>
      </c>
      <c r="V2920" s="17">
        <f>ROUNDUP((T2920+U2920+2*'Read Me'!$B$13)*(1+'Read Me'!$B$12),-1)</f>
        <v/>
      </c>
      <c r="W2920" s="17">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7" t="n">
        <v>2089</v>
      </c>
      <c r="U2921" s="17" t="n">
        <v>264</v>
      </c>
      <c r="V2921" s="17">
        <f>ROUNDUP((T2921+U2921+2*'Read Me'!$B$13)*(1+'Read Me'!$B$12),-1)</f>
        <v/>
      </c>
      <c r="W2921" s="17">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7" t="n">
        <v>1959</v>
      </c>
      <c r="U2922" s="17" t="n">
        <v>209</v>
      </c>
      <c r="V2922" s="17">
        <f>ROUNDUP((T2922+U2922+2*'Read Me'!$B$13)*(1+'Read Me'!$B$12),-1)</f>
        <v/>
      </c>
      <c r="W2922" s="17">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7" t="n">
        <v>1500</v>
      </c>
      <c r="U2923" s="17" t="n">
        <v>0</v>
      </c>
      <c r="V2923" s="17">
        <f>ROUNDUP((T2923+U2923+2*'Read Me'!$B$13)*(1+'Read Me'!$B$12),-1)</f>
        <v/>
      </c>
      <c r="W2923" s="17">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7" t="n">
        <v>1872</v>
      </c>
      <c r="U2924" s="17" t="n">
        <v>236</v>
      </c>
      <c r="V2924" s="17">
        <f>ROUNDUP((T2924+U2924+2*'Read Me'!$B$13)*(1+'Read Me'!$B$12),-1)</f>
        <v/>
      </c>
      <c r="W2924" s="17">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7" t="n">
        <v>1798</v>
      </c>
      <c r="U2925" s="17" t="n">
        <v>145</v>
      </c>
      <c r="V2925" s="17">
        <f>ROUNDUP((T2925+U2925+2*'Read Me'!$B$13)*(1+'Read Me'!$B$12),-1)</f>
        <v/>
      </c>
      <c r="W2925" s="17">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7" t="n">
        <v>2004</v>
      </c>
      <c r="U2926" s="17" t="n">
        <v>209</v>
      </c>
      <c r="V2926" s="17">
        <f>ROUNDUP((T2926+U2926+2*'Read Me'!$B$13)*(1+'Read Me'!$B$12),-1)</f>
        <v/>
      </c>
      <c r="W2926" s="17">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7" t="n">
        <v>2004</v>
      </c>
      <c r="U2927" s="17" t="n">
        <v>209</v>
      </c>
      <c r="V2927" s="17">
        <f>ROUNDUP((T2927+U2927+2*'Read Me'!$B$13)*(1+'Read Me'!$B$12),-1)</f>
        <v/>
      </c>
      <c r="W2927" s="17">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7" t="n">
        <v>2254</v>
      </c>
      <c r="U2928" s="17" t="n">
        <v>145</v>
      </c>
      <c r="V2928" s="17">
        <f>ROUNDUP((T2928+U2928+2*'Read Me'!$B$13)*(1+'Read Me'!$B$12),-1)</f>
        <v/>
      </c>
      <c r="W2928" s="17">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7" t="n">
        <v>2010</v>
      </c>
      <c r="U2929" s="17" t="n">
        <v>220</v>
      </c>
      <c r="V2929" s="17">
        <f>ROUNDUP((T2929+U2929+2*'Read Me'!$B$13)*(1+'Read Me'!$B$12),-1)</f>
        <v/>
      </c>
      <c r="W2929" s="17">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7" t="n">
        <v>180</v>
      </c>
      <c r="U2930" s="17" t="n">
        <v>20</v>
      </c>
      <c r="V2930" s="17">
        <f>ROUNDUP((T2930+U2930+2*'Read Me'!$B$13)*(1+'Read Me'!$B$12),-1)</f>
        <v/>
      </c>
      <c r="W2930" s="17">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7" t="n">
        <v>180</v>
      </c>
      <c r="U2931" s="17" t="n">
        <v>20</v>
      </c>
      <c r="V2931" s="17">
        <f>ROUNDUP((T2931+U2931+2*'Read Me'!$B$13)*(1+'Read Me'!$B$12),-1)</f>
        <v/>
      </c>
      <c r="W2931" s="17">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7" t="n">
        <v>180</v>
      </c>
      <c r="U2932" s="17" t="n">
        <v>20</v>
      </c>
      <c r="V2932" s="17">
        <f>ROUNDUP((T2932+U2932+2*'Read Me'!$B$13)*(1+'Read Me'!$B$12),-1)</f>
        <v/>
      </c>
      <c r="W2932" s="17">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7" t="n">
        <v>180</v>
      </c>
      <c r="U2933" s="17" t="n">
        <v>20</v>
      </c>
      <c r="V2933" s="17">
        <f>ROUNDUP((T2933+U2933+2*'Read Me'!$B$13)*(1+'Read Me'!$B$12),-1)</f>
        <v/>
      </c>
      <c r="W2933" s="17">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7" t="n">
        <v>180</v>
      </c>
      <c r="U2934" s="17" t="n">
        <v>20</v>
      </c>
      <c r="V2934" s="17">
        <f>ROUNDUP((T2934+U2934+2*'Read Me'!$B$13)*(1+'Read Me'!$B$12),-1)</f>
        <v/>
      </c>
      <c r="W2934" s="17">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7" t="n">
        <v>180</v>
      </c>
      <c r="U2935" s="17" t="n">
        <v>20</v>
      </c>
      <c r="V2935" s="17">
        <f>ROUNDUP((T2935+U2935+2*'Read Me'!$B$13)*(1+'Read Me'!$B$12),-1)</f>
        <v/>
      </c>
      <c r="W2935" s="17">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7" t="n">
        <v>180</v>
      </c>
      <c r="U2936" s="17" t="n">
        <v>20</v>
      </c>
      <c r="V2936" s="17">
        <f>ROUNDUP((T2936+U2936+2*'Read Me'!$B$13)*(1+'Read Me'!$B$12),-1)</f>
        <v/>
      </c>
      <c r="W2936" s="17">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7" t="n">
        <v>180</v>
      </c>
      <c r="U2937" s="17" t="n">
        <v>20</v>
      </c>
      <c r="V2937" s="17">
        <f>ROUNDUP((T2937+U2937+2*'Read Me'!$B$13)*(1+'Read Me'!$B$12),-1)</f>
        <v/>
      </c>
      <c r="W2937" s="17">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7" t="n">
        <v>180</v>
      </c>
      <c r="U2938" s="17" t="n">
        <v>20</v>
      </c>
      <c r="V2938" s="17">
        <f>ROUNDUP((T2938+U2938+2*'Read Me'!$B$13)*(1+'Read Me'!$B$12),-1)</f>
        <v/>
      </c>
      <c r="W2938" s="17">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7" t="n">
        <v>180</v>
      </c>
      <c r="U2939" s="17" t="n">
        <v>20</v>
      </c>
      <c r="V2939" s="17">
        <f>ROUNDUP((T2939+U2939+2*'Read Me'!$B$13)*(1+'Read Me'!$B$12),-1)</f>
        <v/>
      </c>
      <c r="W2939" s="17">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7" t="n">
        <v>180</v>
      </c>
      <c r="U2940" s="17" t="n">
        <v>20</v>
      </c>
      <c r="V2940" s="17">
        <f>ROUNDUP((T2940+U2940+2*'Read Me'!$B$13)*(1+'Read Me'!$B$12),-1)</f>
        <v/>
      </c>
      <c r="W2940" s="17">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7" t="n">
        <v>180</v>
      </c>
      <c r="U2941" s="17" t="n">
        <v>20</v>
      </c>
      <c r="V2941" s="17">
        <f>ROUNDUP((T2941+U2941+2*'Read Me'!$B$13)*(1+'Read Me'!$B$12),-1)</f>
        <v/>
      </c>
      <c r="W2941" s="17">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7" t="n">
        <v>180</v>
      </c>
      <c r="U2942" s="17" t="n">
        <v>20</v>
      </c>
      <c r="V2942" s="17">
        <f>ROUNDUP((T2942+U2942+2*'Read Me'!$B$13)*(1+'Read Me'!$B$12),-1)</f>
        <v/>
      </c>
      <c r="W2942" s="17">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7" t="n">
        <v>180</v>
      </c>
      <c r="U2943" s="17" t="n">
        <v>20</v>
      </c>
      <c r="V2943" s="17">
        <f>ROUNDUP((T2943+U2943+2*'Read Me'!$B$13)*(1+'Read Me'!$B$12),-1)</f>
        <v/>
      </c>
      <c r="W2943" s="17">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7" t="n">
        <v>180</v>
      </c>
      <c r="U2944" s="17" t="n">
        <v>20</v>
      </c>
      <c r="V2944" s="17">
        <f>ROUNDUP((T2944+U2944+2*'Read Me'!$B$13)*(1+'Read Me'!$B$12),-1)</f>
        <v/>
      </c>
      <c r="W2944" s="17">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7" t="n">
        <v>180</v>
      </c>
      <c r="U2945" s="17" t="n">
        <v>20</v>
      </c>
      <c r="V2945" s="17">
        <f>ROUNDUP((T2945+U2945+2*'Read Me'!$B$13)*(1+'Read Me'!$B$12),-1)</f>
        <v/>
      </c>
      <c r="W2945" s="17">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7" t="n">
        <v>180</v>
      </c>
      <c r="U2946" s="17" t="n">
        <v>20</v>
      </c>
      <c r="V2946" s="17">
        <f>ROUNDUP((T2946+U2946+2*'Read Me'!$B$13)*(1+'Read Me'!$B$12),-1)</f>
        <v/>
      </c>
      <c r="W2946" s="17">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7" t="n">
        <v>180</v>
      </c>
      <c r="U2947" s="17" t="n">
        <v>20</v>
      </c>
      <c r="V2947" s="17">
        <f>ROUNDUP((T2947+U2947+2*'Read Me'!$B$13)*(1+'Read Me'!$B$12),-1)</f>
        <v/>
      </c>
      <c r="W2947" s="17">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7" t="n">
        <v>180</v>
      </c>
      <c r="U2948" s="17" t="n">
        <v>20</v>
      </c>
      <c r="V2948" s="17">
        <f>ROUNDUP((T2948+U2948+2*'Read Me'!$B$13)*(1+'Read Me'!$B$12),-1)</f>
        <v/>
      </c>
      <c r="W2948" s="17">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7" t="n">
        <v>180</v>
      </c>
      <c r="U2949" s="17" t="n">
        <v>20</v>
      </c>
      <c r="V2949" s="17">
        <f>ROUNDUP((T2949+U2949+2*'Read Me'!$B$13)*(1+'Read Me'!$B$12),-1)</f>
        <v/>
      </c>
      <c r="W2949" s="17">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7" t="n">
        <v>180</v>
      </c>
      <c r="U2950" s="17" t="n">
        <v>20</v>
      </c>
      <c r="V2950" s="17">
        <f>ROUNDUP((T2950+U2950+2*'Read Me'!$B$13)*(1+'Read Me'!$B$12),-1)</f>
        <v/>
      </c>
      <c r="W2950" s="17">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7" t="n">
        <v>180</v>
      </c>
      <c r="U2951" s="17" t="n">
        <v>20</v>
      </c>
      <c r="V2951" s="17">
        <f>ROUNDUP((T2951+U2951+2*'Read Me'!$B$13)*(1+'Read Me'!$B$12),-1)</f>
        <v/>
      </c>
      <c r="W2951" s="17">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7" t="n">
        <v>180</v>
      </c>
      <c r="U2952" s="17" t="n">
        <v>20</v>
      </c>
      <c r="V2952" s="17">
        <f>ROUNDUP((T2952+U2952+2*'Read Me'!$B$13)*(1+'Read Me'!$B$12),-1)</f>
        <v/>
      </c>
      <c r="W2952" s="17">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7" t="n">
        <v>180</v>
      </c>
      <c r="U2953" s="17" t="n">
        <v>20</v>
      </c>
      <c r="V2953" s="17">
        <f>ROUNDUP((T2953+U2953+2*'Read Me'!$B$13)*(1+'Read Me'!$B$12),-1)</f>
        <v/>
      </c>
      <c r="W2953" s="17">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7" t="n">
        <v>1844</v>
      </c>
      <c r="U2954" s="17" t="n">
        <v>171</v>
      </c>
      <c r="V2954" s="17">
        <f>ROUNDUP((T2954+U2954+2*'Read Me'!$B$13)*(1+'Read Me'!$B$12),-1)</f>
        <v/>
      </c>
      <c r="W2954" s="17">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7" t="n">
        <v>180</v>
      </c>
      <c r="U2955" s="17" t="n">
        <v>20</v>
      </c>
      <c r="V2955" s="17">
        <f>ROUNDUP((T2955+U2955+2*'Read Me'!$B$13)*(1+'Read Me'!$B$12),-1)</f>
        <v/>
      </c>
      <c r="W2955" s="17">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7" t="n">
        <v>180</v>
      </c>
      <c r="U2956" s="17" t="n">
        <v>20</v>
      </c>
      <c r="V2956" s="17">
        <f>ROUNDUP((T2956+U2956+2*'Read Me'!$B$13)*(1+'Read Me'!$B$12),-1)</f>
        <v/>
      </c>
      <c r="W2956" s="17">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7" t="n">
        <v>180</v>
      </c>
      <c r="U2957" s="17" t="n">
        <v>20</v>
      </c>
      <c r="V2957" s="17">
        <f>ROUNDUP((T2957+U2957+2*'Read Me'!$B$13)*(1+'Read Me'!$B$12),-1)</f>
        <v/>
      </c>
      <c r="W2957" s="17">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7" t="n">
        <v>180</v>
      </c>
      <c r="U2958" s="17" t="n">
        <v>20</v>
      </c>
      <c r="V2958" s="17">
        <f>ROUNDUP((T2958+U2958+2*'Read Me'!$B$13)*(1+'Read Me'!$B$12),-1)</f>
        <v/>
      </c>
      <c r="W2958" s="17">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7" t="n">
        <v>180</v>
      </c>
      <c r="U2959" s="17" t="n">
        <v>20</v>
      </c>
      <c r="V2959" s="17">
        <f>ROUNDUP((T2959+U2959+2*'Read Me'!$B$13)*(1+'Read Me'!$B$12),-1)</f>
        <v/>
      </c>
      <c r="W2959" s="17">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7" t="n">
        <v>180</v>
      </c>
      <c r="U2960" s="17" t="n">
        <v>20</v>
      </c>
      <c r="V2960" s="17">
        <f>ROUNDUP((T2960+U2960+2*'Read Me'!$B$13)*(1+'Read Me'!$B$12),-1)</f>
        <v/>
      </c>
      <c r="W2960" s="17">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7" t="n">
        <v>180</v>
      </c>
      <c r="U2961" s="17" t="n">
        <v>20</v>
      </c>
      <c r="V2961" s="17">
        <f>ROUNDUP((T2961+U2961+2*'Read Me'!$B$13)*(1+'Read Me'!$B$12),-1)</f>
        <v/>
      </c>
      <c r="W2961" s="17">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7" t="n">
        <v>180</v>
      </c>
      <c r="U2962" s="17" t="n">
        <v>20</v>
      </c>
      <c r="V2962" s="17">
        <f>ROUNDUP((T2962+U2962+2*'Read Me'!$B$13)*(1+'Read Me'!$B$12),-1)</f>
        <v/>
      </c>
      <c r="W2962" s="17">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7" t="n">
        <v>180</v>
      </c>
      <c r="U2963" s="17" t="n">
        <v>20</v>
      </c>
      <c r="V2963" s="17">
        <f>ROUNDUP((T2963+U2963+2*'Read Me'!$B$13)*(1+'Read Me'!$B$12),-1)</f>
        <v/>
      </c>
      <c r="W2963" s="17">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7" t="n">
        <v>180</v>
      </c>
      <c r="U2964" s="17" t="n">
        <v>20</v>
      </c>
      <c r="V2964" s="17">
        <f>ROUNDUP((T2964+U2964+2*'Read Me'!$B$13)*(1+'Read Me'!$B$12),-1)</f>
        <v/>
      </c>
      <c r="W2964" s="17">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7" t="n">
        <v>180</v>
      </c>
      <c r="U2965" s="17" t="n">
        <v>20</v>
      </c>
      <c r="V2965" s="17">
        <f>ROUNDUP((T2965+U2965+2*'Read Me'!$B$13)*(1+'Read Me'!$B$12),-1)</f>
        <v/>
      </c>
      <c r="W2965" s="17">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7" t="n">
        <v>180</v>
      </c>
      <c r="U2966" s="17" t="n">
        <v>20</v>
      </c>
      <c r="V2966" s="17">
        <f>ROUNDUP((T2966+U2966+2*'Read Me'!$B$13)*(1+'Read Me'!$B$12),-1)</f>
        <v/>
      </c>
      <c r="W2966" s="17">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7" t="n">
        <v>180</v>
      </c>
      <c r="U2967" s="17" t="n">
        <v>20</v>
      </c>
      <c r="V2967" s="17">
        <f>ROUNDUP((T2967+U2967+2*'Read Me'!$B$13)*(1+'Read Me'!$B$12),-1)</f>
        <v/>
      </c>
      <c r="W2967" s="17">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7" t="n">
        <v>180</v>
      </c>
      <c r="U2968" s="17" t="n">
        <v>20</v>
      </c>
      <c r="V2968" s="17">
        <f>ROUNDUP((T2968+U2968+2*'Read Me'!$B$13)*(1+'Read Me'!$B$12),-1)</f>
        <v/>
      </c>
      <c r="W2968" s="17">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7" t="n">
        <v>180</v>
      </c>
      <c r="U2969" s="17" t="n">
        <v>20</v>
      </c>
      <c r="V2969" s="17">
        <f>ROUNDUP((T2969+U2969+2*'Read Me'!$B$13)*(1+'Read Me'!$B$12),-1)</f>
        <v/>
      </c>
      <c r="W2969" s="17">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7" t="n">
        <v>180</v>
      </c>
      <c r="U2970" s="17" t="n">
        <v>20</v>
      </c>
      <c r="V2970" s="17">
        <f>ROUNDUP((T2970+U2970+2*'Read Me'!$B$13)*(1+'Read Me'!$B$12),-1)</f>
        <v/>
      </c>
      <c r="W2970" s="17">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7" t="n">
        <v>180</v>
      </c>
      <c r="U2971" s="17" t="n">
        <v>20</v>
      </c>
      <c r="V2971" s="17">
        <f>ROUNDUP((T2971+U2971+2*'Read Me'!$B$13)*(1+'Read Me'!$B$12),-1)</f>
        <v/>
      </c>
      <c r="W2971" s="17">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7" t="n">
        <v>180</v>
      </c>
      <c r="U2972" s="17" t="n">
        <v>20</v>
      </c>
      <c r="V2972" s="17">
        <f>ROUNDUP((T2972+U2972+2*'Read Me'!$B$13)*(1+'Read Me'!$B$12),-1)</f>
        <v/>
      </c>
      <c r="W2972" s="17">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7" t="n">
        <v>180</v>
      </c>
      <c r="U2973" s="17" t="n">
        <v>20</v>
      </c>
      <c r="V2973" s="17">
        <f>ROUNDUP((T2973+U2973+2*'Read Me'!$B$13)*(1+'Read Me'!$B$12),-1)</f>
        <v/>
      </c>
      <c r="W2973" s="17">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7" t="n">
        <v>180</v>
      </c>
      <c r="U2974" s="17" t="n">
        <v>20</v>
      </c>
      <c r="V2974" s="17">
        <f>ROUNDUP((T2974+U2974+2*'Read Me'!$B$13)*(1+'Read Me'!$B$12),-1)</f>
        <v/>
      </c>
      <c r="W2974" s="17">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7" t="n">
        <v>180</v>
      </c>
      <c r="U2975" s="17" t="n">
        <v>20</v>
      </c>
      <c r="V2975" s="17">
        <f>ROUNDUP((T2975+U2975+2*'Read Me'!$B$13)*(1+'Read Me'!$B$12),-1)</f>
        <v/>
      </c>
      <c r="W2975" s="17">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7" t="n">
        <v>180</v>
      </c>
      <c r="U2976" s="17" t="n">
        <v>20</v>
      </c>
      <c r="V2976" s="17">
        <f>ROUNDUP((T2976+U2976+2*'Read Me'!$B$13)*(1+'Read Me'!$B$12),-1)</f>
        <v/>
      </c>
      <c r="W2976" s="17">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7" t="n">
        <v>180</v>
      </c>
      <c r="U2977" s="17" t="n">
        <v>20</v>
      </c>
      <c r="V2977" s="17">
        <f>ROUNDUP((T2977+U2977+2*'Read Me'!$B$13)*(1+'Read Me'!$B$12),-1)</f>
        <v/>
      </c>
      <c r="W2977" s="17">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7" t="n">
        <v>180</v>
      </c>
      <c r="U2978" s="17" t="n">
        <v>20</v>
      </c>
      <c r="V2978" s="17">
        <f>ROUNDUP((T2978+U2978+2*'Read Me'!$B$13)*(1+'Read Me'!$B$12),-1)</f>
        <v/>
      </c>
      <c r="W2978" s="17">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7" t="n">
        <v>2002</v>
      </c>
      <c r="U2979" s="17" t="n">
        <v>347</v>
      </c>
      <c r="V2979" s="17">
        <f>ROUNDUP((T2979+U2979+2*'Read Me'!$B$13)*(1+'Read Me'!$B$12),-1)</f>
        <v/>
      </c>
      <c r="W2979" s="17">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7" t="n">
        <v>2002</v>
      </c>
      <c r="U2980" s="17" t="n">
        <v>347</v>
      </c>
      <c r="V2980" s="17">
        <f>ROUNDUP((T2980+U2980+2*'Read Me'!$B$13)*(1+'Read Me'!$B$12),-1)</f>
        <v/>
      </c>
      <c r="W2980" s="17">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7" t="n">
        <v>1754</v>
      </c>
      <c r="U2981" s="17" t="n">
        <v>145</v>
      </c>
      <c r="V2981" s="17">
        <f>ROUNDUP((T2981+U2981+2*'Read Me'!$B$13)*(1+'Read Me'!$B$12),-1)</f>
        <v/>
      </c>
      <c r="W2981" s="17">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7" t="n">
        <v>1859</v>
      </c>
      <c r="U2982" s="17" t="n">
        <v>212</v>
      </c>
      <c r="V2982" s="17">
        <f>ROUNDUP((T2982+U2982+2*'Read Me'!$B$13)*(1+'Read Me'!$B$12),-1)</f>
        <v/>
      </c>
      <c r="W2982" s="17">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7" t="n">
        <v>1859</v>
      </c>
      <c r="U2983" s="17" t="n">
        <v>212</v>
      </c>
      <c r="V2983" s="17">
        <f>ROUNDUP((T2983+U2983+2*'Read Me'!$B$13)*(1+'Read Me'!$B$12),-1)</f>
        <v/>
      </c>
      <c r="W2983" s="17">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7" t="n">
        <v>1859</v>
      </c>
      <c r="U2984" s="17" t="n">
        <v>212</v>
      </c>
      <c r="V2984" s="17">
        <f>ROUNDUP((T2984+U2984+2*'Read Me'!$B$13)*(1+'Read Me'!$B$12),-1)</f>
        <v/>
      </c>
      <c r="W2984" s="17">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7" t="n">
        <v>1859</v>
      </c>
      <c r="U2985" s="17" t="n">
        <v>212</v>
      </c>
      <c r="V2985" s="17">
        <f>ROUNDUP((T2985+U2985+2*'Read Me'!$B$13)*(1+'Read Me'!$B$12),-1)</f>
        <v/>
      </c>
      <c r="W2985" s="17">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7" t="n">
        <v>1859</v>
      </c>
      <c r="U2986" s="17" t="n">
        <v>212</v>
      </c>
      <c r="V2986" s="17">
        <f>ROUNDUP((T2986+U2986+2*'Read Me'!$B$13)*(1+'Read Me'!$B$12),-1)</f>
        <v/>
      </c>
      <c r="W2986" s="17">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7" t="n">
        <v>1859</v>
      </c>
      <c r="U2987" s="17" t="n">
        <v>212</v>
      </c>
      <c r="V2987" s="17">
        <f>ROUNDUP((T2987+U2987+2*'Read Me'!$B$13)*(1+'Read Me'!$B$12),-1)</f>
        <v/>
      </c>
      <c r="W2987" s="17">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7" t="n">
        <v>1859</v>
      </c>
      <c r="U2988" s="17" t="n">
        <v>212</v>
      </c>
      <c r="V2988" s="17">
        <f>ROUNDUP((T2988+U2988+2*'Read Me'!$B$13)*(1+'Read Me'!$B$12),-1)</f>
        <v/>
      </c>
      <c r="W2988" s="17">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7" t="n">
        <v>1859</v>
      </c>
      <c r="U2989" s="17" t="n">
        <v>212</v>
      </c>
      <c r="V2989" s="17">
        <f>ROUNDUP((T2989+U2989+2*'Read Me'!$B$13)*(1+'Read Me'!$B$12),-1)</f>
        <v/>
      </c>
      <c r="W2989" s="17">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7" t="n">
        <v>1629</v>
      </c>
      <c r="U2990" s="17" t="n">
        <v>145</v>
      </c>
      <c r="V2990" s="17">
        <f>ROUNDUP((T2990+U2990+2*'Read Me'!$B$13)*(1+'Read Me'!$B$12),-1)</f>
        <v/>
      </c>
      <c r="W2990" s="17">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7" t="n">
        <v>1629</v>
      </c>
      <c r="U2991" s="17" t="n">
        <v>145</v>
      </c>
      <c r="V2991" s="17">
        <f>ROUNDUP((T2991+U2991+2*'Read Me'!$B$13)*(1+'Read Me'!$B$12),-1)</f>
        <v/>
      </c>
      <c r="W2991" s="17">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7" t="n">
        <v>1629</v>
      </c>
      <c r="U2992" s="17" t="n">
        <v>145</v>
      </c>
      <c r="V2992" s="17">
        <f>ROUNDUP((T2992+U2992+2*'Read Me'!$B$13)*(1+'Read Me'!$B$12),-1)</f>
        <v/>
      </c>
      <c r="W2992" s="17">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7" t="n">
        <v>1629</v>
      </c>
      <c r="U2993" s="17" t="n">
        <v>145</v>
      </c>
      <c r="V2993" s="17">
        <f>ROUNDUP((T2993+U2993+2*'Read Me'!$B$13)*(1+'Read Me'!$B$12),-1)</f>
        <v/>
      </c>
      <c r="W2993" s="17">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7" t="n">
        <v>1629</v>
      </c>
      <c r="U2994" s="17" t="n">
        <v>145</v>
      </c>
      <c r="V2994" s="17">
        <f>ROUNDUP((T2994+U2994+2*'Read Me'!$B$13)*(1+'Read Me'!$B$12),-1)</f>
        <v/>
      </c>
      <c r="W2994" s="17">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7" t="n">
        <v>1629</v>
      </c>
      <c r="U2995" s="17" t="n">
        <v>145</v>
      </c>
      <c r="V2995" s="17">
        <f>ROUNDUP((T2995+U2995+2*'Read Me'!$B$13)*(1+'Read Me'!$B$12),-1)</f>
        <v/>
      </c>
      <c r="W2995" s="17">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7" t="n">
        <v>1629</v>
      </c>
      <c r="U2996" s="17" t="n">
        <v>145</v>
      </c>
      <c r="V2996" s="17">
        <f>ROUNDUP((T2996+U2996+2*'Read Me'!$B$13)*(1+'Read Me'!$B$12),-1)</f>
        <v/>
      </c>
      <c r="W2996" s="17">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7" t="n">
        <v>1629</v>
      </c>
      <c r="U2997" s="17" t="n">
        <v>145</v>
      </c>
      <c r="V2997" s="17">
        <f>ROUNDUP((T2997+U2997+2*'Read Me'!$B$13)*(1+'Read Me'!$B$12),-1)</f>
        <v/>
      </c>
      <c r="W2997" s="17">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7" t="n">
        <v>1629</v>
      </c>
      <c r="U2998" s="17" t="n">
        <v>145</v>
      </c>
      <c r="V2998" s="17">
        <f>ROUNDUP((T2998+U2998+2*'Read Me'!$B$13)*(1+'Read Me'!$B$12),-1)</f>
        <v/>
      </c>
      <c r="W2998" s="17">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7" t="n">
        <v>1629</v>
      </c>
      <c r="U2999" s="17" t="n">
        <v>145</v>
      </c>
      <c r="V2999" s="17">
        <f>ROUNDUP((T2999+U2999+2*'Read Me'!$B$13)*(1+'Read Me'!$B$12),-1)</f>
        <v/>
      </c>
      <c r="W2999" s="17">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7" t="n">
        <v>1629</v>
      </c>
      <c r="U3000" s="17" t="n">
        <v>145</v>
      </c>
      <c r="V3000" s="17">
        <f>ROUNDUP((T3000+U3000+2*'Read Me'!$B$13)*(1+'Read Me'!$B$12),-1)</f>
        <v/>
      </c>
      <c r="W3000" s="17">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7" t="n">
        <v>1629</v>
      </c>
      <c r="U3001" s="17" t="n">
        <v>145</v>
      </c>
      <c r="V3001" s="17">
        <f>ROUNDUP((T3001+U3001+2*'Read Me'!$B$13)*(1+'Read Me'!$B$12),-1)</f>
        <v/>
      </c>
      <c r="W3001" s="17">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7" t="n">
        <v>1629</v>
      </c>
      <c r="U3002" s="17" t="n">
        <v>145</v>
      </c>
      <c r="V3002" s="17">
        <f>ROUNDUP((T3002+U3002+2*'Read Me'!$B$13)*(1+'Read Me'!$B$12),-1)</f>
        <v/>
      </c>
      <c r="W3002" s="17">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7" t="n">
        <v>1629</v>
      </c>
      <c r="U3003" s="17" t="n">
        <v>145</v>
      </c>
      <c r="V3003" s="17">
        <f>ROUNDUP((T3003+U3003+2*'Read Me'!$B$13)*(1+'Read Me'!$B$12),-1)</f>
        <v/>
      </c>
      <c r="W3003" s="17">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7" t="n">
        <v>1629</v>
      </c>
      <c r="U3004" s="17" t="n">
        <v>145</v>
      </c>
      <c r="V3004" s="17">
        <f>ROUNDUP((T3004+U3004+2*'Read Me'!$B$13)*(1+'Read Me'!$B$12),-1)</f>
        <v/>
      </c>
      <c r="W3004" s="17">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7" t="n">
        <v>1629</v>
      </c>
      <c r="U3005" s="17" t="n">
        <v>145</v>
      </c>
      <c r="V3005" s="17">
        <f>ROUNDUP((T3005+U3005+2*'Read Me'!$B$13)*(1+'Read Me'!$B$12),-1)</f>
        <v/>
      </c>
      <c r="W3005" s="17">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7" t="n">
        <v>1629</v>
      </c>
      <c r="U3006" s="17" t="n">
        <v>145</v>
      </c>
      <c r="V3006" s="17">
        <f>ROUNDUP((T3006+U3006+2*'Read Me'!$B$13)*(1+'Read Me'!$B$12),-1)</f>
        <v/>
      </c>
      <c r="W3006" s="17">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7" t="n">
        <v>1629</v>
      </c>
      <c r="U3007" s="17" t="n">
        <v>145</v>
      </c>
      <c r="V3007" s="17">
        <f>ROUNDUP((T3007+U3007+2*'Read Me'!$B$13)*(1+'Read Me'!$B$12),-1)</f>
        <v/>
      </c>
      <c r="W3007" s="17">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7" t="n">
        <v>1629</v>
      </c>
      <c r="U3008" s="17" t="n">
        <v>145</v>
      </c>
      <c r="V3008" s="17">
        <f>ROUNDUP((T3008+U3008+2*'Read Me'!$B$13)*(1+'Read Me'!$B$12),-1)</f>
        <v/>
      </c>
      <c r="W3008" s="17">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7" t="n">
        <v>1629</v>
      </c>
      <c r="U3009" s="17" t="n">
        <v>145</v>
      </c>
      <c r="V3009" s="17">
        <f>ROUNDUP((T3009+U3009+2*'Read Me'!$B$13)*(1+'Read Me'!$B$12),-1)</f>
        <v/>
      </c>
      <c r="W3009" s="17">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7" t="n">
        <v>30</v>
      </c>
      <c r="U3010" s="17" t="n">
        <v>16</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7" t="n">
        <v>12</v>
      </c>
      <c r="U3011" s="17" t="n">
        <v>16</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7" t="n">
        <v>1080</v>
      </c>
      <c r="U3012" s="17" t="n">
        <v>0</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7" t="n">
        <v>10</v>
      </c>
      <c r="U3013" s="17" t="n">
        <v>16</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7" t="n">
        <v>10</v>
      </c>
      <c r="U3014" s="17" t="n">
        <v>16</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7" t="n">
        <v>12</v>
      </c>
      <c r="U3015" s="17" t="n">
        <v>16</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7" t="n">
        <v>12</v>
      </c>
      <c r="U3016" s="17" t="n">
        <v>16</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7" t="n">
        <v>2235</v>
      </c>
      <c r="U3017" s="17" t="n">
        <v>0</v>
      </c>
      <c r="V3017" s="17">
        <f>ROUNDUP((T3017+U3017+2*'Read Me'!$B$13)*(1+'Read Me'!$B$12),-1)</f>
        <v/>
      </c>
      <c r="W3017" s="17">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7" t="n">
        <v>3236</v>
      </c>
      <c r="U3018" s="17" t="n">
        <v>0</v>
      </c>
      <c r="V3018" s="17">
        <f>ROUNDUP((T3018+U3018+2*'Read Me'!$B$13)*(1+'Read Me'!$B$12),-1)</f>
        <v/>
      </c>
      <c r="W3018" s="17">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7" t="n">
        <v>736</v>
      </c>
      <c r="U3019" s="17" t="n">
        <v>0</v>
      </c>
      <c r="V3019" s="17">
        <f>ROUNDUP((T3019+U3019+2*'Read Me'!$B$13)*(1+'Read Me'!$B$12),-1)</f>
        <v/>
      </c>
      <c r="W3019" s="17">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7" t="n">
        <v>8003</v>
      </c>
      <c r="U3020" s="17" t="n">
        <v>0</v>
      </c>
      <c r="V3020" s="17">
        <f>ROUNDUP((T3020+U3020+2*'Read Me'!$B$13)*(1+'Read Me'!$B$12),-1)</f>
        <v/>
      </c>
      <c r="W3020" s="17">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7" t="n">
        <v>27227</v>
      </c>
      <c r="U3021" s="17" t="n">
        <v>0</v>
      </c>
      <c r="V3021" s="17">
        <f>ROUNDUP((T3021+U3021+2*'Read Me'!$B$13)*(1+'Read Me'!$B$12),-1)</f>
        <v/>
      </c>
      <c r="W3021" s="17">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7" t="n">
        <v>0</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32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7" t="n">
        <v>626</v>
      </c>
      <c r="U3024" s="17" t="n">
        <v>62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7" t="n">
        <v>661</v>
      </c>
      <c r="U3025" s="17" t="n">
        <v>65</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7" t="n">
        <v>38</v>
      </c>
      <c r="U3026" s="17" t="n">
        <v>32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744</v>
      </c>
      <c r="U3027" s="17" t="n">
        <v>173</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744</v>
      </c>
      <c r="U3028" s="17" t="n">
        <v>173</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33</v>
      </c>
      <c r="U3029" s="17" t="n">
        <v>32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7" t="n">
        <v>900</v>
      </c>
      <c r="U3030" s="17" t="n">
        <v>237</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7" t="n">
        <v>356</v>
      </c>
      <c r="U3031" s="17" t="n">
        <v>32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2486</v>
      </c>
      <c r="U3032" s="17" t="n">
        <v>264</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7" t="n">
        <v>1832</v>
      </c>
      <c r="U3033" s="17" t="n">
        <v>145</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7" t="n">
        <v>1832</v>
      </c>
      <c r="U3034" s="17" t="n">
        <v>145</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37</v>
      </c>
      <c r="U3035" s="17" t="n">
        <v>109</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7" t="n">
        <v>0</v>
      </c>
      <c r="U3036" s="17" t="n">
        <v>32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7" t="n">
        <v>0</v>
      </c>
      <c r="U3037" s="17" t="n">
        <v>32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7" t="n">
        <v>121</v>
      </c>
      <c r="U3038" s="17" t="n">
        <v>0</v>
      </c>
      <c r="V3038" s="17">
        <f>ROUNDUP((T3038+U3038+2*'Read Me'!$B$13)*(1+'Read Me'!$B$12),-1)</f>
        <v/>
      </c>
      <c r="W3038" s="17">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7" t="n">
        <v>17332</v>
      </c>
      <c r="U3039" s="17" t="n">
        <v>0</v>
      </c>
      <c r="V3039" s="17">
        <f>ROUNDUP((T3039+U3039+2*'Read Me'!$B$13)*(1+'Read Me'!$B$12),-1)</f>
        <v/>
      </c>
      <c r="W3039" s="17">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7" t="n">
        <v>63</v>
      </c>
      <c r="U3040" s="17" t="n">
        <v>0</v>
      </c>
      <c r="V3040" s="17">
        <f>ROUNDUP((T3040+U3040+2*'Read Me'!$B$13)*(1+'Read Me'!$B$12),-1)</f>
        <v/>
      </c>
      <c r="W3040" s="17">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7" t="n">
        <v>38</v>
      </c>
      <c r="U3041" s="17" t="n">
        <v>32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7" t="n">
        <v>356</v>
      </c>
      <c r="U3042" s="17" t="n">
        <v>32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7" t="n">
        <v>37</v>
      </c>
      <c r="U3043" s="17" t="n">
        <v>109</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7" t="n">
        <v>0</v>
      </c>
      <c r="U3044" s="17" t="n">
        <v>32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7" t="n">
        <v>0</v>
      </c>
      <c r="U3045" s="17" t="n">
        <v>32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7" t="n">
        <v>830</v>
      </c>
      <c r="U3046" s="17" t="n">
        <v>0</v>
      </c>
      <c r="V3046" s="17">
        <f>ROUNDUP((T3046+U3046+2*'Read Me'!$B$13)*(1+'Read Me'!$B$12),-1)</f>
        <v/>
      </c>
      <c r="W3046" s="17">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7" t="n">
        <v>626</v>
      </c>
      <c r="U3047" s="17" t="n">
        <v>62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7" t="n">
        <v>661</v>
      </c>
      <c r="U3048" s="17" t="n">
        <v>65</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7" t="n">
        <v>38</v>
      </c>
      <c r="U3049" s="17" t="n">
        <v>32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7" t="n">
        <v>356</v>
      </c>
      <c r="U3050" s="17" t="n">
        <v>32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7" t="n">
        <v>37</v>
      </c>
      <c r="U3051" s="17" t="n">
        <v>109</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7" t="n">
        <v>626</v>
      </c>
      <c r="U3052" s="17" t="n">
        <v>62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7" t="n">
        <v>626</v>
      </c>
      <c r="U3053" s="17" t="n">
        <v>62</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7" t="n">
        <v>626</v>
      </c>
      <c r="U3054" s="17" t="n">
        <v>62</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7" t="n">
        <v>661</v>
      </c>
      <c r="U3055" s="17" t="n">
        <v>65</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7" t="n">
        <v>661</v>
      </c>
      <c r="U3056" s="17" t="n">
        <v>65</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7" t="n">
        <v>661</v>
      </c>
      <c r="U3057" s="17" t="n">
        <v>65</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7" t="n">
        <v>40</v>
      </c>
      <c r="U3058" s="17" t="n">
        <v>10</v>
      </c>
      <c r="V3058" s="17">
        <f>ROUNDUP((T3058+U3058+2*'Read Me'!$B$13)*(1+'Read Me'!$B$12),-1)</f>
        <v/>
      </c>
      <c r="W3058" s="17">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7" t="n">
        <v>366</v>
      </c>
      <c r="U3059" s="17" t="n">
        <v>60</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7" t="n">
        <v>40</v>
      </c>
      <c r="U3060" s="17" t="n">
        <v>10</v>
      </c>
      <c r="V3060" s="17">
        <f>ROUNDUP((T3060+U3060+2*'Read Me'!$B$13)*(1+'Read Me'!$B$12),-1)</f>
        <v/>
      </c>
      <c r="W3060" s="17">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7" t="n">
        <v>366</v>
      </c>
      <c r="U3061" s="17" t="n">
        <v>60</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7" t="n">
        <v>72</v>
      </c>
      <c r="U3062" s="17" t="n">
        <v>10</v>
      </c>
      <c r="V3062" s="17">
        <f>ROUNDUP((T3062+U3062+2*'Read Me'!$B$13)*(1+'Read Me'!$B$12),-1)</f>
        <v/>
      </c>
      <c r="W3062" s="17">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7" t="n">
        <v>1454</v>
      </c>
      <c r="U3063" s="17" t="n">
        <v>32</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7" t="n">
        <v>72</v>
      </c>
      <c r="U3064" s="17" t="n">
        <v>10</v>
      </c>
      <c r="V3064" s="17">
        <f>ROUNDUP((T3064+U3064+2*'Read Me'!$B$13)*(1+'Read Me'!$B$12),-1)</f>
        <v/>
      </c>
      <c r="W3064" s="17">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7" t="n">
        <v>1454</v>
      </c>
      <c r="U3065" s="17" t="n">
        <v>32</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7" t="n">
        <v>1020</v>
      </c>
      <c r="U3066" s="17" t="n">
        <v>145</v>
      </c>
      <c r="V3066" s="17">
        <f>ROUNDUP((T3066+U3066+2*'Read Me'!$B$13)*(1+'Read Me'!$B$12),-1)</f>
        <v/>
      </c>
      <c r="W3066" s="17">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7" t="n">
        <v>30</v>
      </c>
      <c r="U3067" s="17" t="n">
        <v>32</v>
      </c>
      <c r="V3067" s="17">
        <f>ROUNDUP((T3067+U3067+2*'Read Me'!$B$13)*(1+'Read Me'!$B$12),-1)</f>
        <v/>
      </c>
      <c r="W3067" s="17">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7" t="n">
        <v>875</v>
      </c>
      <c r="U3068" s="17" t="n">
        <v>219</v>
      </c>
      <c r="V3068" s="17">
        <f>ROUNDUP((T3068+U3068+2*'Read Me'!$B$13)*(1+'Read Me'!$B$12),-1)</f>
        <v/>
      </c>
      <c r="W3068" s="17">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7" t="n">
        <v>981</v>
      </c>
      <c r="U3069" s="17" t="n">
        <v>193</v>
      </c>
      <c r="V3069" s="17">
        <f>ROUNDUP((T3069+U3069+2*'Read Me'!$B$13)*(1+'Read Me'!$B$12),-1)</f>
        <v/>
      </c>
      <c r="W3069" s="17">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7" t="n">
        <v>1049</v>
      </c>
      <c r="U3070" s="17" t="n">
        <v>145</v>
      </c>
      <c r="V3070" s="17">
        <f>ROUNDUP((T3070+U3070+2*'Read Me'!$B$13)*(1+'Read Me'!$B$12),-1)</f>
        <v/>
      </c>
      <c r="W3070" s="17">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7" t="n">
        <v>744</v>
      </c>
      <c r="U3071" s="17" t="n">
        <v>173</v>
      </c>
      <c r="V3071" s="17">
        <f>ROUNDUP((T3071+U3071+2*'Read Me'!$B$13)*(1+'Read Me'!$B$12),-1)</f>
        <v/>
      </c>
      <c r="W3071" s="17">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7" t="n">
        <v>744</v>
      </c>
      <c r="U3072" s="17" t="n">
        <v>173</v>
      </c>
      <c r="V3072" s="17">
        <f>ROUNDUP((T3072+U3072+2*'Read Me'!$B$13)*(1+'Read Me'!$B$12),-1)</f>
        <v/>
      </c>
      <c r="W3072" s="17">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7" t="n">
        <v>734</v>
      </c>
      <c r="U3073" s="17" t="n">
        <v>145</v>
      </c>
      <c r="V3073" s="17">
        <f>ROUNDUP((T3073+U3073+2*'Read Me'!$B$13)*(1+'Read Me'!$B$12),-1)</f>
        <v/>
      </c>
      <c r="W3073" s="17">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7" t="n">
        <v>120</v>
      </c>
      <c r="U3074" s="17" t="n">
        <v>30</v>
      </c>
      <c r="V3074" s="17">
        <f>ROUNDUP((T3074+U3074+2*'Read Me'!$B$13)*(1+'Read Me'!$B$12),-1)</f>
        <v/>
      </c>
      <c r="W3074" s="17">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7" t="n">
        <v>1832</v>
      </c>
      <c r="U3075" s="17" t="n">
        <v>145</v>
      </c>
      <c r="V3075" s="17">
        <f>ROUNDUP((T3075+U3075+2*'Read Me'!$B$13)*(1+'Read Me'!$B$12),-1)</f>
        <v/>
      </c>
      <c r="W3075" s="17">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7" t="n">
        <v>1832</v>
      </c>
      <c r="U3076" s="17" t="n">
        <v>145</v>
      </c>
      <c r="V3076" s="17">
        <f>ROUNDUP((T3076+U3076+2*'Read Me'!$B$13)*(1+'Read Me'!$B$12),-1)</f>
        <v/>
      </c>
      <c r="W3076" s="17">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7" t="n">
        <v>734</v>
      </c>
      <c r="U3077" s="17" t="n">
        <v>204</v>
      </c>
      <c r="V3077" s="17">
        <f>ROUNDUP((T3077+U3077+2*'Read Me'!$B$13)*(1+'Read Me'!$B$12),-1)</f>
        <v/>
      </c>
      <c r="W3077" s="17">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7" t="n">
        <v>5400</v>
      </c>
      <c r="U3078" s="17" t="n">
        <v>0</v>
      </c>
      <c r="V3078" s="17">
        <f>ROUNDUP((T3078+U3078+2*'Read Me'!$B$13)*(1+'Read Me'!$B$12),-1)</f>
        <v/>
      </c>
      <c r="W3078" s="17">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7" t="n">
        <v>14560</v>
      </c>
      <c r="U3079" s="17" t="n">
        <v>0</v>
      </c>
      <c r="V3079" s="17">
        <f>ROUNDUP((T3079+U3079+2*'Read Me'!$B$13)*(1+'Read Me'!$B$12),-1)</f>
        <v/>
      </c>
      <c r="W3079" s="17">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7" t="n">
        <v>7920</v>
      </c>
      <c r="U3080" s="17" t="n">
        <v>0</v>
      </c>
      <c r="V3080" s="17">
        <f>ROUNDUP((T3080+U3080+2*'Read Me'!$B$13)*(1+'Read Me'!$B$12),-1)</f>
        <v/>
      </c>
      <c r="W3080" s="17">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7" t="n">
        <v>570</v>
      </c>
      <c r="U3081" s="17" t="n">
        <v>80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7" t="n">
        <v>570</v>
      </c>
      <c r="U3082" s="17" t="n">
        <v>80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7" t="n">
        <v>570</v>
      </c>
      <c r="U3083" s="17" t="n">
        <v>80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7" t="n">
        <v>570</v>
      </c>
      <c r="U3084" s="17" t="n">
        <v>80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7" t="n">
        <v>570</v>
      </c>
      <c r="U3085" s="17" t="n">
        <v>80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7" t="n">
        <v>570</v>
      </c>
      <c r="U3086" s="17" t="n">
        <v>80</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7" t="n">
        <v>570</v>
      </c>
      <c r="U3087" s="17" t="n">
        <v>80</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7" t="n">
        <v>570</v>
      </c>
      <c r="U3088" s="17" t="n">
        <v>80</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7" t="n">
        <v>570</v>
      </c>
      <c r="U3089" s="17" t="n">
        <v>80</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7" t="n">
        <v>570</v>
      </c>
      <c r="U3090" s="17" t="n">
        <v>80</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552</v>
      </c>
      <c r="U3091" s="17" t="n">
        <v>81</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552</v>
      </c>
      <c r="U3092" s="17" t="n">
        <v>81</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7" t="n">
        <v>410</v>
      </c>
      <c r="U3093" s="17" t="n">
        <v>80</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7" t="n">
        <v>410</v>
      </c>
      <c r="U3094" s="17" t="n">
        <v>80</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7" t="n">
        <v>410</v>
      </c>
      <c r="U3095" s="17" t="n">
        <v>80</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7" t="n">
        <v>410</v>
      </c>
      <c r="U3096" s="17" t="n">
        <v>80</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7" t="n">
        <v>410</v>
      </c>
      <c r="U3097" s="17" t="n">
        <v>80</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7" t="n">
        <v>410</v>
      </c>
      <c r="U3098" s="17" t="n">
        <v>80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7" t="n">
        <v>410</v>
      </c>
      <c r="U3099" s="17" t="n">
        <v>80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7" t="n">
        <v>410</v>
      </c>
      <c r="U3100" s="17" t="n">
        <v>80</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7" t="n">
        <v>410</v>
      </c>
      <c r="U3101" s="17" t="n">
        <v>80</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7" t="n">
        <v>410</v>
      </c>
      <c r="U3102" s="17" t="n">
        <v>80</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7" t="n">
        <v>392</v>
      </c>
      <c r="U3103" s="17" t="n">
        <v>81</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7" t="n">
        <v>392</v>
      </c>
      <c r="U3104" s="17" t="n">
        <v>81</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7" t="n">
        <v>250</v>
      </c>
      <c r="U3105" s="17" t="n">
        <v>80</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7" t="n">
        <v>250</v>
      </c>
      <c r="U3106" s="17" t="n">
        <v>80</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7" t="n">
        <v>250</v>
      </c>
      <c r="U3107" s="17" t="n">
        <v>80</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7" t="n">
        <v>250</v>
      </c>
      <c r="U3108" s="17" t="n">
        <v>80</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7" t="n">
        <v>250</v>
      </c>
      <c r="U3109" s="17" t="n">
        <v>80</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7" t="n">
        <v>250</v>
      </c>
      <c r="U3110" s="17" t="n">
        <v>80</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7" t="n">
        <v>250</v>
      </c>
      <c r="U3111" s="17" t="n">
        <v>80</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7" t="n">
        <v>250</v>
      </c>
      <c r="U3112" s="17" t="n">
        <v>80</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7" t="n">
        <v>250</v>
      </c>
      <c r="U3113" s="17" t="n">
        <v>80</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7" t="n">
        <v>250</v>
      </c>
      <c r="U3114" s="17" t="n">
        <v>80</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7" t="n">
        <v>232</v>
      </c>
      <c r="U3115" s="17" t="n">
        <v>81</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7" t="n">
        <v>232</v>
      </c>
      <c r="U3116" s="17" t="n">
        <v>81</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7" t="n">
        <v>460</v>
      </c>
      <c r="U3117" s="17" t="n">
        <v>32</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7" t="n">
        <v>460</v>
      </c>
      <c r="U3118" s="17" t="n">
        <v>32</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7" t="n">
        <v>460</v>
      </c>
      <c r="U3119" s="17" t="n">
        <v>32</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7" t="n">
        <v>460</v>
      </c>
      <c r="U3120" s="17" t="n">
        <v>32</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7" t="n">
        <v>300</v>
      </c>
      <c r="U3121" s="17" t="n">
        <v>32</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7" t="n">
        <v>300</v>
      </c>
      <c r="U3122" s="17" t="n">
        <v>32</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7" t="n">
        <v>300</v>
      </c>
      <c r="U3123" s="17" t="n">
        <v>32</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7" t="n">
        <v>300</v>
      </c>
      <c r="U3124" s="17" t="n">
        <v>32</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7" t="n">
        <v>16</v>
      </c>
      <c r="U3125" s="17" t="n">
        <v>150</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7" t="n">
        <v>16</v>
      </c>
      <c r="U3126" s="17" t="n">
        <v>150</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7" t="n">
        <v>16</v>
      </c>
      <c r="U3127" s="17" t="n">
        <v>150</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7" t="n">
        <v>16</v>
      </c>
      <c r="U3128" s="17" t="n">
        <v>150</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7" t="n">
        <v>0</v>
      </c>
      <c r="U3129" s="17" t="n">
        <v>170</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7" t="n">
        <v>206</v>
      </c>
      <c r="U3130" s="17" t="n">
        <v>101</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7" t="n">
        <v>361</v>
      </c>
      <c r="U3131" s="17" t="n">
        <v>32</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7" t="n">
        <v>361</v>
      </c>
      <c r="U3132" s="17" t="n">
        <v>32</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7" t="n">
        <v>361</v>
      </c>
      <c r="U3133" s="17" t="n">
        <v>32</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361</v>
      </c>
      <c r="U3134" s="17" t="n">
        <v>32</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361</v>
      </c>
      <c r="U3135" s="17" t="n">
        <v>32</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361</v>
      </c>
      <c r="U3136" s="17" t="n">
        <v>32</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409</v>
      </c>
      <c r="U3137" s="17" t="n">
        <v>32</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7" t="n">
        <v>409</v>
      </c>
      <c r="U3138" s="17" t="n">
        <v>32</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7" t="n">
        <v>409</v>
      </c>
      <c r="U3139" s="17" t="n">
        <v>32</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7" t="n">
        <v>409</v>
      </c>
      <c r="U3140" s="17" t="n">
        <v>32</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7" t="n">
        <v>409</v>
      </c>
      <c r="U3141" s="17" t="n">
        <v>32</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7" t="n">
        <v>409</v>
      </c>
      <c r="U3142" s="17" t="n">
        <v>32</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0</v>
      </c>
      <c r="U3143" s="17" t="n">
        <v>42</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7" t="n">
        <v>0</v>
      </c>
      <c r="U3144" s="17" t="n">
        <v>42</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7" t="n">
        <v>0</v>
      </c>
      <c r="U3145" s="17" t="n">
        <v>42</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7" t="n">
        <v>0</v>
      </c>
      <c r="U3146" s="17" t="n">
        <v>42</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7" t="n">
        <v>0</v>
      </c>
      <c r="U3147" s="17" t="n">
        <v>42</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7" t="n">
        <v>0</v>
      </c>
      <c r="U3148" s="17" t="n">
        <v>42</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7" t="n">
        <v>0</v>
      </c>
      <c r="U3149" s="17" t="n">
        <v>42</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7" t="n">
        <v>0</v>
      </c>
      <c r="U3150" s="17" t="n">
        <v>42</v>
      </c>
      <c r="V3150" s="17">
        <f>ROUNDUP((T3150+U3150+2*'Read Me'!$B$13)*(1+'Read Me'!$B$12),-1)</f>
        <v/>
      </c>
      <c r="W3150" s="17">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7" t="n">
        <v>0</v>
      </c>
      <c r="U3151" s="17" t="n">
        <v>42</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7" t="n">
        <v>0</v>
      </c>
      <c r="U3152" s="17" t="n">
        <v>42</v>
      </c>
      <c r="V3152" s="17">
        <f>ROUNDUP((T3152+U3152+2*'Read Me'!$B$13)*(1+'Read Me'!$B$12),-1)</f>
        <v/>
      </c>
      <c r="W3152" s="17">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7" t="n">
        <v>0</v>
      </c>
      <c r="U3153" s="17" t="n">
        <v>42</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7" t="n">
        <v>0</v>
      </c>
      <c r="U3154" s="17" t="n">
        <v>42</v>
      </c>
      <c r="V3154" s="17">
        <f>ROUNDUP((T3154+U3154+2*'Read Me'!$B$13)*(1+'Read Me'!$B$12),-1)</f>
        <v/>
      </c>
      <c r="W3154" s="17">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7" t="n">
        <v>0</v>
      </c>
      <c r="U3155" s="17" t="n">
        <v>42</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7" t="n">
        <v>0</v>
      </c>
      <c r="U3156" s="17" t="n">
        <v>42</v>
      </c>
      <c r="V3156" s="17">
        <f>ROUNDUP((T3156+U3156+2*'Read Me'!$B$13)*(1+'Read Me'!$B$12),-1)</f>
        <v/>
      </c>
      <c r="W3156" s="17">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7" t="n">
        <v>0</v>
      </c>
      <c r="U3157" s="17" t="n">
        <v>42</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7" t="n">
        <v>0</v>
      </c>
      <c r="U3158" s="17" t="n">
        <v>42</v>
      </c>
      <c r="V3158" s="17">
        <f>ROUNDUP((T3158+U3158+2*'Read Me'!$B$13)*(1+'Read Me'!$B$12),-1)</f>
        <v/>
      </c>
      <c r="W3158" s="17">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7" t="n">
        <v>0</v>
      </c>
      <c r="U3159" s="17" t="n">
        <v>42</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7" t="n">
        <v>0</v>
      </c>
      <c r="U3160" s="17" t="n">
        <v>42</v>
      </c>
      <c r="V3160" s="17">
        <f>ROUNDUP((T3160+U3160+2*'Read Me'!$B$13)*(1+'Read Me'!$B$12),-1)</f>
        <v/>
      </c>
      <c r="W3160" s="17">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7" t="n">
        <v>0</v>
      </c>
      <c r="U3161" s="17" t="n">
        <v>42</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7" t="n">
        <v>0</v>
      </c>
      <c r="U3162" s="17" t="n">
        <v>42</v>
      </c>
      <c r="V3162" s="17">
        <f>ROUNDUP((T3162+U3162+2*'Read Me'!$B$13)*(1+'Read Me'!$B$12),-1)</f>
        <v/>
      </c>
      <c r="W3162" s="17">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7" t="n">
        <v>0</v>
      </c>
      <c r="U3163" s="17" t="n">
        <v>42</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7" t="n">
        <v>0</v>
      </c>
      <c r="U3164" s="17" t="n">
        <v>42</v>
      </c>
      <c r="V3164" s="17">
        <f>ROUNDUP((T3164+U3164+2*'Read Me'!$B$13)*(1+'Read Me'!$B$12),-1)</f>
        <v/>
      </c>
      <c r="W3164" s="17">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7" t="n">
        <v>0</v>
      </c>
      <c r="U3165" s="17" t="n">
        <v>42</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7" t="n">
        <v>0</v>
      </c>
      <c r="U3166" s="17" t="n">
        <v>42</v>
      </c>
      <c r="V3166" s="17">
        <f>ROUNDUP((T3166+U3166+2*'Read Me'!$B$13)*(1+'Read Me'!$B$12),-1)</f>
        <v/>
      </c>
      <c r="W3166" s="17">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7" t="n">
        <v>0</v>
      </c>
      <c r="U3167" s="17" t="n">
        <v>42</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7" t="n">
        <v>0</v>
      </c>
      <c r="U3168" s="17" t="n">
        <v>42</v>
      </c>
      <c r="V3168" s="17">
        <f>ROUNDUP((T3168+U3168+2*'Read Me'!$B$13)*(1+'Read Me'!$B$12),-1)</f>
        <v/>
      </c>
      <c r="W3168" s="17">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7" t="n">
        <v>0</v>
      </c>
      <c r="U3169" s="17" t="n">
        <v>42</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7" t="n">
        <v>0</v>
      </c>
      <c r="U3170" s="17" t="n">
        <v>42</v>
      </c>
      <c r="V3170" s="17">
        <f>ROUNDUP((T3170+U3170+2*'Read Me'!$B$13)*(1+'Read Me'!$B$12),-1)</f>
        <v/>
      </c>
      <c r="W3170" s="17">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7" t="n">
        <v>0</v>
      </c>
      <c r="U3171" s="17" t="n">
        <v>42</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7" t="n">
        <v>0</v>
      </c>
      <c r="U3172" s="17" t="n">
        <v>42</v>
      </c>
      <c r="V3172" s="17">
        <f>ROUNDUP((T3172+U3172+2*'Read Me'!$B$13)*(1+'Read Me'!$B$12),-1)</f>
        <v/>
      </c>
      <c r="W3172" s="17">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7" t="n">
        <v>206</v>
      </c>
      <c r="U3173" s="17" t="n">
        <v>51</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7" t="n">
        <v>206</v>
      </c>
      <c r="U3174" s="17" t="n">
        <v>51</v>
      </c>
      <c r="V3174" s="17">
        <f>ROUNDUP((T3174+U3174+2*'Read Me'!$B$13)*(1+'Read Me'!$B$12),-1)</f>
        <v/>
      </c>
      <c r="W3174" s="17">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7" t="n">
        <v>5</v>
      </c>
      <c r="U3175" s="17" t="n">
        <v>87</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7" t="n">
        <v>5</v>
      </c>
      <c r="U3176" s="17" t="n">
        <v>87</v>
      </c>
      <c r="V3176" s="17">
        <f>ROUNDUP((T3176+U3176+2*'Read Me'!$B$13)*(1+'Read Me'!$B$12),-1)</f>
        <v/>
      </c>
      <c r="W3176" s="17">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7" t="n">
        <v>5</v>
      </c>
      <c r="U3177" s="17" t="n">
        <v>87</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7" t="n">
        <v>5</v>
      </c>
      <c r="U3178" s="17" t="n">
        <v>87</v>
      </c>
      <c r="V3178" s="17">
        <f>ROUNDUP((T3178+U3178+2*'Read Me'!$B$13)*(1+'Read Me'!$B$12),-1)</f>
        <v/>
      </c>
      <c r="W3178" s="17">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7" t="n">
        <v>5</v>
      </c>
      <c r="U3179" s="17" t="n">
        <v>87</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7" t="n">
        <v>5</v>
      </c>
      <c r="U3180" s="17" t="n">
        <v>87</v>
      </c>
      <c r="V3180" s="17">
        <f>ROUNDUP((T3180+U3180+2*'Read Me'!$B$13)*(1+'Read Me'!$B$12),-1)</f>
        <v/>
      </c>
      <c r="W3180" s="17">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7" t="n">
        <v>291</v>
      </c>
      <c r="U3181" s="17" t="n">
        <v>36</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7" t="n">
        <v>291</v>
      </c>
      <c r="U3182" s="17" t="n">
        <v>36</v>
      </c>
      <c r="V3182" s="17">
        <f>ROUNDUP((T3182+U3182+2*'Read Me'!$B$13)*(1+'Read Me'!$B$12),-1)</f>
        <v/>
      </c>
      <c r="W3182" s="17">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7" t="n">
        <v>291</v>
      </c>
      <c r="U3183" s="17" t="n">
        <v>36</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7" t="n">
        <v>291</v>
      </c>
      <c r="U3184" s="17" t="n">
        <v>36</v>
      </c>
      <c r="V3184" s="17">
        <f>ROUNDUP((T3184+U3184+2*'Read Me'!$B$13)*(1+'Read Me'!$B$12),-1)</f>
        <v/>
      </c>
      <c r="W3184" s="17">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7" t="n">
        <v>291</v>
      </c>
      <c r="U3185" s="17" t="n">
        <v>36</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7" t="n">
        <v>291</v>
      </c>
      <c r="U3186" s="17" t="n">
        <v>36</v>
      </c>
      <c r="V3186" s="17">
        <f>ROUNDUP((T3186+U3186+2*'Read Me'!$B$13)*(1+'Read Me'!$B$12),-1)</f>
        <v/>
      </c>
      <c r="W3186" s="17">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7" t="n">
        <v>291</v>
      </c>
      <c r="U3187" s="17" t="n">
        <v>36</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7" t="n">
        <v>291</v>
      </c>
      <c r="U3188" s="17" t="n">
        <v>36</v>
      </c>
      <c r="V3188" s="17">
        <f>ROUNDUP((T3188+U3188+2*'Read Me'!$B$13)*(1+'Read Me'!$B$12),-1)</f>
        <v/>
      </c>
      <c r="W3188" s="17">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7" t="n">
        <v>291</v>
      </c>
      <c r="U3189" s="17" t="n">
        <v>36</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7" t="n">
        <v>291</v>
      </c>
      <c r="U3190" s="17" t="n">
        <v>36</v>
      </c>
      <c r="V3190" s="17">
        <f>ROUNDUP((T3190+U3190+2*'Read Me'!$B$13)*(1+'Read Me'!$B$12),-1)</f>
        <v/>
      </c>
      <c r="W3190" s="17">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7" t="n">
        <v>305</v>
      </c>
      <c r="U3191" s="17" t="n">
        <v>160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7" t="n">
        <v>305</v>
      </c>
      <c r="U3192" s="17" t="n">
        <v>160</v>
      </c>
      <c r="V3192" s="17">
        <f>ROUNDUP((T3192+U3192+2*'Read Me'!$B$13)*(1+'Read Me'!$B$12),-1)</f>
        <v/>
      </c>
      <c r="W3192" s="17">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7" t="n">
        <v>305</v>
      </c>
      <c r="U3193" s="17" t="n">
        <v>160</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7" t="n">
        <v>305</v>
      </c>
      <c r="U3194" s="17" t="n">
        <v>160</v>
      </c>
      <c r="V3194" s="17">
        <f>ROUNDUP((T3194+U3194+2*'Read Me'!$B$13)*(1+'Read Me'!$B$12),-1)</f>
        <v/>
      </c>
      <c r="W3194" s="17">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7" t="n">
        <v>305</v>
      </c>
      <c r="U3195" s="17" t="n">
        <v>160</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7" t="n">
        <v>305</v>
      </c>
      <c r="U3196" s="17" t="n">
        <v>160</v>
      </c>
      <c r="V3196" s="17">
        <f>ROUNDUP((T3196+U3196+2*'Read Me'!$B$13)*(1+'Read Me'!$B$12),-1)</f>
        <v/>
      </c>
      <c r="W3196" s="17">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7" t="n">
        <v>305</v>
      </c>
      <c r="U3197" s="17" t="n">
        <v>160</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7" t="n">
        <v>305</v>
      </c>
      <c r="U3198" s="17" t="n">
        <v>160</v>
      </c>
      <c r="V3198" s="17">
        <f>ROUNDUP((T3198+U3198+2*'Read Me'!$B$13)*(1+'Read Me'!$B$12),-1)</f>
        <v/>
      </c>
      <c r="W3198" s="17">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7" t="n">
        <v>305</v>
      </c>
      <c r="U3199" s="17" t="n">
        <v>160</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7" t="n">
        <v>305</v>
      </c>
      <c r="U3200" s="17" t="n">
        <v>160</v>
      </c>
      <c r="V3200" s="17">
        <f>ROUNDUP((T3200+U3200+2*'Read Me'!$B$13)*(1+'Read Me'!$B$12),-1)</f>
        <v/>
      </c>
      <c r="W3200" s="17">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7" t="n">
        <v>305</v>
      </c>
      <c r="U3201" s="17" t="n">
        <v>160</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7" t="n">
        <v>305</v>
      </c>
      <c r="U3202" s="17" t="n">
        <v>160</v>
      </c>
      <c r="V3202" s="17">
        <f>ROUNDUP((T3202+U3202+2*'Read Me'!$B$13)*(1+'Read Me'!$B$12),-1)</f>
        <v/>
      </c>
      <c r="W3202" s="17">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7" t="n">
        <v>305</v>
      </c>
      <c r="U3203" s="17" t="n">
        <v>160</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7" t="n">
        <v>305</v>
      </c>
      <c r="U3204" s="17" t="n">
        <v>160</v>
      </c>
      <c r="V3204" s="17">
        <f>ROUNDUP((T3204+U3204+2*'Read Me'!$B$13)*(1+'Read Me'!$B$12),-1)</f>
        <v/>
      </c>
      <c r="W3204" s="17">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7" t="n">
        <v>305</v>
      </c>
      <c r="U3205" s="17" t="n">
        <v>160</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7" t="n">
        <v>303</v>
      </c>
      <c r="U3206" s="17" t="n">
        <v>34</v>
      </c>
      <c r="V3206" s="17">
        <f>ROUNDUP((T3206+U3206+2*'Read Me'!$B$13)*(1+'Read Me'!$B$12),-1)</f>
        <v/>
      </c>
      <c r="W3206" s="17">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7" t="n">
        <v>303</v>
      </c>
      <c r="U3207" s="17" t="n">
        <v>34</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7" t="n">
        <v>303</v>
      </c>
      <c r="U3208" s="17" t="n">
        <v>34</v>
      </c>
      <c r="V3208" s="17">
        <f>ROUNDUP((T3208+U3208+2*'Read Me'!$B$13)*(1+'Read Me'!$B$12),-1)</f>
        <v/>
      </c>
      <c r="W3208" s="17">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7" t="n">
        <v>303</v>
      </c>
      <c r="U3209" s="17" t="n">
        <v>34</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7" t="n">
        <v>515</v>
      </c>
      <c r="U3210" s="17" t="n">
        <v>164</v>
      </c>
      <c r="V3210" s="17">
        <f>ROUNDUP((T3210+U3210+2*'Read Me'!$B$13)*(1+'Read Me'!$B$12),-1)</f>
        <v/>
      </c>
      <c r="W3210" s="17">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7" t="n">
        <v>515</v>
      </c>
      <c r="U3211" s="17" t="n">
        <v>164</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7" t="n">
        <v>415</v>
      </c>
      <c r="U3212" s="17" t="n">
        <v>122</v>
      </c>
      <c r="V3212" s="17">
        <f>ROUNDUP((T3212+U3212+2*'Read Me'!$B$13)*(1+'Read Me'!$B$12),-1)</f>
        <v/>
      </c>
      <c r="W3212" s="17">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7" t="n">
        <v>415</v>
      </c>
      <c r="U3213" s="17" t="n">
        <v>122</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7" t="n">
        <v>195</v>
      </c>
      <c r="U3214" s="17" t="n">
        <v>164</v>
      </c>
      <c r="V3214" s="17">
        <f>ROUNDUP((T3214+U3214+2*'Read Me'!$B$13)*(1+'Read Me'!$B$12),-1)</f>
        <v/>
      </c>
      <c r="W3214" s="17">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7" t="n">
        <v>195</v>
      </c>
      <c r="U3215" s="17" t="n">
        <v>164</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7" t="n">
        <v>1436</v>
      </c>
      <c r="U3216" s="17" t="n">
        <v>124</v>
      </c>
      <c r="V3216" s="17">
        <f>ROUNDUP((T3216+U3216+2*'Read Me'!$B$13)*(1+'Read Me'!$B$12),-1)</f>
        <v/>
      </c>
      <c r="W3216" s="17">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7" t="n">
        <v>1436</v>
      </c>
      <c r="U3217" s="17" t="n">
        <v>124</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7" t="n">
        <v>1280</v>
      </c>
      <c r="U3218" s="17" t="n">
        <v>120</v>
      </c>
      <c r="V3218" s="17">
        <f>ROUNDUP((T3218+U3218+2*'Read Me'!$B$13)*(1+'Read Me'!$B$12),-1)</f>
        <v/>
      </c>
      <c r="W3218" s="17">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7" t="n">
        <v>1280</v>
      </c>
      <c r="U3219" s="17" t="n">
        <v>120</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7" t="n">
        <v>1116</v>
      </c>
      <c r="U3220" s="17" t="n">
        <v>124</v>
      </c>
      <c r="V3220" s="17">
        <f>ROUNDUP((T3220+U3220+2*'Read Me'!$B$13)*(1+'Read Me'!$B$12),-1)</f>
        <v/>
      </c>
      <c r="W3220" s="17">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7" t="n">
        <v>1116</v>
      </c>
      <c r="U3221" s="17" t="n">
        <v>124</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7" t="n">
        <v>50</v>
      </c>
      <c r="U3222" s="17" t="n">
        <v>37</v>
      </c>
      <c r="V3222" s="17">
        <f>ROUNDUP((T3222+U3222+2*'Read Me'!$B$13)*(1+'Read Me'!$B$12),-1)</f>
        <v/>
      </c>
      <c r="W3222" s="17">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7" t="n">
        <v>50</v>
      </c>
      <c r="U3223" s="17" t="n">
        <v>37</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7" t="n">
        <v>50</v>
      </c>
      <c r="U3224" s="17" t="n">
        <v>37</v>
      </c>
      <c r="V3224" s="17">
        <f>ROUNDUP((T3224+U3224+2*'Read Me'!$B$13)*(1+'Read Me'!$B$12),-1)</f>
        <v/>
      </c>
      <c r="W3224" s="17">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7" t="n">
        <v>50</v>
      </c>
      <c r="U3225" s="17" t="n">
        <v>37</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7" t="n">
        <v>83</v>
      </c>
      <c r="U3226" s="17" t="n">
        <v>42</v>
      </c>
      <c r="V3226" s="17">
        <f>ROUNDUP((T3226+U3226+2*'Read Me'!$B$13)*(1+'Read Me'!$B$12),-1)</f>
        <v/>
      </c>
      <c r="W3226" s="17">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7" t="n">
        <v>83</v>
      </c>
      <c r="U3227" s="17" t="n">
        <v>42</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7" t="n">
        <v>83</v>
      </c>
      <c r="U3228" s="17" t="n">
        <v>42</v>
      </c>
      <c r="V3228" s="17">
        <f>ROUNDUP((T3228+U3228+2*'Read Me'!$B$13)*(1+'Read Me'!$B$12),-1)</f>
        <v/>
      </c>
      <c r="W3228" s="17">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7" t="n">
        <v>83</v>
      </c>
      <c r="U3229" s="17" t="n">
        <v>42</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7" t="n">
        <v>45</v>
      </c>
      <c r="U3230" s="17" t="n">
        <v>47</v>
      </c>
      <c r="V3230" s="17">
        <f>ROUNDUP((T3230+U3230+2*'Read Me'!$B$13)*(1+'Read Me'!$B$12),-1)</f>
        <v/>
      </c>
      <c r="W3230" s="17">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7" t="n">
        <v>45</v>
      </c>
      <c r="U3231" s="17" t="n">
        <v>47</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7" t="n">
        <v>45</v>
      </c>
      <c r="U3232" s="17" t="n">
        <v>47</v>
      </c>
      <c r="V3232" s="17">
        <f>ROUNDUP((T3232+U3232+2*'Read Me'!$B$13)*(1+'Read Me'!$B$12),-1)</f>
        <v/>
      </c>
      <c r="W3232" s="17">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7" t="n">
        <v>45</v>
      </c>
      <c r="U3233" s="17" t="n">
        <v>47</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7" t="n">
        <v>45</v>
      </c>
      <c r="U3234" s="17" t="n">
        <v>57</v>
      </c>
      <c r="V3234" s="17">
        <f>ROUNDUP((T3234+U3234+2*'Read Me'!$B$13)*(1+'Read Me'!$B$12),-1)</f>
        <v/>
      </c>
      <c r="W3234" s="17">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7" t="n">
        <v>45</v>
      </c>
      <c r="U3235" s="17" t="n">
        <v>57</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7" t="n">
        <v>146</v>
      </c>
      <c r="U3236" s="17" t="n">
        <v>36</v>
      </c>
      <c r="V3236" s="17">
        <f>ROUNDUP((T3236+U3236+2*'Read Me'!$B$13)*(1+'Read Me'!$B$12),-1)</f>
        <v/>
      </c>
      <c r="W3236" s="17">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7" t="n">
        <v>146</v>
      </c>
      <c r="U3237" s="17" t="n">
        <v>36</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7" t="n">
        <v>146</v>
      </c>
      <c r="U3238" s="17" t="n">
        <v>36</v>
      </c>
      <c r="V3238" s="17">
        <f>ROUNDUP((T3238+U3238+2*'Read Me'!$B$13)*(1+'Read Me'!$B$12),-1)</f>
        <v/>
      </c>
      <c r="W3238" s="17">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7" t="n">
        <v>146</v>
      </c>
      <c r="U3239" s="17" t="n">
        <v>36</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7" t="n">
        <v>146</v>
      </c>
      <c r="U3240" s="17" t="n">
        <v>36</v>
      </c>
      <c r="V3240" s="17">
        <f>ROUNDUP((T3240+U3240+2*'Read Me'!$B$13)*(1+'Read Me'!$B$12),-1)</f>
        <v/>
      </c>
      <c r="W3240" s="17">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7" t="n">
        <v>146</v>
      </c>
      <c r="U3241" s="17" t="n">
        <v>36</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7" t="n">
        <v>146</v>
      </c>
      <c r="U3242" s="17" t="n">
        <v>36</v>
      </c>
      <c r="V3242" s="17">
        <f>ROUNDUP((T3242+U3242+2*'Read Me'!$B$13)*(1+'Read Me'!$B$12),-1)</f>
        <v/>
      </c>
      <c r="W3242" s="17">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7" t="n">
        <v>146</v>
      </c>
      <c r="U3243" s="17" t="n">
        <v>36</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7" t="n">
        <v>146</v>
      </c>
      <c r="U3244" s="17" t="n">
        <v>36</v>
      </c>
      <c r="V3244" s="17">
        <f>ROUNDUP((T3244+U3244+2*'Read Me'!$B$13)*(1+'Read Me'!$B$12),-1)</f>
        <v/>
      </c>
      <c r="W3244" s="17">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7" t="n">
        <v>146</v>
      </c>
      <c r="U3245" s="17" t="n">
        <v>36</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7" t="n">
        <v>146</v>
      </c>
      <c r="U3246" s="17" t="n">
        <v>36</v>
      </c>
      <c r="V3246" s="17">
        <f>ROUNDUP((T3246+U3246+2*'Read Me'!$B$13)*(1+'Read Me'!$B$12),-1)</f>
        <v/>
      </c>
      <c r="W3246" s="17">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7" t="n">
        <v>146</v>
      </c>
      <c r="U3247" s="17" t="n">
        <v>36</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7" t="n">
        <v>196</v>
      </c>
      <c r="U3248" s="17" t="n">
        <v>36</v>
      </c>
      <c r="V3248" s="17">
        <f>ROUNDUP((T3248+U3248+2*'Read Me'!$B$13)*(1+'Read Me'!$B$12),-1)</f>
        <v/>
      </c>
      <c r="W3248" s="17">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7" t="n">
        <v>196</v>
      </c>
      <c r="U3249" s="17" t="n">
        <v>36</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7" t="n">
        <v>196</v>
      </c>
      <c r="U3250" s="17" t="n">
        <v>36</v>
      </c>
      <c r="V3250" s="17">
        <f>ROUNDUP((T3250+U3250+2*'Read Me'!$B$13)*(1+'Read Me'!$B$12),-1)</f>
        <v/>
      </c>
      <c r="W3250" s="17">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7" t="n">
        <v>196</v>
      </c>
      <c r="U3251" s="17" t="n">
        <v>36</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7" t="n">
        <v>196</v>
      </c>
      <c r="U3252" s="17" t="n">
        <v>36</v>
      </c>
      <c r="V3252" s="17">
        <f>ROUNDUP((T3252+U3252+2*'Read Me'!$B$13)*(1+'Read Me'!$B$12),-1)</f>
        <v/>
      </c>
      <c r="W3252" s="17">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7" t="n">
        <v>196</v>
      </c>
      <c r="U3253" s="17" t="n">
        <v>36</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7" t="n">
        <v>250</v>
      </c>
      <c r="U3254" s="17" t="n">
        <v>37</v>
      </c>
      <c r="V3254" s="17">
        <f>ROUNDUP((T3254+U3254+2*'Read Me'!$B$13)*(1+'Read Me'!$B$12),-1)</f>
        <v/>
      </c>
      <c r="W3254" s="17">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7" t="n">
        <v>250</v>
      </c>
      <c r="U3255" s="17" t="n">
        <v>37</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7" t="n">
        <v>250</v>
      </c>
      <c r="U3256" s="17" t="n">
        <v>37</v>
      </c>
      <c r="V3256" s="17">
        <f>ROUNDUP((T3256+U3256+2*'Read Me'!$B$13)*(1+'Read Me'!$B$12),-1)</f>
        <v/>
      </c>
      <c r="W3256" s="17">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7" t="n">
        <v>250</v>
      </c>
      <c r="U3257" s="17" t="n">
        <v>37</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7" t="n">
        <v>465</v>
      </c>
      <c r="U3258" s="17" t="n">
        <v>96</v>
      </c>
      <c r="V3258" s="17">
        <f>ROUNDUP((T3258+U3258+2*'Read Me'!$B$13)*(1+'Read Me'!$B$12),-1)</f>
        <v/>
      </c>
      <c r="W3258" s="17">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7" t="n">
        <v>465</v>
      </c>
      <c r="U3259" s="17" t="n">
        <v>96</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7" t="n">
        <v>305</v>
      </c>
      <c r="U3260" s="17" t="n">
        <v>96</v>
      </c>
      <c r="V3260" s="17">
        <f>ROUNDUP((T3260+U3260+2*'Read Me'!$B$13)*(1+'Read Me'!$B$12),-1)</f>
        <v/>
      </c>
      <c r="W3260" s="17">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7" t="n">
        <v>305</v>
      </c>
      <c r="U3261" s="17" t="n">
        <v>96</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7" t="n">
        <v>145</v>
      </c>
      <c r="U3262" s="17" t="n">
        <v>96</v>
      </c>
      <c r="V3262" s="17">
        <f>ROUNDUP((T3262+U3262+2*'Read Me'!$B$13)*(1+'Read Me'!$B$12),-1)</f>
        <v/>
      </c>
      <c r="W3262" s="17">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7" t="n">
        <v>145</v>
      </c>
      <c r="U3263" s="17" t="n">
        <v>96</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7" t="n">
        <v>2379</v>
      </c>
      <c r="U3264" s="17" t="n">
        <v>333</v>
      </c>
      <c r="V3264" s="17">
        <f>ROUNDUP((T3264+U3264+2*'Read Me'!$B$13)*(1+'Read Me'!$B$12),-1)</f>
        <v/>
      </c>
      <c r="W3264" s="17">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7" t="n">
        <v>2585</v>
      </c>
      <c r="U3265" s="17" t="n">
        <v>264</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7" t="n">
        <v>3200</v>
      </c>
      <c r="U3266" s="17" t="n">
        <v>264</v>
      </c>
      <c r="V3266" s="17">
        <f>ROUNDUP((T3266+U3266+2*'Read Me'!$B$13)*(1+'Read Me'!$B$12),-1)</f>
        <v/>
      </c>
      <c r="W3266" s="17">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7" t="n">
        <v>0</v>
      </c>
      <c r="U3267" s="17" t="n">
        <v>170</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7" t="n">
        <v>206</v>
      </c>
      <c r="U3268" s="17" t="n">
        <v>101</v>
      </c>
      <c r="V3268" s="17">
        <f>ROUNDUP((T3268+U3268+2*'Read Me'!$B$13)*(1+'Read Me'!$B$12),-1)</f>
        <v/>
      </c>
      <c r="W3268" s="17">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7" t="n">
        <v>821</v>
      </c>
      <c r="U3269" s="17" t="n">
        <v>101</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7" t="n">
        <v>212</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7" t="n">
        <v>939</v>
      </c>
      <c r="U3271" s="17" t="n">
        <v>149</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212</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7" t="n">
        <v>939</v>
      </c>
      <c r="U3273" s="17" t="n">
        <v>149</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212</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7" t="n">
        <v>939</v>
      </c>
      <c r="U3275" s="17" t="n">
        <v>149</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212</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7" t="n">
        <v>939</v>
      </c>
      <c r="U3277" s="17" t="n">
        <v>149</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212</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7" t="n">
        <v>939</v>
      </c>
      <c r="U3279" s="17" t="n">
        <v>149</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7" t="n">
        <v>55</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7" t="n">
        <v>921</v>
      </c>
      <c r="U3281" s="17" t="n">
        <v>150</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7" t="n">
        <v>55</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7" t="n">
        <v>921</v>
      </c>
      <c r="U3283" s="17" t="n">
        <v>150</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7" t="n">
        <v>212</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7" t="n">
        <v>779</v>
      </c>
      <c r="U3285" s="17" t="n">
        <v>149</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7" t="n">
        <v>212</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7" t="n">
        <v>779</v>
      </c>
      <c r="U3287" s="17" t="n">
        <v>149</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7" t="n">
        <v>212</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7" t="n">
        <v>779</v>
      </c>
      <c r="U3289" s="17" t="n">
        <v>149</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212</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7" t="n">
        <v>779</v>
      </c>
      <c r="U3291" s="17" t="n">
        <v>149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7" t="n">
        <v>212</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7" t="n">
        <v>779</v>
      </c>
      <c r="U3293" s="17" t="n">
        <v>149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7" t="n">
        <v>55</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7" t="n">
        <v>761</v>
      </c>
      <c r="U3295" s="17" t="n">
        <v>150</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7" t="n">
        <v>55</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7" t="n">
        <v>761</v>
      </c>
      <c r="U3297" s="17" t="n">
        <v>150</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7" t="n">
        <v>212</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7" t="n">
        <v>619</v>
      </c>
      <c r="U3299" s="17" t="n">
        <v>149</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7" t="n">
        <v>212</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7" t="n">
        <v>619</v>
      </c>
      <c r="U3301" s="17" t="n">
        <v>149</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7" t="n">
        <v>212</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7" t="n">
        <v>619</v>
      </c>
      <c r="U3303" s="17" t="n">
        <v>149</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7" t="n">
        <v>212</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7" t="n">
        <v>619</v>
      </c>
      <c r="U3305" s="17" t="n">
        <v>149</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7" t="n">
        <v>212</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7" t="n">
        <v>619</v>
      </c>
      <c r="U3307" s="17" t="n">
        <v>149</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7" t="n">
        <v>55</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7" t="n">
        <v>601</v>
      </c>
      <c r="U3309" s="17" t="n">
        <v>150</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7" t="n">
        <v>55</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7" t="n">
        <v>601</v>
      </c>
      <c r="U3311" s="17" t="n">
        <v>150</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7" t="n">
        <v>91</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7" t="n">
        <v>185</v>
      </c>
      <c r="U3313" s="17" t="n">
        <v>112</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7" t="n">
        <v>91</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7" t="n">
        <v>185</v>
      </c>
      <c r="U3315" s="17" t="n">
        <v>112</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82</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101</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82</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101</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7" t="n">
        <v>82</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7" t="n">
        <v>861</v>
      </c>
      <c r="U3321" s="17" t="n">
        <v>101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7" t="n">
        <v>82</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7" t="n">
        <v>861</v>
      </c>
      <c r="U3323" s="17" t="n">
        <v>101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7" t="n">
        <v>82</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7" t="n">
        <v>861</v>
      </c>
      <c r="U3325" s="17" t="n">
        <v>101</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7" t="n">
        <v>82</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101</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82</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701</v>
      </c>
      <c r="U3329" s="17" t="n">
        <v>101</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7" t="n">
        <v>82</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701</v>
      </c>
      <c r="U3331" s="17" t="n">
        <v>101</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7" t="n">
        <v>82</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7" t="n">
        <v>701</v>
      </c>
      <c r="U3333" s="17" t="n">
        <v>101</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7" t="n">
        <v>82</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7" t="n">
        <v>701</v>
      </c>
      <c r="U3335" s="17" t="n">
        <v>101</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7" t="n">
        <v>82</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7" t="n">
        <v>385</v>
      </c>
      <c r="U3337" s="17" t="n">
        <v>219</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7" t="n">
        <v>82</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7" t="n">
        <v>385</v>
      </c>
      <c r="U3339" s="17" t="n">
        <v>219</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7" t="n">
        <v>82</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385</v>
      </c>
      <c r="U3341" s="17" t="n">
        <v>219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7" t="n">
        <v>82</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7" t="n">
        <v>385</v>
      </c>
      <c r="U3343" s="17" t="n">
        <v>219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7" t="n">
        <v>82</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7" t="n">
        <v>385</v>
      </c>
      <c r="U3345" s="17" t="n">
        <v>219</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7" t="n">
        <v>82</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7" t="n">
        <v>77</v>
      </c>
      <c r="U3347" s="17" t="n">
        <v>103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7" t="n">
        <v>82</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7" t="n">
        <v>77</v>
      </c>
      <c r="U3349" s="17" t="n">
        <v>103</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7" t="n">
        <v>82</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7" t="n">
        <v>11</v>
      </c>
      <c r="U3351" s="17" t="n">
        <v>101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7" t="n">
        <v>82</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7" t="n">
        <v>11</v>
      </c>
      <c r="U3353" s="17" t="n">
        <v>101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7" t="n">
        <v>100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821</v>
      </c>
      <c r="U3355" s="17" t="n">
        <v>141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7" t="n">
        <v>100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821</v>
      </c>
      <c r="U3357" s="17" t="n">
        <v>141</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7" t="n">
        <v>250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911</v>
      </c>
      <c r="U3359" s="17" t="n">
        <v>111</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7" t="n">
        <v>250</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911</v>
      </c>
      <c r="U3361" s="17" t="n">
        <v>111</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7" t="n">
        <v>250</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911</v>
      </c>
      <c r="U3363" s="17" t="n">
        <v>111</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250</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7" t="n">
        <v>911</v>
      </c>
      <c r="U3365" s="17" t="n">
        <v>111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250</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7" t="n">
        <v>911</v>
      </c>
      <c r="U3367" s="17" t="n">
        <v>111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7" t="n">
        <v>72</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7" t="n">
        <v>0</v>
      </c>
      <c r="U3369" s="17" t="n">
        <v>120</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7" t="n">
        <v>72</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7" t="n">
        <v>0</v>
      </c>
      <c r="U3371" s="17" t="n">
        <v>120</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7" t="n">
        <v>140</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656</v>
      </c>
      <c r="U3373" s="17" t="n">
        <v>121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7" t="n">
        <v>140</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656</v>
      </c>
      <c r="U3375" s="17" t="n">
        <v>121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7" t="n">
        <v>159</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7" t="n">
        <v>183</v>
      </c>
      <c r="U3377" s="17" t="n">
        <v>105</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7" t="n">
        <v>159</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7" t="n">
        <v>183</v>
      </c>
      <c r="U3379" s="17" t="n">
        <v>105</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159</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183</v>
      </c>
      <c r="U3381" s="17" t="n">
        <v>105</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159</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183</v>
      </c>
      <c r="U3383" s="17" t="n">
        <v>105</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7" t="n">
        <v>159</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7" t="n">
        <v>183</v>
      </c>
      <c r="U3385" s="17" t="n">
        <v>105</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7" t="n">
        <v>159</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7" t="n">
        <v>183</v>
      </c>
      <c r="U3387" s="17" t="n">
        <v>105</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159</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183</v>
      </c>
      <c r="U3389" s="17" t="n">
        <v>105</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7" t="n">
        <v>159</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183</v>
      </c>
      <c r="U3391" s="17" t="n">
        <v>105</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7" t="n">
        <v>159</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183</v>
      </c>
      <c r="U3393" s="17" t="n">
        <v>105</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159</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183</v>
      </c>
      <c r="U3395" s="17" t="n">
        <v>105</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7" t="n">
        <v>159</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183</v>
      </c>
      <c r="U3397" s="17" t="n">
        <v>105</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159</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183</v>
      </c>
      <c r="U3399" s="17" t="n">
        <v>105</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159</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183</v>
      </c>
      <c r="U3401" s="17" t="n">
        <v>105</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7" t="n">
        <v>159</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7" t="n">
        <v>183</v>
      </c>
      <c r="U3403" s="17" t="n">
        <v>105</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7" t="n">
        <v>159</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7" t="n">
        <v>183</v>
      </c>
      <c r="U3405" s="17" t="n">
        <v>105</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7" t="n">
        <v>159</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7" t="n">
        <v>183</v>
      </c>
      <c r="U3407" s="17" t="n">
        <v>105</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7" t="n">
        <v>159</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7" t="n">
        <v>183</v>
      </c>
      <c r="U3409" s="17" t="n">
        <v>105</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81</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197</v>
      </c>
      <c r="U3411" s="17" t="n">
        <v>229</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81</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197</v>
      </c>
      <c r="U3413" s="17" t="n">
        <v>229</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81</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197</v>
      </c>
      <c r="U3415" s="17" t="n">
        <v>229</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81</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197</v>
      </c>
      <c r="U3417" s="17" t="n">
        <v>229</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7" t="n">
        <v>100</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7" t="n">
        <v>144</v>
      </c>
      <c r="U3419" s="17" t="n">
        <v>154</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7" t="n">
        <v>100</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7" t="n">
        <v>144</v>
      </c>
      <c r="U3421" s="17" t="n">
        <v>154</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7" t="n">
        <v>100</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7" t="n">
        <v>144</v>
      </c>
      <c r="U3423" s="17" t="n">
        <v>154</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7" t="n">
        <v>100</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7" t="n">
        <v>144</v>
      </c>
      <c r="U3425" s="17" t="n">
        <v>154</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7" t="n">
        <v>100</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7" t="n">
        <v>144</v>
      </c>
      <c r="U3427" s="17" t="n">
        <v>154</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7" t="n">
        <v>100</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7" t="n">
        <v>144</v>
      </c>
      <c r="U3429" s="17" t="n">
        <v>154</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7" t="n">
        <v>100</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7" t="n">
        <v>144</v>
      </c>
      <c r="U3431" s="17" t="n">
        <v>154</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7" t="n">
        <v>60</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7" t="n">
        <v>884</v>
      </c>
      <c r="U3433" s="17" t="n">
        <v>233</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7" t="n">
        <v>60</v>
      </c>
      <c r="U3434" s="17" t="n">
        <v>10</v>
      </c>
      <c r="V3434" s="17">
        <f>ROUNDUP((T3434+U3434+2*'Read Me'!$B$13)*(1+'Read Me'!$B$12),-1)</f>
        <v/>
      </c>
      <c r="W3434" s="17">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7" t="n">
        <v>884</v>
      </c>
      <c r="U3435" s="17" t="n">
        <v>233</v>
      </c>
      <c r="V3435" s="17">
        <f>ROUNDUP((T3435+U3435+2*'Read Me'!$B$13)*(1+'Read Me'!$B$12),-1)</f>
        <v/>
      </c>
      <c r="W3435" s="17">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7" t="n">
        <v>121</v>
      </c>
      <c r="U3436" s="17" t="n">
        <v>10</v>
      </c>
      <c r="V3436" s="17">
        <f>ROUNDUP((T3436+U3436+2*'Read Me'!$B$13)*(1+'Read Me'!$B$12),-1)</f>
        <v/>
      </c>
      <c r="W3436" s="17">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7" t="n">
        <v>861</v>
      </c>
      <c r="U3437" s="17" t="n">
        <v>129</v>
      </c>
      <c r="V3437" s="17">
        <f>ROUNDUP((T3437+U3437+2*'Read Me'!$B$13)*(1+'Read Me'!$B$12),-1)</f>
        <v/>
      </c>
      <c r="W3437" s="17">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7" t="n">
        <v>121</v>
      </c>
      <c r="U3438" s="17" t="n">
        <v>10</v>
      </c>
      <c r="V3438" s="17">
        <f>ROUNDUP((T3438+U3438+2*'Read Me'!$B$13)*(1+'Read Me'!$B$12),-1)</f>
        <v/>
      </c>
      <c r="W3438" s="17">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7" t="n">
        <v>861</v>
      </c>
      <c r="U3439" s="17" t="n">
        <v>129</v>
      </c>
      <c r="V3439" s="17">
        <f>ROUNDUP((T3439+U3439+2*'Read Me'!$B$13)*(1+'Read Me'!$B$12),-1)</f>
        <v/>
      </c>
      <c r="W3439" s="17">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7" t="n">
        <v>60</v>
      </c>
      <c r="U3440" s="17" t="n">
        <v>10</v>
      </c>
      <c r="V3440" s="17">
        <f>ROUNDUP((T3440+U3440+2*'Read Me'!$B$13)*(1+'Read Me'!$B$12),-1)</f>
        <v/>
      </c>
      <c r="W3440" s="17">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7" t="n">
        <v>784</v>
      </c>
      <c r="U3441" s="17" t="n">
        <v>191</v>
      </c>
      <c r="V3441" s="17">
        <f>ROUNDUP((T3441+U3441+2*'Read Me'!$B$13)*(1+'Read Me'!$B$12),-1)</f>
        <v/>
      </c>
      <c r="W3441" s="17">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7" t="n">
        <v>60</v>
      </c>
      <c r="U3442" s="17" t="n">
        <v>10</v>
      </c>
      <c r="V3442" s="17">
        <f>ROUNDUP((T3442+U3442+2*'Read Me'!$B$13)*(1+'Read Me'!$B$12),-1)</f>
        <v/>
      </c>
      <c r="W3442" s="17">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7" t="n">
        <v>784</v>
      </c>
      <c r="U3443" s="17" t="n">
        <v>191</v>
      </c>
      <c r="V3443" s="17">
        <f>ROUNDUP((T3443+U3443+2*'Read Me'!$B$13)*(1+'Read Me'!$B$12),-1)</f>
        <v/>
      </c>
      <c r="W3443" s="17">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7" t="n">
        <v>121</v>
      </c>
      <c r="U3444" s="17" t="n">
        <v>10</v>
      </c>
      <c r="V3444" s="17">
        <f>ROUNDUP((T3444+U3444+2*'Read Me'!$B$13)*(1+'Read Me'!$B$12),-1)</f>
        <v/>
      </c>
      <c r="W3444" s="17">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7" t="n">
        <v>701</v>
      </c>
      <c r="U3445" s="17" t="n">
        <v>129</v>
      </c>
      <c r="V3445" s="17">
        <f>ROUNDUP((T3445+U3445+2*'Read Me'!$B$13)*(1+'Read Me'!$B$12),-1)</f>
        <v/>
      </c>
      <c r="W3445" s="17">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7" t="n">
        <v>121</v>
      </c>
      <c r="U3446" s="17" t="n">
        <v>10</v>
      </c>
      <c r="V3446" s="17">
        <f>ROUNDUP((T3446+U3446+2*'Read Me'!$B$13)*(1+'Read Me'!$B$12),-1)</f>
        <v/>
      </c>
      <c r="W3446" s="17">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7" t="n">
        <v>701</v>
      </c>
      <c r="U3447" s="17" t="n">
        <v>129</v>
      </c>
      <c r="V3447" s="17">
        <f>ROUNDUP((T3447+U3447+2*'Read Me'!$B$13)*(1+'Read Me'!$B$12),-1)</f>
        <v/>
      </c>
      <c r="W3447" s="17">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7" t="n">
        <v>60</v>
      </c>
      <c r="U3448" s="17" t="n">
        <v>10</v>
      </c>
      <c r="V3448" s="17">
        <f>ROUNDUP((T3448+U3448+2*'Read Me'!$B$13)*(1+'Read Me'!$B$12),-1)</f>
        <v/>
      </c>
      <c r="W3448" s="17">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7" t="n">
        <v>564</v>
      </c>
      <c r="U3449" s="17" t="n">
        <v>233</v>
      </c>
      <c r="V3449" s="17">
        <f>ROUNDUP((T3449+U3449+2*'Read Me'!$B$13)*(1+'Read Me'!$B$12),-1)</f>
        <v/>
      </c>
      <c r="W3449" s="17">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7" t="n">
        <v>60</v>
      </c>
      <c r="U3450" s="17" t="n">
        <v>10</v>
      </c>
      <c r="V3450" s="17">
        <f>ROUNDUP((T3450+U3450+2*'Read Me'!$B$13)*(1+'Read Me'!$B$12),-1)</f>
        <v/>
      </c>
      <c r="W3450" s="17">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7" t="n">
        <v>564</v>
      </c>
      <c r="U3451" s="17" t="n">
        <v>233</v>
      </c>
      <c r="V3451" s="17">
        <f>ROUNDUP((T3451+U3451+2*'Read Me'!$B$13)*(1+'Read Me'!$B$12),-1)</f>
        <v/>
      </c>
      <c r="W3451" s="17">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7" t="n">
        <v>121</v>
      </c>
      <c r="U3452" s="17" t="n">
        <v>10</v>
      </c>
      <c r="V3452" s="17">
        <f>ROUNDUP((T3452+U3452+2*'Read Me'!$B$13)*(1+'Read Me'!$B$12),-1)</f>
        <v/>
      </c>
      <c r="W3452" s="17">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7" t="n">
        <v>541</v>
      </c>
      <c r="U3453" s="17" t="n">
        <v>129</v>
      </c>
      <c r="V3453" s="17">
        <f>ROUNDUP((T3453+U3453+2*'Read Me'!$B$13)*(1+'Read Me'!$B$12),-1)</f>
        <v/>
      </c>
      <c r="W3453" s="17">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7" t="n">
        <v>121</v>
      </c>
      <c r="U3454" s="17" t="n">
        <v>10</v>
      </c>
      <c r="V3454" s="17">
        <f>ROUNDUP((T3454+U3454+2*'Read Me'!$B$13)*(1+'Read Me'!$B$12),-1)</f>
        <v/>
      </c>
      <c r="W3454" s="17">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7" t="n">
        <v>541</v>
      </c>
      <c r="U3455" s="17" t="n">
        <v>129</v>
      </c>
      <c r="V3455" s="17">
        <f>ROUNDUP((T3455+U3455+2*'Read Me'!$B$13)*(1+'Read Me'!$B$12),-1)</f>
        <v/>
      </c>
      <c r="W3455" s="17">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7" t="n">
        <v>74</v>
      </c>
      <c r="U3456" s="17" t="n">
        <v>10</v>
      </c>
      <c r="V3456" s="17">
        <f>ROUNDUP((T3456+U3456+2*'Read Me'!$B$13)*(1+'Read Me'!$B$12),-1)</f>
        <v/>
      </c>
      <c r="W3456" s="17">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7" t="n">
        <v>1230</v>
      </c>
      <c r="U3457" s="17" t="n">
        <v>193</v>
      </c>
      <c r="V3457" s="17">
        <f>ROUNDUP((T3457+U3457+2*'Read Me'!$B$13)*(1+'Read Me'!$B$12),-1)</f>
        <v/>
      </c>
      <c r="W3457" s="17">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7" t="n">
        <v>74</v>
      </c>
      <c r="U3458" s="17" t="n">
        <v>10</v>
      </c>
      <c r="V3458" s="17">
        <f>ROUNDUP((T3458+U3458+2*'Read Me'!$B$13)*(1+'Read Me'!$B$12),-1)</f>
        <v/>
      </c>
      <c r="W3458" s="17">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7" t="n">
        <v>1230</v>
      </c>
      <c r="U3459" s="17" t="n">
        <v>193</v>
      </c>
      <c r="V3459" s="17">
        <f>ROUNDUP((T3459+U3459+2*'Read Me'!$B$13)*(1+'Read Me'!$B$12),-1)</f>
        <v/>
      </c>
      <c r="W3459" s="17">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7" t="n">
        <v>74</v>
      </c>
      <c r="U3460" s="17" t="n">
        <v>10</v>
      </c>
      <c r="V3460" s="17">
        <f>ROUNDUP((T3460+U3460+2*'Read Me'!$B$13)*(1+'Read Me'!$B$12),-1)</f>
        <v/>
      </c>
      <c r="W3460" s="17">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7" t="n">
        <v>1074</v>
      </c>
      <c r="U3461" s="17" t="n">
        <v>189</v>
      </c>
      <c r="V3461" s="17">
        <f>ROUNDUP((T3461+U3461+2*'Read Me'!$B$13)*(1+'Read Me'!$B$12),-1)</f>
        <v/>
      </c>
      <c r="W3461" s="17">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7" t="n">
        <v>74</v>
      </c>
      <c r="U3462" s="17" t="n">
        <v>10</v>
      </c>
      <c r="V3462" s="17">
        <f>ROUNDUP((T3462+U3462+2*'Read Me'!$B$13)*(1+'Read Me'!$B$12),-1)</f>
        <v/>
      </c>
      <c r="W3462" s="17">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7" t="n">
        <v>1074</v>
      </c>
      <c r="U3463" s="17" t="n">
        <v>189</v>
      </c>
      <c r="V3463" s="17">
        <f>ROUNDUP((T3463+U3463+2*'Read Me'!$B$13)*(1+'Read Me'!$B$12),-1)</f>
        <v/>
      </c>
      <c r="W3463" s="17">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7" t="n">
        <v>74</v>
      </c>
      <c r="U3464" s="17" t="n">
        <v>10</v>
      </c>
      <c r="V3464" s="17">
        <f>ROUNDUP((T3464+U3464+2*'Read Me'!$B$13)*(1+'Read Me'!$B$12),-1)</f>
        <v/>
      </c>
      <c r="W3464" s="17">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7" t="n">
        <v>910</v>
      </c>
      <c r="U3465" s="17" t="n">
        <v>193</v>
      </c>
      <c r="V3465" s="17">
        <f>ROUNDUP((T3465+U3465+2*'Read Me'!$B$13)*(1+'Read Me'!$B$12),-1)</f>
        <v/>
      </c>
      <c r="W3465" s="17">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7" t="n">
        <v>74</v>
      </c>
      <c r="U3466" s="17" t="n">
        <v>10</v>
      </c>
      <c r="V3466" s="17">
        <f>ROUNDUP((T3466+U3466+2*'Read Me'!$B$13)*(1+'Read Me'!$B$12),-1)</f>
        <v/>
      </c>
      <c r="W3466" s="17">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7" t="n">
        <v>910</v>
      </c>
      <c r="U3467" s="17" t="n">
        <v>193</v>
      </c>
      <c r="V3467" s="17">
        <f>ROUNDUP((T3467+U3467+2*'Read Me'!$B$13)*(1+'Read Me'!$B$12),-1)</f>
        <v/>
      </c>
      <c r="W3467" s="17">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7" t="n">
        <v>80</v>
      </c>
      <c r="U3468" s="17" t="n">
        <v>10</v>
      </c>
      <c r="V3468" s="17">
        <f>ROUNDUP((T3468+U3468+2*'Read Me'!$B$13)*(1+'Read Me'!$B$12),-1)</f>
        <v/>
      </c>
      <c r="W3468" s="17">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7" t="n">
        <v>266</v>
      </c>
      <c r="U3469" s="17" t="n">
        <v>111</v>
      </c>
      <c r="V3469" s="17">
        <f>ROUNDUP((T3469+U3469+2*'Read Me'!$B$13)*(1+'Read Me'!$B$12),-1)</f>
        <v/>
      </c>
      <c r="W3469" s="17">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7" t="n">
        <v>80</v>
      </c>
      <c r="U3470" s="17" t="n">
        <v>10</v>
      </c>
      <c r="V3470" s="17">
        <f>ROUNDUP((T3470+U3470+2*'Read Me'!$B$13)*(1+'Read Me'!$B$12),-1)</f>
        <v/>
      </c>
      <c r="W3470" s="17">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7" t="n">
        <v>266</v>
      </c>
      <c r="U3471" s="17" t="n">
        <v>111</v>
      </c>
      <c r="V3471" s="17">
        <f>ROUNDUP((T3471+U3471+2*'Read Me'!$B$13)*(1+'Read Me'!$B$12),-1)</f>
        <v/>
      </c>
      <c r="W3471" s="17">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7" t="n">
        <v>80</v>
      </c>
      <c r="U3472" s="17" t="n">
        <v>10</v>
      </c>
      <c r="V3472" s="17">
        <f>ROUNDUP((T3472+U3472+2*'Read Me'!$B$13)*(1+'Read Me'!$B$12),-1)</f>
        <v/>
      </c>
      <c r="W3472" s="17">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7" t="n">
        <v>216</v>
      </c>
      <c r="U3473" s="17" t="n">
        <v>111</v>
      </c>
      <c r="V3473" s="17">
        <f>ROUNDUP((T3473+U3473+2*'Read Me'!$B$13)*(1+'Read Me'!$B$12),-1)</f>
        <v/>
      </c>
      <c r="W3473" s="17">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7" t="n">
        <v>80</v>
      </c>
      <c r="U3474" s="17" t="n">
        <v>10</v>
      </c>
      <c r="V3474" s="17">
        <f>ROUNDUP((T3474+U3474+2*'Read Me'!$B$13)*(1+'Read Me'!$B$12),-1)</f>
        <v/>
      </c>
      <c r="W3474" s="17">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7" t="n">
        <v>216</v>
      </c>
      <c r="U3475" s="17" t="n">
        <v>111</v>
      </c>
      <c r="V3475" s="17">
        <f>ROUNDUP((T3475+U3475+2*'Read Me'!$B$13)*(1+'Read Me'!$B$12),-1)</f>
        <v/>
      </c>
      <c r="W3475" s="17">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7" t="n">
        <v>80</v>
      </c>
      <c r="U3476" s="17" t="n">
        <v>10</v>
      </c>
      <c r="V3476" s="17">
        <f>ROUNDUP((T3476+U3476+2*'Read Me'!$B$13)*(1+'Read Me'!$B$12),-1)</f>
        <v/>
      </c>
      <c r="W3476" s="17">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7" t="n">
        <v>161</v>
      </c>
      <c r="U3477" s="17" t="n">
        <v>116</v>
      </c>
      <c r="V3477" s="17">
        <f>ROUNDUP((T3477+U3477+2*'Read Me'!$B$13)*(1+'Read Me'!$B$12),-1)</f>
        <v/>
      </c>
      <c r="W3477" s="17">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7" t="n">
        <v>80</v>
      </c>
      <c r="U3478" s="17" t="n">
        <v>10</v>
      </c>
      <c r="V3478" s="17">
        <f>ROUNDUP((T3478+U3478+2*'Read Me'!$B$13)*(1+'Read Me'!$B$12),-1)</f>
        <v/>
      </c>
      <c r="W3478" s="17">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7" t="n">
        <v>161</v>
      </c>
      <c r="U3479" s="17" t="n">
        <v>116</v>
      </c>
      <c r="V3479" s="17">
        <f>ROUNDUP((T3479+U3479+2*'Read Me'!$B$13)*(1+'Read Me'!$B$12),-1)</f>
        <v/>
      </c>
      <c r="W3479" s="17">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7" t="n">
        <v>82</v>
      </c>
      <c r="U3480" s="17" t="n">
        <v>10</v>
      </c>
      <c r="V3480" s="17">
        <f>ROUNDUP((T3480+U3480+2*'Read Me'!$B$13)*(1+'Read Me'!$B$12),-1)</f>
        <v/>
      </c>
      <c r="W3480" s="17">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7" t="n">
        <v>130</v>
      </c>
      <c r="U3481" s="17" t="n">
        <v>102</v>
      </c>
      <c r="V3481" s="17">
        <f>ROUNDUP((T3481+U3481+2*'Read Me'!$B$13)*(1+'Read Me'!$B$12),-1)</f>
        <v/>
      </c>
      <c r="W3481" s="17">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7" t="n">
        <v>82</v>
      </c>
      <c r="U3482" s="17" t="n">
        <v>10</v>
      </c>
      <c r="V3482" s="17">
        <f>ROUNDUP((T3482+U3482+2*'Read Me'!$B$13)*(1+'Read Me'!$B$12),-1)</f>
        <v/>
      </c>
      <c r="W3482" s="17">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7" t="n">
        <v>130</v>
      </c>
      <c r="U3483" s="17" t="n">
        <v>102</v>
      </c>
      <c r="V3483" s="17">
        <f>ROUNDUP((T3483+U3483+2*'Read Me'!$B$13)*(1+'Read Me'!$B$12),-1)</f>
        <v/>
      </c>
      <c r="W3483" s="17">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7" t="n">
        <v>84</v>
      </c>
      <c r="U3484" s="17" t="n">
        <v>10</v>
      </c>
      <c r="V3484" s="17">
        <f>ROUNDUP((T3484+U3484+2*'Read Me'!$B$13)*(1+'Read Me'!$B$12),-1)</f>
        <v/>
      </c>
      <c r="W3484" s="17">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7" t="n">
        <v>834</v>
      </c>
      <c r="U3485" s="17" t="n">
        <v>181</v>
      </c>
      <c r="V3485" s="17">
        <f>ROUNDUP((T3485+U3485+2*'Read Me'!$B$13)*(1+'Read Me'!$B$12),-1)</f>
        <v/>
      </c>
      <c r="W3485" s="17">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7" t="n">
        <v>84</v>
      </c>
      <c r="U3486" s="17" t="n">
        <v>10</v>
      </c>
      <c r="V3486" s="17">
        <f>ROUNDUP((T3486+U3486+2*'Read Me'!$B$13)*(1+'Read Me'!$B$12),-1)</f>
        <v/>
      </c>
      <c r="W3486" s="17">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7" t="n">
        <v>834</v>
      </c>
      <c r="U3487" s="17" t="n">
        <v>181</v>
      </c>
      <c r="V3487" s="17">
        <f>ROUNDUP((T3487+U3487+2*'Read Me'!$B$13)*(1+'Read Me'!$B$12),-1)</f>
        <v/>
      </c>
      <c r="W3487" s="17">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7" t="n">
        <v>84</v>
      </c>
      <c r="U3488" s="17" t="n">
        <v>10</v>
      </c>
      <c r="V3488" s="17">
        <f>ROUNDUP((T3488+U3488+2*'Read Me'!$B$13)*(1+'Read Me'!$B$12),-1)</f>
        <v/>
      </c>
      <c r="W3488" s="17">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7" t="n">
        <v>834</v>
      </c>
      <c r="U3489" s="17" t="n">
        <v>181</v>
      </c>
      <c r="V3489" s="17">
        <f>ROUNDUP((T3489+U3489+2*'Read Me'!$B$13)*(1+'Read Me'!$B$12),-1)</f>
        <v/>
      </c>
      <c r="W3489" s="17">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7" t="n">
        <v>84</v>
      </c>
      <c r="U3490" s="17" t="n">
        <v>10</v>
      </c>
      <c r="V3490" s="17">
        <f>ROUNDUP((T3490+U3490+2*'Read Me'!$B$13)*(1+'Read Me'!$B$12),-1)</f>
        <v/>
      </c>
      <c r="W3490" s="17">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7" t="n">
        <v>834</v>
      </c>
      <c r="U3491" s="17" t="n">
        <v>181</v>
      </c>
      <c r="V3491" s="17">
        <f>ROUNDUP((T3491+U3491+2*'Read Me'!$B$13)*(1+'Read Me'!$B$12),-1)</f>
        <v/>
      </c>
      <c r="W3491" s="17">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7" t="n">
        <v>84</v>
      </c>
      <c r="U3492" s="17" t="n">
        <v>10</v>
      </c>
      <c r="V3492" s="17">
        <f>ROUNDUP((T3492+U3492+2*'Read Me'!$B$13)*(1+'Read Me'!$B$12),-1)</f>
        <v/>
      </c>
      <c r="W3492" s="17">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7" t="n">
        <v>674</v>
      </c>
      <c r="U3493" s="17" t="n">
        <v>181</v>
      </c>
      <c r="V3493" s="17">
        <f>ROUNDUP((T3493+U3493+2*'Read Me'!$B$13)*(1+'Read Me'!$B$12),-1)</f>
        <v/>
      </c>
      <c r="W3493" s="17">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7" t="n">
        <v>84</v>
      </c>
      <c r="U3494" s="17" t="n">
        <v>10</v>
      </c>
      <c r="V3494" s="17">
        <f>ROUNDUP((T3494+U3494+2*'Read Me'!$B$13)*(1+'Read Me'!$B$12),-1)</f>
        <v/>
      </c>
      <c r="W3494" s="17">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7" t="n">
        <v>674</v>
      </c>
      <c r="U3495" s="17" t="n">
        <v>181</v>
      </c>
      <c r="V3495" s="17">
        <f>ROUNDUP((T3495+U3495+2*'Read Me'!$B$13)*(1+'Read Me'!$B$12),-1)</f>
        <v/>
      </c>
      <c r="W3495" s="17">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7" t="n">
        <v>84</v>
      </c>
      <c r="U3496" s="17" t="n">
        <v>10</v>
      </c>
      <c r="V3496" s="17">
        <f>ROUNDUP((T3496+U3496+2*'Read Me'!$B$13)*(1+'Read Me'!$B$12),-1)</f>
        <v/>
      </c>
      <c r="W3496" s="17">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7" t="n">
        <v>674</v>
      </c>
      <c r="U3497" s="17" t="n">
        <v>181</v>
      </c>
      <c r="V3497" s="17">
        <f>ROUNDUP((T3497+U3497+2*'Read Me'!$B$13)*(1+'Read Me'!$B$12),-1)</f>
        <v/>
      </c>
      <c r="W3497" s="17">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7" t="n">
        <v>84</v>
      </c>
      <c r="U3498" s="17" t="n">
        <v>10</v>
      </c>
      <c r="V3498" s="17">
        <f>ROUNDUP((T3498+U3498+2*'Read Me'!$B$13)*(1+'Read Me'!$B$12),-1)</f>
        <v/>
      </c>
      <c r="W3498" s="17">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7" t="n">
        <v>674</v>
      </c>
      <c r="U3499" s="17" t="n">
        <v>181</v>
      </c>
      <c r="V3499" s="17">
        <f>ROUNDUP((T3499+U3499+2*'Read Me'!$B$13)*(1+'Read Me'!$B$12),-1)</f>
        <v/>
      </c>
      <c r="W3499" s="17">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7" t="n">
        <v>84</v>
      </c>
      <c r="U3500" s="17" t="n">
        <v>10</v>
      </c>
      <c r="V3500" s="17">
        <f>ROUNDUP((T3500+U3500+2*'Read Me'!$B$13)*(1+'Read Me'!$B$12),-1)</f>
        <v/>
      </c>
      <c r="W3500" s="17">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7" t="n">
        <v>299</v>
      </c>
      <c r="U3501" s="17" t="n">
        <v>138</v>
      </c>
      <c r="V3501" s="17">
        <f>ROUNDUP((T3501+U3501+2*'Read Me'!$B$13)*(1+'Read Me'!$B$12),-1)</f>
        <v/>
      </c>
      <c r="W3501" s="17">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7" t="n">
        <v>84</v>
      </c>
      <c r="U3502" s="17" t="n">
        <v>10</v>
      </c>
      <c r="V3502" s="17">
        <f>ROUNDUP((T3502+U3502+2*'Read Me'!$B$13)*(1+'Read Me'!$B$12),-1)</f>
        <v/>
      </c>
      <c r="W3502" s="17">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7" t="n">
        <v>299</v>
      </c>
      <c r="U3503" s="17" t="n">
        <v>138</v>
      </c>
      <c r="V3503" s="17">
        <f>ROUNDUP((T3503+U3503+2*'Read Me'!$B$13)*(1+'Read Me'!$B$12),-1)</f>
        <v/>
      </c>
      <c r="W3503" s="17">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7" t="n">
        <v>84</v>
      </c>
      <c r="U3504" s="17" t="n">
        <v>10</v>
      </c>
      <c r="V3504" s="17">
        <f>ROUNDUP((T3504+U3504+2*'Read Me'!$B$13)*(1+'Read Me'!$B$12),-1)</f>
        <v/>
      </c>
      <c r="W3504" s="17">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7" t="n">
        <v>299</v>
      </c>
      <c r="U3505" s="17" t="n">
        <v>138</v>
      </c>
      <c r="V3505" s="17">
        <f>ROUNDUP((T3505+U3505+2*'Read Me'!$B$13)*(1+'Read Me'!$B$12),-1)</f>
        <v/>
      </c>
      <c r="W3505" s="17">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7" t="n">
        <v>84</v>
      </c>
      <c r="U3506" s="17" t="n">
        <v>10</v>
      </c>
      <c r="V3506" s="17">
        <f>ROUNDUP((T3506+U3506+2*'Read Me'!$B$13)*(1+'Read Me'!$B$12),-1)</f>
        <v/>
      </c>
      <c r="W3506" s="17">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7" t="n">
        <v>299</v>
      </c>
      <c r="U3507" s="17" t="n">
        <v>138</v>
      </c>
      <c r="V3507" s="17">
        <f>ROUNDUP((T3507+U3507+2*'Read Me'!$B$13)*(1+'Read Me'!$B$12),-1)</f>
        <v/>
      </c>
      <c r="W3507" s="17">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7" t="n">
        <v>153</v>
      </c>
      <c r="U3508" s="17" t="n">
        <v>10</v>
      </c>
      <c r="V3508" s="17">
        <f>ROUNDUP((T3508+U3508+2*'Read Me'!$B$13)*(1+'Read Me'!$B$12),-1)</f>
        <v/>
      </c>
      <c r="W3508" s="17">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7" t="n">
        <v>329</v>
      </c>
      <c r="U3509" s="17" t="n">
        <v>106</v>
      </c>
      <c r="V3509" s="17">
        <f>ROUNDUP((T3509+U3509+2*'Read Me'!$B$13)*(1+'Read Me'!$B$12),-1)</f>
        <v/>
      </c>
      <c r="W3509" s="17">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7" t="n">
        <v>153</v>
      </c>
      <c r="U3510" s="17" t="n">
        <v>10</v>
      </c>
      <c r="V3510" s="17">
        <f>ROUNDUP((T3510+U3510+2*'Read Me'!$B$13)*(1+'Read Me'!$B$12),-1)</f>
        <v/>
      </c>
      <c r="W3510" s="17">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7" t="n">
        <v>329</v>
      </c>
      <c r="U3511" s="17" t="n">
        <v>106</v>
      </c>
      <c r="V3511" s="17">
        <f>ROUNDUP((T3511+U3511+2*'Read Me'!$B$13)*(1+'Read Me'!$B$12),-1)</f>
        <v/>
      </c>
      <c r="W3511" s="17">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7" t="n">
        <v>153</v>
      </c>
      <c r="U3512" s="17" t="n">
        <v>10</v>
      </c>
      <c r="V3512" s="17">
        <f>ROUNDUP((T3512+U3512+2*'Read Me'!$B$13)*(1+'Read Me'!$B$12),-1)</f>
        <v/>
      </c>
      <c r="W3512" s="17">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7" t="n">
        <v>329</v>
      </c>
      <c r="U3513" s="17" t="n">
        <v>106</v>
      </c>
      <c r="V3513" s="17">
        <f>ROUNDUP((T3513+U3513+2*'Read Me'!$B$13)*(1+'Read Me'!$B$12),-1)</f>
        <v/>
      </c>
      <c r="W3513" s="17">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7" t="n">
        <v>153</v>
      </c>
      <c r="U3514" s="17" t="n">
        <v>10</v>
      </c>
      <c r="V3514" s="17">
        <f>ROUNDUP((T3514+U3514+2*'Read Me'!$B$13)*(1+'Read Me'!$B$12),-1)</f>
        <v/>
      </c>
      <c r="W3514" s="17">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7" t="n">
        <v>329</v>
      </c>
      <c r="U3515" s="17" t="n">
        <v>106</v>
      </c>
      <c r="V3515" s="17">
        <f>ROUNDUP((T3515+U3515+2*'Read Me'!$B$13)*(1+'Read Me'!$B$12),-1)</f>
        <v/>
      </c>
      <c r="W3515" s="17">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7" t="n">
        <v>153</v>
      </c>
      <c r="U3516" s="17" t="n">
        <v>10</v>
      </c>
      <c r="V3516" s="17">
        <f>ROUNDUP((T3516+U3516+2*'Read Me'!$B$13)*(1+'Read Me'!$B$12),-1)</f>
        <v/>
      </c>
      <c r="W3516" s="17">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7" t="n">
        <v>329</v>
      </c>
      <c r="U3517" s="17" t="n">
        <v>106</v>
      </c>
      <c r="V3517" s="17">
        <f>ROUNDUP((T3517+U3517+2*'Read Me'!$B$13)*(1+'Read Me'!$B$12),-1)</f>
        <v/>
      </c>
      <c r="W3517" s="17">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7" t="n">
        <v>153</v>
      </c>
      <c r="U3518" s="17" t="n">
        <v>10</v>
      </c>
      <c r="V3518" s="17">
        <f>ROUNDUP((T3518+U3518+2*'Read Me'!$B$13)*(1+'Read Me'!$B$12),-1)</f>
        <v/>
      </c>
      <c r="W3518" s="17">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7" t="n">
        <v>279</v>
      </c>
      <c r="U3519" s="17" t="n">
        <v>106</v>
      </c>
      <c r="V3519" s="17">
        <f>ROUNDUP((T3519+U3519+2*'Read Me'!$B$13)*(1+'Read Me'!$B$12),-1)</f>
        <v/>
      </c>
      <c r="W3519" s="17">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7" t="n">
        <v>153</v>
      </c>
      <c r="U3520" s="17" t="n">
        <v>10</v>
      </c>
      <c r="V3520" s="17">
        <f>ROUNDUP((T3520+U3520+2*'Read Me'!$B$13)*(1+'Read Me'!$B$12),-1)</f>
        <v/>
      </c>
      <c r="W3520" s="17">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7" t="n">
        <v>279</v>
      </c>
      <c r="U3521" s="17" t="n">
        <v>106</v>
      </c>
      <c r="V3521" s="17">
        <f>ROUNDUP((T3521+U3521+2*'Read Me'!$B$13)*(1+'Read Me'!$B$12),-1)</f>
        <v/>
      </c>
      <c r="W3521" s="17">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7" t="n">
        <v>153</v>
      </c>
      <c r="U3522" s="17" t="n">
        <v>10</v>
      </c>
      <c r="V3522" s="17">
        <f>ROUNDUP((T3522+U3522+2*'Read Me'!$B$13)*(1+'Read Me'!$B$12),-1)</f>
        <v/>
      </c>
      <c r="W3522" s="17">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7" t="n">
        <v>279</v>
      </c>
      <c r="U3523" s="17" t="n">
        <v>106</v>
      </c>
      <c r="V3523" s="17">
        <f>ROUNDUP((T3523+U3523+2*'Read Me'!$B$13)*(1+'Read Me'!$B$12),-1)</f>
        <v/>
      </c>
      <c r="W3523" s="17">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7" t="n">
        <v>153</v>
      </c>
      <c r="U3524" s="17" t="n">
        <v>10</v>
      </c>
      <c r="V3524" s="17">
        <f>ROUNDUP((T3524+U3524+2*'Read Me'!$B$13)*(1+'Read Me'!$B$12),-1)</f>
        <v/>
      </c>
      <c r="W3524" s="17">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7" t="n">
        <v>279</v>
      </c>
      <c r="U3525" s="17" t="n">
        <v>106</v>
      </c>
      <c r="V3525" s="17">
        <f>ROUNDUP((T3525+U3525+2*'Read Me'!$B$13)*(1+'Read Me'!$B$12),-1)</f>
        <v/>
      </c>
      <c r="W3525" s="17">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7" t="n">
        <v>153</v>
      </c>
      <c r="U3526" s="17" t="n">
        <v>10</v>
      </c>
      <c r="V3526" s="17">
        <f>ROUNDUP((T3526+U3526+2*'Read Me'!$B$13)*(1+'Read Me'!$B$12),-1)</f>
        <v/>
      </c>
      <c r="W3526" s="17">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7" t="n">
        <v>279</v>
      </c>
      <c r="U3527" s="17" t="n">
        <v>106</v>
      </c>
      <c r="V3527" s="17">
        <f>ROUNDUP((T3527+U3527+2*'Read Me'!$B$13)*(1+'Read Me'!$B$12),-1)</f>
        <v/>
      </c>
      <c r="W3527" s="17">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7" t="n">
        <v>153</v>
      </c>
      <c r="U3528" s="17" t="n">
        <v>10</v>
      </c>
      <c r="V3528" s="17">
        <f>ROUNDUP((T3528+U3528+2*'Read Me'!$B$13)*(1+'Read Me'!$B$12),-1)</f>
        <v/>
      </c>
      <c r="W3528" s="17">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7" t="n">
        <v>195</v>
      </c>
      <c r="U3529" s="17" t="n">
        <v>162</v>
      </c>
      <c r="V3529" s="17">
        <f>ROUNDUP((T3529+U3529+2*'Read Me'!$B$13)*(1+'Read Me'!$B$12),-1)</f>
        <v/>
      </c>
      <c r="W3529" s="17">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7" t="n">
        <v>153</v>
      </c>
      <c r="U3530" s="17" t="n">
        <v>10</v>
      </c>
      <c r="V3530" s="17">
        <f>ROUNDUP((T3530+U3530+2*'Read Me'!$B$13)*(1+'Read Me'!$B$12),-1)</f>
        <v/>
      </c>
      <c r="W3530" s="17">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7" t="n">
        <v>195</v>
      </c>
      <c r="U3531" s="17" t="n">
        <v>162</v>
      </c>
      <c r="V3531" s="17">
        <f>ROUNDUP((T3531+U3531+2*'Read Me'!$B$13)*(1+'Read Me'!$B$12),-1)</f>
        <v/>
      </c>
      <c r="W3531" s="17">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7" t="n">
        <v>153</v>
      </c>
      <c r="U3532" s="17" t="n">
        <v>10</v>
      </c>
      <c r="V3532" s="17">
        <f>ROUNDUP((T3532+U3532+2*'Read Me'!$B$13)*(1+'Read Me'!$B$12),-1)</f>
        <v/>
      </c>
      <c r="W3532" s="17">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7" t="n">
        <v>195</v>
      </c>
      <c r="U3533" s="17" t="n">
        <v>162</v>
      </c>
      <c r="V3533" s="17">
        <f>ROUNDUP((T3533+U3533+2*'Read Me'!$B$13)*(1+'Read Me'!$B$12),-1)</f>
        <v/>
      </c>
      <c r="W3533" s="17">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7" t="n">
        <v>153</v>
      </c>
      <c r="U3534" s="17" t="n">
        <v>10</v>
      </c>
      <c r="V3534" s="17">
        <f>ROUNDUP((T3534+U3534+2*'Read Me'!$B$13)*(1+'Read Me'!$B$12),-1)</f>
        <v/>
      </c>
      <c r="W3534" s="17">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7" t="n">
        <v>195</v>
      </c>
      <c r="U3535" s="17" t="n">
        <v>162</v>
      </c>
      <c r="V3535" s="17">
        <f>ROUNDUP((T3535+U3535+2*'Read Me'!$B$13)*(1+'Read Me'!$B$12),-1)</f>
        <v/>
      </c>
      <c r="W3535" s="17">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7" t="n">
        <v>153</v>
      </c>
      <c r="U3536" s="17" t="n">
        <v>10</v>
      </c>
      <c r="V3536" s="17">
        <f>ROUNDUP((T3536+U3536+2*'Read Me'!$B$13)*(1+'Read Me'!$B$12),-1)</f>
        <v/>
      </c>
      <c r="W3536" s="17">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7" t="n">
        <v>195</v>
      </c>
      <c r="U3537" s="17" t="n">
        <v>162</v>
      </c>
      <c r="V3537" s="17">
        <f>ROUNDUP((T3537+U3537+2*'Read Me'!$B$13)*(1+'Read Me'!$B$12),-1)</f>
        <v/>
      </c>
      <c r="W3537" s="17">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7" t="n">
        <v>113</v>
      </c>
      <c r="U3538" s="17" t="n">
        <v>10</v>
      </c>
      <c r="V3538" s="17">
        <f>ROUNDUP((T3538+U3538+2*'Read Me'!$B$13)*(1+'Read Me'!$B$12),-1)</f>
        <v/>
      </c>
      <c r="W3538" s="17">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7" t="n">
        <v>146</v>
      </c>
      <c r="U3539" s="17" t="n">
        <v>106</v>
      </c>
      <c r="V3539" s="17">
        <f>ROUNDUP((T3539+U3539+2*'Read Me'!$B$13)*(1+'Read Me'!$B$12),-1)</f>
        <v/>
      </c>
      <c r="W3539" s="17">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7" t="n">
        <v>113</v>
      </c>
      <c r="U3540" s="17" t="n">
        <v>10</v>
      </c>
      <c r="V3540" s="17">
        <f>ROUNDUP((T3540+U3540+2*'Read Me'!$B$13)*(1+'Read Me'!$B$12),-1)</f>
        <v/>
      </c>
      <c r="W3540" s="17">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7" t="n">
        <v>146</v>
      </c>
      <c r="U3541" s="17" t="n">
        <v>106</v>
      </c>
      <c r="V3541" s="17">
        <f>ROUNDUP((T3541+U3541+2*'Read Me'!$B$13)*(1+'Read Me'!$B$12),-1)</f>
        <v/>
      </c>
      <c r="W3541" s="17">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7" t="n">
        <v>66</v>
      </c>
      <c r="U3542" s="17" t="n">
        <v>10</v>
      </c>
      <c r="V3542" s="17">
        <f>ROUNDUP((T3542+U3542+2*'Read Me'!$B$13)*(1+'Read Me'!$B$12),-1)</f>
        <v/>
      </c>
      <c r="W3542" s="17">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7" t="n">
        <v>834</v>
      </c>
      <c r="U3543" s="17" t="n">
        <v>165</v>
      </c>
      <c r="V3543" s="17">
        <f>ROUNDUP((T3543+U3543+2*'Read Me'!$B$13)*(1+'Read Me'!$B$12),-1)</f>
        <v/>
      </c>
      <c r="W3543" s="17">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7" t="n">
        <v>66</v>
      </c>
      <c r="U3544" s="17" t="n">
        <v>10</v>
      </c>
      <c r="V3544" s="17">
        <f>ROUNDUP((T3544+U3544+2*'Read Me'!$B$13)*(1+'Read Me'!$B$12),-1)</f>
        <v/>
      </c>
      <c r="W3544" s="17">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7" t="n">
        <v>834</v>
      </c>
      <c r="U3545" s="17" t="n">
        <v>165</v>
      </c>
      <c r="V3545" s="17">
        <f>ROUNDUP((T3545+U3545+2*'Read Me'!$B$13)*(1+'Read Me'!$B$12),-1)</f>
        <v/>
      </c>
      <c r="W3545" s="17">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7" t="n">
        <v>66</v>
      </c>
      <c r="U3546" s="17" t="n">
        <v>10</v>
      </c>
      <c r="V3546" s="17">
        <f>ROUNDUP((T3546+U3546+2*'Read Me'!$B$13)*(1+'Read Me'!$B$12),-1)</f>
        <v/>
      </c>
      <c r="W3546" s="17">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7" t="n">
        <v>674</v>
      </c>
      <c r="U3547" s="17" t="n">
        <v>165</v>
      </c>
      <c r="V3547" s="17">
        <f>ROUNDUP((T3547+U3547+2*'Read Me'!$B$13)*(1+'Read Me'!$B$12),-1)</f>
        <v/>
      </c>
      <c r="W3547" s="17">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7" t="n">
        <v>66</v>
      </c>
      <c r="U3548" s="17" t="n">
        <v>10</v>
      </c>
      <c r="V3548" s="17">
        <f>ROUNDUP((T3548+U3548+2*'Read Me'!$B$13)*(1+'Read Me'!$B$12),-1)</f>
        <v/>
      </c>
      <c r="W3548" s="17">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7" t="n">
        <v>674</v>
      </c>
      <c r="U3549" s="17" t="n">
        <v>165</v>
      </c>
      <c r="V3549" s="17">
        <f>ROUNDUP((T3549+U3549+2*'Read Me'!$B$13)*(1+'Read Me'!$B$12),-1)</f>
        <v/>
      </c>
      <c r="W3549" s="17">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7" t="n">
        <v>66</v>
      </c>
      <c r="U3550" s="17" t="n">
        <v>10</v>
      </c>
      <c r="V3550" s="17">
        <f>ROUNDUP((T3550+U3550+2*'Read Me'!$B$13)*(1+'Read Me'!$B$12),-1)</f>
        <v/>
      </c>
      <c r="W3550" s="17">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7" t="n">
        <v>514</v>
      </c>
      <c r="U3551" s="17" t="n">
        <v>165</v>
      </c>
      <c r="V3551" s="17">
        <f>ROUNDUP((T3551+U3551+2*'Read Me'!$B$13)*(1+'Read Me'!$B$12),-1)</f>
        <v/>
      </c>
      <c r="W3551" s="17">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7" t="n">
        <v>66</v>
      </c>
      <c r="U3552" s="17" t="n">
        <v>10</v>
      </c>
      <c r="V3552" s="17">
        <f>ROUNDUP((T3552+U3552+2*'Read Me'!$B$13)*(1+'Read Me'!$B$12),-1)</f>
        <v/>
      </c>
      <c r="W3552" s="17">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7" t="n">
        <v>514</v>
      </c>
      <c r="U3553" s="17" t="n">
        <v>165</v>
      </c>
      <c r="V3553" s="17">
        <f>ROUNDUP((T3553+U3553+2*'Read Me'!$B$13)*(1+'Read Me'!$B$12),-1)</f>
        <v/>
      </c>
      <c r="W3553" s="17">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7" t="n">
        <v>570</v>
      </c>
      <c r="U3554" s="17" t="n">
        <v>80</v>
      </c>
      <c r="V3554" s="17">
        <f>ROUNDUP((T3554+U3554+2*'Read Me'!$B$13)*(1+'Read Me'!$B$12),-1)</f>
        <v/>
      </c>
      <c r="W3554" s="17">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7" t="n">
        <v>570</v>
      </c>
      <c r="U3555" s="17" t="n">
        <v>80</v>
      </c>
      <c r="V3555" s="17">
        <f>ROUNDUP((T3555+U3555+2*'Read Me'!$B$13)*(1+'Read Me'!$B$12),-1)</f>
        <v/>
      </c>
      <c r="W3555" s="17">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7" t="n">
        <v>570</v>
      </c>
      <c r="U3556" s="17" t="n">
        <v>80</v>
      </c>
      <c r="V3556" s="17">
        <f>ROUNDUP((T3556+U3556+2*'Read Me'!$B$13)*(1+'Read Me'!$B$12),-1)</f>
        <v/>
      </c>
      <c r="W3556" s="17">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7" t="n">
        <v>570</v>
      </c>
      <c r="U3557" s="17" t="n">
        <v>80</v>
      </c>
      <c r="V3557" s="17">
        <f>ROUNDUP((T3557+U3557+2*'Read Me'!$B$13)*(1+'Read Me'!$B$12),-1)</f>
        <v/>
      </c>
      <c r="W3557" s="17">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7" t="n">
        <v>570</v>
      </c>
      <c r="U3558" s="17" t="n">
        <v>80</v>
      </c>
      <c r="V3558" s="17">
        <f>ROUNDUP((T3558+U3558+2*'Read Me'!$B$13)*(1+'Read Me'!$B$12),-1)</f>
        <v/>
      </c>
      <c r="W3558" s="17">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7" t="n">
        <v>570</v>
      </c>
      <c r="U3559" s="17" t="n">
        <v>80</v>
      </c>
      <c r="V3559" s="17">
        <f>ROUNDUP((T3559+U3559+2*'Read Me'!$B$13)*(1+'Read Me'!$B$12),-1)</f>
        <v/>
      </c>
      <c r="W3559" s="17">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7" t="n">
        <v>570</v>
      </c>
      <c r="U3560" s="17" t="n">
        <v>80</v>
      </c>
      <c r="V3560" s="17">
        <f>ROUNDUP((T3560+U3560+2*'Read Me'!$B$13)*(1+'Read Me'!$B$12),-1)</f>
        <v/>
      </c>
      <c r="W3560" s="17">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7" t="n">
        <v>570</v>
      </c>
      <c r="U3561" s="17" t="n">
        <v>80</v>
      </c>
      <c r="V3561" s="17">
        <f>ROUNDUP((T3561+U3561+2*'Read Me'!$B$13)*(1+'Read Me'!$B$12),-1)</f>
        <v/>
      </c>
      <c r="W3561" s="17">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7" t="n">
        <v>570</v>
      </c>
      <c r="U3562" s="17" t="n">
        <v>80</v>
      </c>
      <c r="V3562" s="17">
        <f>ROUNDUP((T3562+U3562+2*'Read Me'!$B$13)*(1+'Read Me'!$B$12),-1)</f>
        <v/>
      </c>
      <c r="W3562" s="17">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7" t="n">
        <v>570</v>
      </c>
      <c r="U3563" s="17" t="n">
        <v>80</v>
      </c>
      <c r="V3563" s="17">
        <f>ROUNDUP((T3563+U3563+2*'Read Me'!$B$13)*(1+'Read Me'!$B$12),-1)</f>
        <v/>
      </c>
      <c r="W3563" s="17">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7" t="n">
        <v>570</v>
      </c>
      <c r="U3564" s="17" t="n">
        <v>80</v>
      </c>
      <c r="V3564" s="17">
        <f>ROUNDUP((T3564+U3564+2*'Read Me'!$B$13)*(1+'Read Me'!$B$12),-1)</f>
        <v/>
      </c>
      <c r="W3564" s="17">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870</v>
      </c>
      <c r="U3565" s="17" t="n">
        <v>80</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7" t="n">
        <v>870</v>
      </c>
      <c r="U3566" s="17" t="n">
        <v>80</v>
      </c>
      <c r="V3566" s="17">
        <f>ROUNDUP((T3566+U3566+2*'Read Me'!$B$13)*(1+'Read Me'!$B$12),-1)</f>
        <v/>
      </c>
      <c r="W3566" s="17">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7" t="n">
        <v>870</v>
      </c>
      <c r="U3567" s="17" t="n">
        <v>80</v>
      </c>
      <c r="V3567" s="17">
        <f>ROUNDUP((T3567+U3567+2*'Read Me'!$B$13)*(1+'Read Me'!$B$12),-1)</f>
        <v/>
      </c>
      <c r="W3567" s="17">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7" t="n">
        <v>570</v>
      </c>
      <c r="U3568" s="17" t="n">
        <v>80</v>
      </c>
      <c r="V3568" s="17">
        <f>ROUNDUP((T3568+U3568+2*'Read Me'!$B$13)*(1+'Read Me'!$B$12),-1)</f>
        <v/>
      </c>
      <c r="W3568" s="17">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7" t="n">
        <v>570</v>
      </c>
      <c r="U3569" s="17" t="n">
        <v>80</v>
      </c>
      <c r="V3569" s="17">
        <f>ROUNDUP((T3569+U3569+2*'Read Me'!$B$13)*(1+'Read Me'!$B$12),-1)</f>
        <v/>
      </c>
      <c r="W3569" s="17">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7" t="n">
        <v>570</v>
      </c>
      <c r="U3570" s="17" t="n">
        <v>80</v>
      </c>
      <c r="V3570" s="17">
        <f>ROUNDUP((T3570+U3570+2*'Read Me'!$B$13)*(1+'Read Me'!$B$12),-1)</f>
        <v/>
      </c>
      <c r="W3570" s="17">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7" t="n">
        <v>570</v>
      </c>
      <c r="U3571" s="17" t="n">
        <v>80</v>
      </c>
      <c r="V3571" s="17">
        <f>ROUNDUP((T3571+U3571+2*'Read Me'!$B$13)*(1+'Read Me'!$B$12),-1)</f>
        <v/>
      </c>
      <c r="W3571" s="17">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7" t="n">
        <v>552</v>
      </c>
      <c r="U3572" s="17" t="n">
        <v>81</v>
      </c>
      <c r="V3572" s="17">
        <f>ROUNDUP((T3572+U3572+2*'Read Me'!$B$13)*(1+'Read Me'!$B$12),-1)</f>
        <v/>
      </c>
      <c r="W3572" s="17">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7" t="n">
        <v>552</v>
      </c>
      <c r="U3573" s="17" t="n">
        <v>81</v>
      </c>
      <c r="V3573" s="17">
        <f>ROUNDUP((T3573+U3573+2*'Read Me'!$B$13)*(1+'Read Me'!$B$12),-1)</f>
        <v/>
      </c>
      <c r="W3573" s="17">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7" t="n">
        <v>410</v>
      </c>
      <c r="U3574" s="17" t="n">
        <v>80</v>
      </c>
      <c r="V3574" s="17">
        <f>ROUNDUP((T3574+U3574+2*'Read Me'!$B$13)*(1+'Read Me'!$B$12),-1)</f>
        <v/>
      </c>
      <c r="W3574" s="17">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7" t="n">
        <v>410</v>
      </c>
      <c r="U3575" s="17" t="n">
        <v>80</v>
      </c>
      <c r="V3575" s="17">
        <f>ROUNDUP((T3575+U3575+2*'Read Me'!$B$13)*(1+'Read Me'!$B$12),-1)</f>
        <v/>
      </c>
      <c r="W3575" s="17">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7" t="n">
        <v>410</v>
      </c>
      <c r="U3576" s="17" t="n">
        <v>80</v>
      </c>
      <c r="V3576" s="17">
        <f>ROUNDUP((T3576+U3576+2*'Read Me'!$B$13)*(1+'Read Me'!$B$12),-1)</f>
        <v/>
      </c>
      <c r="W3576" s="17">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7" t="n">
        <v>410</v>
      </c>
      <c r="U3577" s="17" t="n">
        <v>80</v>
      </c>
      <c r="V3577" s="17">
        <f>ROUNDUP((T3577+U3577+2*'Read Me'!$B$13)*(1+'Read Me'!$B$12),-1)</f>
        <v/>
      </c>
      <c r="W3577" s="17">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7" t="n">
        <v>410</v>
      </c>
      <c r="U3578" s="17" t="n">
        <v>80</v>
      </c>
      <c r="V3578" s="17">
        <f>ROUNDUP((T3578+U3578+2*'Read Me'!$B$13)*(1+'Read Me'!$B$12),-1)</f>
        <v/>
      </c>
      <c r="W3578" s="17">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7" t="n">
        <v>410</v>
      </c>
      <c r="U3579" s="17" t="n">
        <v>80</v>
      </c>
      <c r="V3579" s="17">
        <f>ROUNDUP((T3579+U3579+2*'Read Me'!$B$13)*(1+'Read Me'!$B$12),-1)</f>
        <v/>
      </c>
      <c r="W3579" s="17">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7" t="n">
        <v>410</v>
      </c>
      <c r="U3580" s="17" t="n">
        <v>80</v>
      </c>
      <c r="V3580" s="17">
        <f>ROUNDUP((T3580+U3580+2*'Read Me'!$B$13)*(1+'Read Me'!$B$12),-1)</f>
        <v/>
      </c>
      <c r="W3580" s="17">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7" t="n">
        <v>410</v>
      </c>
      <c r="U3581" s="17" t="n">
        <v>80</v>
      </c>
      <c r="V3581" s="17">
        <f>ROUNDUP((T3581+U3581+2*'Read Me'!$B$13)*(1+'Read Me'!$B$12),-1)</f>
        <v/>
      </c>
      <c r="W3581" s="17">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7" t="n">
        <v>410</v>
      </c>
      <c r="U3582" s="17" t="n">
        <v>80</v>
      </c>
      <c r="V3582" s="17">
        <f>ROUNDUP((T3582+U3582+2*'Read Me'!$B$13)*(1+'Read Me'!$B$12),-1)</f>
        <v/>
      </c>
      <c r="W3582" s="17">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7" t="n">
        <v>410</v>
      </c>
      <c r="U3583" s="17" t="n">
        <v>80</v>
      </c>
      <c r="V3583" s="17">
        <f>ROUNDUP((T3583+U3583+2*'Read Me'!$B$13)*(1+'Read Me'!$B$12),-1)</f>
        <v/>
      </c>
      <c r="W3583" s="17">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7" t="n">
        <v>410</v>
      </c>
      <c r="U3584" s="17" t="n">
        <v>80</v>
      </c>
      <c r="V3584" s="17">
        <f>ROUNDUP((T3584+U3584+2*'Read Me'!$B$13)*(1+'Read Me'!$B$12),-1)</f>
        <v/>
      </c>
      <c r="W3584" s="17">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7" t="n">
        <v>710</v>
      </c>
      <c r="U3585" s="17" t="n">
        <v>80</v>
      </c>
      <c r="V3585" s="17">
        <f>ROUNDUP((T3585+U3585+2*'Read Me'!$B$13)*(1+'Read Me'!$B$12),-1)</f>
        <v/>
      </c>
      <c r="W3585" s="17">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7" t="n">
        <v>710</v>
      </c>
      <c r="U3586" s="17" t="n">
        <v>80</v>
      </c>
      <c r="V3586" s="17">
        <f>ROUNDUP((T3586+U3586+2*'Read Me'!$B$13)*(1+'Read Me'!$B$12),-1)</f>
        <v/>
      </c>
      <c r="W3586" s="17">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7" t="n">
        <v>710</v>
      </c>
      <c r="U3587" s="17" t="n">
        <v>80</v>
      </c>
      <c r="V3587" s="17">
        <f>ROUNDUP((T3587+U3587+2*'Read Me'!$B$13)*(1+'Read Me'!$B$12),-1)</f>
        <v/>
      </c>
      <c r="W3587" s="17">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7" t="n">
        <v>410</v>
      </c>
      <c r="U3588" s="17" t="n">
        <v>80</v>
      </c>
      <c r="V3588" s="17">
        <f>ROUNDUP((T3588+U3588+2*'Read Me'!$B$13)*(1+'Read Me'!$B$12),-1)</f>
        <v/>
      </c>
      <c r="W3588" s="17">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7" t="n">
        <v>410</v>
      </c>
      <c r="U3589" s="17" t="n">
        <v>80</v>
      </c>
      <c r="V3589" s="17">
        <f>ROUNDUP((T3589+U3589+2*'Read Me'!$B$13)*(1+'Read Me'!$B$12),-1)</f>
        <v/>
      </c>
      <c r="W3589" s="17">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7" t="n">
        <v>410</v>
      </c>
      <c r="U3590" s="17" t="n">
        <v>80</v>
      </c>
      <c r="V3590" s="17">
        <f>ROUNDUP((T3590+U3590+2*'Read Me'!$B$13)*(1+'Read Me'!$B$12),-1)</f>
        <v/>
      </c>
      <c r="W3590" s="17">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7" t="n">
        <v>410</v>
      </c>
      <c r="U3591" s="17" t="n">
        <v>80</v>
      </c>
      <c r="V3591" s="17">
        <f>ROUNDUP((T3591+U3591+2*'Read Me'!$B$13)*(1+'Read Me'!$B$12),-1)</f>
        <v/>
      </c>
      <c r="W3591" s="17">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7" t="n">
        <v>392</v>
      </c>
      <c r="U3592" s="17" t="n">
        <v>81</v>
      </c>
      <c r="V3592" s="17">
        <f>ROUNDUP((T3592+U3592+2*'Read Me'!$B$13)*(1+'Read Me'!$B$12),-1)</f>
        <v/>
      </c>
      <c r="W3592" s="17">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7" t="n">
        <v>392</v>
      </c>
      <c r="U3593" s="17" t="n">
        <v>81</v>
      </c>
      <c r="V3593" s="17">
        <f>ROUNDUP((T3593+U3593+2*'Read Me'!$B$13)*(1+'Read Me'!$B$12),-1)</f>
        <v/>
      </c>
      <c r="W3593" s="17">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7" t="n">
        <v>250</v>
      </c>
      <c r="U3594" s="17" t="n">
        <v>80</v>
      </c>
      <c r="V3594" s="17">
        <f>ROUNDUP((T3594+U3594+2*'Read Me'!$B$13)*(1+'Read Me'!$B$12),-1)</f>
        <v/>
      </c>
      <c r="W3594" s="17">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7" t="n">
        <v>250</v>
      </c>
      <c r="U3595" s="17" t="n">
        <v>80</v>
      </c>
      <c r="V3595" s="17">
        <f>ROUNDUP((T3595+U3595+2*'Read Me'!$B$13)*(1+'Read Me'!$B$12),-1)</f>
        <v/>
      </c>
      <c r="W3595" s="17">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7" t="n">
        <v>250</v>
      </c>
      <c r="U3596" s="17" t="n">
        <v>80</v>
      </c>
      <c r="V3596" s="17">
        <f>ROUNDUP((T3596+U3596+2*'Read Me'!$B$13)*(1+'Read Me'!$B$12),-1)</f>
        <v/>
      </c>
      <c r="W3596" s="17">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7" t="n">
        <v>250</v>
      </c>
      <c r="U3597" s="17" t="n">
        <v>80</v>
      </c>
      <c r="V3597" s="17">
        <f>ROUNDUP((T3597+U3597+2*'Read Me'!$B$13)*(1+'Read Me'!$B$12),-1)</f>
        <v/>
      </c>
      <c r="W3597" s="17">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7" t="n">
        <v>250</v>
      </c>
      <c r="U3598" s="17" t="n">
        <v>80</v>
      </c>
      <c r="V3598" s="17">
        <f>ROUNDUP((T3598+U3598+2*'Read Me'!$B$13)*(1+'Read Me'!$B$12),-1)</f>
        <v/>
      </c>
      <c r="W3598" s="17">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7" t="n">
        <v>250</v>
      </c>
      <c r="U3599" s="17" t="n">
        <v>80</v>
      </c>
      <c r="V3599" s="17">
        <f>ROUNDUP((T3599+U3599+2*'Read Me'!$B$13)*(1+'Read Me'!$B$12),-1)</f>
        <v/>
      </c>
      <c r="W3599" s="17">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7" t="n">
        <v>250</v>
      </c>
      <c r="U3600" s="17" t="n">
        <v>80</v>
      </c>
      <c r="V3600" s="17">
        <f>ROUNDUP((T3600+U3600+2*'Read Me'!$B$13)*(1+'Read Me'!$B$12),-1)</f>
        <v/>
      </c>
      <c r="W3600" s="17">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7" t="n">
        <v>250</v>
      </c>
      <c r="U3601" s="17" t="n">
        <v>80</v>
      </c>
      <c r="V3601" s="17">
        <f>ROUNDUP((T3601+U3601+2*'Read Me'!$B$13)*(1+'Read Me'!$B$12),-1)</f>
        <v/>
      </c>
      <c r="W3601" s="17">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7" t="n">
        <v>250</v>
      </c>
      <c r="U3602" s="17" t="n">
        <v>80</v>
      </c>
      <c r="V3602" s="17">
        <f>ROUNDUP((T3602+U3602+2*'Read Me'!$B$13)*(1+'Read Me'!$B$12),-1)</f>
        <v/>
      </c>
      <c r="W3602" s="17">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7" t="n">
        <v>250</v>
      </c>
      <c r="U3603" s="17" t="n">
        <v>80</v>
      </c>
      <c r="V3603" s="17">
        <f>ROUNDUP((T3603+U3603+2*'Read Me'!$B$13)*(1+'Read Me'!$B$12),-1)</f>
        <v/>
      </c>
      <c r="W3603" s="17">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7" t="n">
        <v>250</v>
      </c>
      <c r="U3604" s="17" t="n">
        <v>80</v>
      </c>
      <c r="V3604" s="17">
        <f>ROUNDUP((T3604+U3604+2*'Read Me'!$B$13)*(1+'Read Me'!$B$12),-1)</f>
        <v/>
      </c>
      <c r="W3604" s="17">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7" t="n">
        <v>550</v>
      </c>
      <c r="U3605" s="17" t="n">
        <v>80</v>
      </c>
      <c r="V3605" s="17">
        <f>ROUNDUP((T3605+U3605+2*'Read Me'!$B$13)*(1+'Read Me'!$B$12),-1)</f>
        <v/>
      </c>
      <c r="W3605" s="17">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7" t="n">
        <v>550</v>
      </c>
      <c r="U3606" s="17" t="n">
        <v>80</v>
      </c>
      <c r="V3606" s="17">
        <f>ROUNDUP((T3606+U3606+2*'Read Me'!$B$13)*(1+'Read Me'!$B$12),-1)</f>
        <v/>
      </c>
      <c r="W3606" s="17">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7" t="n">
        <v>550</v>
      </c>
      <c r="U3607" s="17" t="n">
        <v>80</v>
      </c>
      <c r="V3607" s="17">
        <f>ROUNDUP((T3607+U3607+2*'Read Me'!$B$13)*(1+'Read Me'!$B$12),-1)</f>
        <v/>
      </c>
      <c r="W3607" s="17">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7" t="n">
        <v>250</v>
      </c>
      <c r="U3608" s="17" t="n">
        <v>80</v>
      </c>
      <c r="V3608" s="17">
        <f>ROUNDUP((T3608+U3608+2*'Read Me'!$B$13)*(1+'Read Me'!$B$12),-1)</f>
        <v/>
      </c>
      <c r="W3608" s="17">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7" t="n">
        <v>250</v>
      </c>
      <c r="U3609" s="17" t="n">
        <v>80</v>
      </c>
      <c r="V3609" s="17">
        <f>ROUNDUP((T3609+U3609+2*'Read Me'!$B$13)*(1+'Read Me'!$B$12),-1)</f>
        <v/>
      </c>
      <c r="W3609" s="17">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7" t="n">
        <v>250</v>
      </c>
      <c r="U3610" s="17" t="n">
        <v>80</v>
      </c>
      <c r="V3610" s="17">
        <f>ROUNDUP((T3610+U3610+2*'Read Me'!$B$13)*(1+'Read Me'!$B$12),-1)</f>
        <v/>
      </c>
      <c r="W3610" s="17">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7" t="n">
        <v>250</v>
      </c>
      <c r="U3611" s="17" t="n">
        <v>80</v>
      </c>
      <c r="V3611" s="17">
        <f>ROUNDUP((T3611+U3611+2*'Read Me'!$B$13)*(1+'Read Me'!$B$12),-1)</f>
        <v/>
      </c>
      <c r="W3611" s="17">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7" t="n">
        <v>232</v>
      </c>
      <c r="U3612" s="17" t="n">
        <v>81</v>
      </c>
      <c r="V3612" s="17">
        <f>ROUNDUP((T3612+U3612+2*'Read Me'!$B$13)*(1+'Read Me'!$B$12),-1)</f>
        <v/>
      </c>
      <c r="W3612" s="17">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7" t="n">
        <v>232</v>
      </c>
      <c r="U3613" s="17" t="n">
        <v>81</v>
      </c>
      <c r="V3613" s="17">
        <f>ROUNDUP((T3613+U3613+2*'Read Me'!$B$13)*(1+'Read Me'!$B$12),-1)</f>
        <v/>
      </c>
      <c r="W3613" s="17">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7" t="n">
        <v>289</v>
      </c>
      <c r="U3614" s="17" t="n">
        <v>43</v>
      </c>
      <c r="V3614" s="17">
        <f>ROUNDUP((T3614+U3614+2*'Read Me'!$B$13)*(1+'Read Me'!$B$12),-1)</f>
        <v/>
      </c>
      <c r="W3614" s="17">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7" t="n">
        <v>460</v>
      </c>
      <c r="U3615" s="17" t="n">
        <v>32</v>
      </c>
      <c r="V3615" s="17">
        <f>ROUNDUP((T3615+U3615+2*'Read Me'!$B$13)*(1+'Read Me'!$B$12),-1)</f>
        <v/>
      </c>
      <c r="W3615" s="17">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7" t="n">
        <v>460</v>
      </c>
      <c r="U3616" s="17" t="n">
        <v>32</v>
      </c>
      <c r="V3616" s="17">
        <f>ROUNDUP((T3616+U3616+2*'Read Me'!$B$13)*(1+'Read Me'!$B$12),-1)</f>
        <v/>
      </c>
      <c r="W3616" s="17">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7" t="n">
        <v>460</v>
      </c>
      <c r="U3617" s="17" t="n">
        <v>32</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7" t="n">
        <v>460</v>
      </c>
      <c r="U3618" s="17" t="n">
        <v>32</v>
      </c>
      <c r="V3618" s="17">
        <f>ROUNDUP((T3618+U3618+2*'Read Me'!$B$13)*(1+'Read Me'!$B$12),-1)</f>
        <v/>
      </c>
      <c r="W3618" s="17">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7" t="n">
        <v>460</v>
      </c>
      <c r="U3619" s="17" t="n">
        <v>32</v>
      </c>
      <c r="V3619" s="17">
        <f>ROUNDUP((T3619+U3619+2*'Read Me'!$B$13)*(1+'Read Me'!$B$12),-1)</f>
        <v/>
      </c>
      <c r="W3619" s="17">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7" t="n">
        <v>460</v>
      </c>
      <c r="U3620" s="17" t="n">
        <v>32</v>
      </c>
      <c r="V3620" s="17">
        <f>ROUNDUP((T3620+U3620+2*'Read Me'!$B$13)*(1+'Read Me'!$B$12),-1)</f>
        <v/>
      </c>
      <c r="W3620" s="17">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7" t="n">
        <v>460</v>
      </c>
      <c r="U3621" s="17" t="n">
        <v>32</v>
      </c>
      <c r="V3621" s="17">
        <f>ROUNDUP((T3621+U3621+2*'Read Me'!$B$13)*(1+'Read Me'!$B$12),-1)</f>
        <v/>
      </c>
      <c r="W3621" s="17">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7" t="n">
        <v>460</v>
      </c>
      <c r="U3622" s="17" t="n">
        <v>32</v>
      </c>
      <c r="V3622" s="17">
        <f>ROUNDUP((T3622+U3622+2*'Read Me'!$B$13)*(1+'Read Me'!$B$12),-1)</f>
        <v/>
      </c>
      <c r="W3622" s="17">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7" t="n">
        <v>300</v>
      </c>
      <c r="U3623" s="17" t="n">
        <v>32</v>
      </c>
      <c r="V3623" s="17">
        <f>ROUNDUP((T3623+U3623+2*'Read Me'!$B$13)*(1+'Read Me'!$B$12),-1)</f>
        <v/>
      </c>
      <c r="W3623" s="17">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7" t="n">
        <v>300</v>
      </c>
      <c r="U3624" s="17" t="n">
        <v>32</v>
      </c>
      <c r="V3624" s="17">
        <f>ROUNDUP((T3624+U3624+2*'Read Me'!$B$13)*(1+'Read Me'!$B$12),-1)</f>
        <v/>
      </c>
      <c r="W3624" s="17">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7" t="n">
        <v>300</v>
      </c>
      <c r="U3625" s="17" t="n">
        <v>32</v>
      </c>
      <c r="V3625" s="17">
        <f>ROUNDUP((T3625+U3625+2*'Read Me'!$B$13)*(1+'Read Me'!$B$12),-1)</f>
        <v/>
      </c>
      <c r="W3625" s="17">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7" t="n">
        <v>300</v>
      </c>
      <c r="U3626" s="17" t="n">
        <v>32</v>
      </c>
      <c r="V3626" s="17">
        <f>ROUNDUP((T3626+U3626+2*'Read Me'!$B$13)*(1+'Read Me'!$B$12),-1)</f>
        <v/>
      </c>
      <c r="W3626" s="17">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7" t="n">
        <v>300</v>
      </c>
      <c r="U3627" s="17" t="n">
        <v>32</v>
      </c>
      <c r="V3627" s="17">
        <f>ROUNDUP((T3627+U3627+2*'Read Me'!$B$13)*(1+'Read Me'!$B$12),-1)</f>
        <v/>
      </c>
      <c r="W3627" s="17">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7" t="n">
        <v>300</v>
      </c>
      <c r="U3628" s="17" t="n">
        <v>32</v>
      </c>
      <c r="V3628" s="17">
        <f>ROUNDUP((T3628+U3628+2*'Read Me'!$B$13)*(1+'Read Me'!$B$12),-1)</f>
        <v/>
      </c>
      <c r="W3628" s="17">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7" t="n">
        <v>300</v>
      </c>
      <c r="U3629" s="17" t="n">
        <v>32</v>
      </c>
      <c r="V3629" s="17">
        <f>ROUNDUP((T3629+U3629+2*'Read Me'!$B$13)*(1+'Read Me'!$B$12),-1)</f>
        <v/>
      </c>
      <c r="W3629" s="17">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7" t="n">
        <v>300</v>
      </c>
      <c r="U3630" s="17" t="n">
        <v>32</v>
      </c>
      <c r="V3630" s="17">
        <f>ROUNDUP((T3630+U3630+2*'Read Me'!$B$13)*(1+'Read Me'!$B$12),-1)</f>
        <v/>
      </c>
      <c r="W3630" s="17">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7" t="n">
        <v>16</v>
      </c>
      <c r="U3631" s="17" t="n">
        <v>150</v>
      </c>
      <c r="V3631" s="17">
        <f>ROUNDUP((T3631+U3631+2*'Read Me'!$B$13)*(1+'Read Me'!$B$12),-1)</f>
        <v/>
      </c>
      <c r="W3631" s="17">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7" t="n">
        <v>16</v>
      </c>
      <c r="U3632" s="17" t="n">
        <v>150</v>
      </c>
      <c r="V3632" s="17">
        <f>ROUNDUP((T3632+U3632+2*'Read Me'!$B$13)*(1+'Read Me'!$B$12),-1)</f>
        <v/>
      </c>
      <c r="W3632" s="17">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7" t="n">
        <v>16</v>
      </c>
      <c r="U3633" s="17" t="n">
        <v>150</v>
      </c>
      <c r="V3633" s="17">
        <f>ROUNDUP((T3633+U3633+2*'Read Me'!$B$13)*(1+'Read Me'!$B$12),-1)</f>
        <v/>
      </c>
      <c r="W3633" s="17">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7" t="n">
        <v>16</v>
      </c>
      <c r="U3634" s="17" t="n">
        <v>150</v>
      </c>
      <c r="V3634" s="17">
        <f>ROUNDUP((T3634+U3634+2*'Read Me'!$B$13)*(1+'Read Me'!$B$12),-1)</f>
        <v/>
      </c>
      <c r="W3634" s="17">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7" t="n">
        <v>16</v>
      </c>
      <c r="U3635" s="17" t="n">
        <v>150</v>
      </c>
      <c r="V3635" s="17">
        <f>ROUNDUP((T3635+U3635+2*'Read Me'!$B$13)*(1+'Read Me'!$B$12),-1)</f>
        <v/>
      </c>
      <c r="W3635" s="17">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7" t="n">
        <v>16</v>
      </c>
      <c r="U3636" s="17" t="n">
        <v>150</v>
      </c>
      <c r="V3636" s="17">
        <f>ROUNDUP((T3636+U3636+2*'Read Me'!$B$13)*(1+'Read Me'!$B$12),-1)</f>
        <v/>
      </c>
      <c r="W3636" s="17">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7" t="n">
        <v>16</v>
      </c>
      <c r="U3637" s="17" t="n">
        <v>150</v>
      </c>
      <c r="V3637" s="17">
        <f>ROUNDUP((T3637+U3637+2*'Read Me'!$B$13)*(1+'Read Me'!$B$12),-1)</f>
        <v/>
      </c>
      <c r="W3637" s="17">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7" t="n">
        <v>16</v>
      </c>
      <c r="U3638" s="17" t="n">
        <v>150</v>
      </c>
      <c r="V3638" s="17">
        <f>ROUNDUP((T3638+U3638+2*'Read Me'!$B$13)*(1+'Read Me'!$B$12),-1)</f>
        <v/>
      </c>
      <c r="W3638" s="17">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7" t="n">
        <v>206</v>
      </c>
      <c r="U3639" s="17" t="n">
        <v>101</v>
      </c>
      <c r="V3639" s="17">
        <f>ROUNDUP((T3639+U3639+2*'Read Me'!$B$13)*(1+'Read Me'!$B$12),-1)</f>
        <v/>
      </c>
      <c r="W3639" s="17">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7" t="n">
        <v>0</v>
      </c>
      <c r="U3640" s="17" t="n">
        <v>32</v>
      </c>
      <c r="V3640" s="17">
        <f>ROUNDUP((T3640+U3640+2*'Read Me'!$B$13)*(1+'Read Me'!$B$12),-1)</f>
        <v/>
      </c>
      <c r="W3640" s="17">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7" t="n">
        <v>361</v>
      </c>
      <c r="U3641" s="17" t="n">
        <v>32</v>
      </c>
      <c r="V3641" s="17">
        <f>ROUNDUP((T3641+U3641+2*'Read Me'!$B$13)*(1+'Read Me'!$B$12),-1)</f>
        <v/>
      </c>
      <c r="W3641" s="17">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7" t="n">
        <v>361</v>
      </c>
      <c r="U3642" s="17" t="n">
        <v>32</v>
      </c>
      <c r="V3642" s="17">
        <f>ROUNDUP((T3642+U3642+2*'Read Me'!$B$13)*(1+'Read Me'!$B$12),-1)</f>
        <v/>
      </c>
      <c r="W3642" s="17">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7" t="n">
        <v>361</v>
      </c>
      <c r="U3643" s="17" t="n">
        <v>32</v>
      </c>
      <c r="V3643" s="17">
        <f>ROUNDUP((T3643+U3643+2*'Read Me'!$B$13)*(1+'Read Me'!$B$12),-1)</f>
        <v/>
      </c>
      <c r="W3643" s="17">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7" t="n">
        <v>361</v>
      </c>
      <c r="U3644" s="17" t="n">
        <v>32</v>
      </c>
      <c r="V3644" s="17">
        <f>ROUNDUP((T3644+U3644+2*'Read Me'!$B$13)*(1+'Read Me'!$B$12),-1)</f>
        <v/>
      </c>
      <c r="W3644" s="17">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7" t="n">
        <v>361</v>
      </c>
      <c r="U3645" s="17" t="n">
        <v>32</v>
      </c>
      <c r="V3645" s="17">
        <f>ROUNDUP((T3645+U3645+2*'Read Me'!$B$13)*(1+'Read Me'!$B$12),-1)</f>
        <v/>
      </c>
      <c r="W3645" s="17">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7" t="n">
        <v>361</v>
      </c>
      <c r="U3646" s="17" t="n">
        <v>32</v>
      </c>
      <c r="V3646" s="17">
        <f>ROUNDUP((T3646+U3646+2*'Read Me'!$B$13)*(1+'Read Me'!$B$12),-1)</f>
        <v/>
      </c>
      <c r="W3646" s="17">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7" t="n">
        <v>409</v>
      </c>
      <c r="U3647" s="17" t="n">
        <v>32</v>
      </c>
      <c r="V3647" s="17">
        <f>ROUNDUP((T3647+U3647+2*'Read Me'!$B$13)*(1+'Read Me'!$B$12),-1)</f>
        <v/>
      </c>
      <c r="W3647" s="17">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7" t="n">
        <v>409</v>
      </c>
      <c r="U3648" s="17" t="n">
        <v>32</v>
      </c>
      <c r="V3648" s="17">
        <f>ROUNDUP((T3648+U3648+2*'Read Me'!$B$13)*(1+'Read Me'!$B$12),-1)</f>
        <v/>
      </c>
      <c r="W3648" s="17">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7" t="n">
        <v>409</v>
      </c>
      <c r="U3649" s="17" t="n">
        <v>32</v>
      </c>
      <c r="V3649" s="17">
        <f>ROUNDUP((T3649+U3649+2*'Read Me'!$B$13)*(1+'Read Me'!$B$12),-1)</f>
        <v/>
      </c>
      <c r="W3649" s="17">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7" t="n">
        <v>409</v>
      </c>
      <c r="U3650" s="17" t="n">
        <v>32</v>
      </c>
      <c r="V3650" s="17">
        <f>ROUNDUP((T3650+U3650+2*'Read Me'!$B$13)*(1+'Read Me'!$B$12),-1)</f>
        <v/>
      </c>
      <c r="W3650" s="17">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7" t="n">
        <v>409</v>
      </c>
      <c r="U3651" s="17" t="n">
        <v>32</v>
      </c>
      <c r="V3651" s="17">
        <f>ROUNDUP((T3651+U3651+2*'Read Me'!$B$13)*(1+'Read Me'!$B$12),-1)</f>
        <v/>
      </c>
      <c r="W3651" s="17">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7" t="n">
        <v>409</v>
      </c>
      <c r="U3652" s="17" t="n">
        <v>32</v>
      </c>
      <c r="V3652" s="17">
        <f>ROUNDUP((T3652+U3652+2*'Read Me'!$B$13)*(1+'Read Me'!$B$12),-1)</f>
        <v/>
      </c>
      <c r="W3652" s="17">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7" t="n">
        <v>250</v>
      </c>
      <c r="U3653" s="17" t="n">
        <v>42</v>
      </c>
      <c r="V3653" s="17">
        <f>ROUNDUP((T3653+U3653+2*'Read Me'!$B$13)*(1+'Read Me'!$B$12),-1)</f>
        <v/>
      </c>
      <c r="W3653" s="17">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7" t="n">
        <v>250</v>
      </c>
      <c r="U3654" s="17" t="n">
        <v>42</v>
      </c>
      <c r="V3654" s="17">
        <f>ROUNDUP((T3654+U3654+2*'Read Me'!$B$13)*(1+'Read Me'!$B$12),-1)</f>
        <v/>
      </c>
      <c r="W3654" s="17">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7" t="n">
        <v>250</v>
      </c>
      <c r="U3655" s="17" t="n">
        <v>42</v>
      </c>
      <c r="V3655" s="17">
        <f>ROUNDUP((T3655+U3655+2*'Read Me'!$B$13)*(1+'Read Me'!$B$12),-1)</f>
        <v/>
      </c>
      <c r="W3655" s="17">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7" t="n">
        <v>250</v>
      </c>
      <c r="U3656" s="17" t="n">
        <v>42</v>
      </c>
      <c r="V3656" s="17">
        <f>ROUNDUP((T3656+U3656+2*'Read Me'!$B$13)*(1+'Read Me'!$B$12),-1)</f>
        <v/>
      </c>
      <c r="W3656" s="17">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7" t="n">
        <v>250</v>
      </c>
      <c r="U3657" s="17" t="n">
        <v>42</v>
      </c>
      <c r="V3657" s="17">
        <f>ROUNDUP((T3657+U3657+2*'Read Me'!$B$13)*(1+'Read Me'!$B$12),-1)</f>
        <v/>
      </c>
      <c r="W3657" s="17">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7" t="n">
        <v>250</v>
      </c>
      <c r="U3658" s="17" t="n">
        <v>42</v>
      </c>
      <c r="V3658" s="17">
        <f>ROUNDUP((T3658+U3658+2*'Read Me'!$B$13)*(1+'Read Me'!$B$12),-1)</f>
        <v/>
      </c>
      <c r="W3658" s="17">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7" t="n">
        <v>250</v>
      </c>
      <c r="U3659" s="17" t="n">
        <v>42</v>
      </c>
      <c r="V3659" s="17">
        <f>ROUNDUP((T3659+U3659+2*'Read Me'!$B$13)*(1+'Read Me'!$B$12),-1)</f>
        <v/>
      </c>
      <c r="W3659" s="17">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7" t="n">
        <v>250</v>
      </c>
      <c r="U3660" s="17" t="n">
        <v>42</v>
      </c>
      <c r="V3660" s="17">
        <f>ROUNDUP((T3660+U3660+2*'Read Me'!$B$13)*(1+'Read Me'!$B$12),-1)</f>
        <v/>
      </c>
      <c r="W3660" s="17">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7" t="n">
        <v>250</v>
      </c>
      <c r="U3661" s="17" t="n">
        <v>42</v>
      </c>
      <c r="V3661" s="17">
        <f>ROUNDUP((T3661+U3661+2*'Read Me'!$B$13)*(1+'Read Me'!$B$12),-1)</f>
        <v/>
      </c>
      <c r="W3661" s="17">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7" t="n">
        <v>250</v>
      </c>
      <c r="U3662" s="17" t="n">
        <v>42</v>
      </c>
      <c r="V3662" s="17">
        <f>ROUNDUP((T3662+U3662+2*'Read Me'!$B$13)*(1+'Read Me'!$B$12),-1)</f>
        <v/>
      </c>
      <c r="W3662" s="17">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7" t="n">
        <v>250</v>
      </c>
      <c r="U3663" s="17" t="n">
        <v>42</v>
      </c>
      <c r="V3663" s="17">
        <f>ROUNDUP((T3663+U3663+2*'Read Me'!$B$13)*(1+'Read Me'!$B$12),-1)</f>
        <v/>
      </c>
      <c r="W3663" s="17">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7" t="n">
        <v>250</v>
      </c>
      <c r="U3664" s="17" t="n">
        <v>42</v>
      </c>
      <c r="V3664" s="17">
        <f>ROUNDUP((T3664+U3664+2*'Read Me'!$B$13)*(1+'Read Me'!$B$12),-1)</f>
        <v/>
      </c>
      <c r="W3664" s="17">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7" t="n">
        <v>250</v>
      </c>
      <c r="U3665" s="17" t="n">
        <v>42</v>
      </c>
      <c r="V3665" s="17">
        <f>ROUNDUP((T3665+U3665+2*'Read Me'!$B$13)*(1+'Read Me'!$B$12),-1)</f>
        <v/>
      </c>
      <c r="W3665" s="17">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7" t="n">
        <v>250</v>
      </c>
      <c r="U3666" s="17" t="n">
        <v>42</v>
      </c>
      <c r="V3666" s="17">
        <f>ROUNDUP((T3666+U3666+2*'Read Me'!$B$13)*(1+'Read Me'!$B$12),-1)</f>
        <v/>
      </c>
      <c r="W3666" s="17">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7" t="n">
        <v>250</v>
      </c>
      <c r="U3667" s="17" t="n">
        <v>42</v>
      </c>
      <c r="V3667" s="17">
        <f>ROUNDUP((T3667+U3667+2*'Read Me'!$B$13)*(1+'Read Me'!$B$12),-1)</f>
        <v/>
      </c>
      <c r="W3667" s="17">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7" t="n">
        <v>250</v>
      </c>
      <c r="U3668" s="17" t="n">
        <v>42</v>
      </c>
      <c r="V3668" s="17">
        <f>ROUNDUP((T3668+U3668+2*'Read Me'!$B$13)*(1+'Read Me'!$B$12),-1)</f>
        <v/>
      </c>
      <c r="W3668" s="17">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7" t="n">
        <v>250</v>
      </c>
      <c r="U3669" s="17" t="n">
        <v>42</v>
      </c>
      <c r="V3669" s="17">
        <f>ROUNDUP((T3669+U3669+2*'Read Me'!$B$13)*(1+'Read Me'!$B$12),-1)</f>
        <v/>
      </c>
      <c r="W3669" s="17">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7" t="n">
        <v>250</v>
      </c>
      <c r="U3670" s="17" t="n">
        <v>42</v>
      </c>
      <c r="V3670" s="17">
        <f>ROUNDUP((T3670+U3670+2*'Read Me'!$B$13)*(1+'Read Me'!$B$12),-1)</f>
        <v/>
      </c>
      <c r="W3670" s="17">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7" t="n">
        <v>250</v>
      </c>
      <c r="U3671" s="17" t="n">
        <v>42</v>
      </c>
      <c r="V3671" s="17">
        <f>ROUNDUP((T3671+U3671+2*'Read Me'!$B$13)*(1+'Read Me'!$B$12),-1)</f>
        <v/>
      </c>
      <c r="W3671" s="17">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7" t="n">
        <v>250</v>
      </c>
      <c r="U3672" s="17" t="n">
        <v>42</v>
      </c>
      <c r="V3672" s="17">
        <f>ROUNDUP((T3672+U3672+2*'Read Me'!$B$13)*(1+'Read Me'!$B$12),-1)</f>
        <v/>
      </c>
      <c r="W3672" s="17">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7" t="n">
        <v>250</v>
      </c>
      <c r="U3673" s="17" t="n">
        <v>42</v>
      </c>
      <c r="V3673" s="17">
        <f>ROUNDUP((T3673+U3673+2*'Read Me'!$B$13)*(1+'Read Me'!$B$12),-1)</f>
        <v/>
      </c>
      <c r="W3673" s="17">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7" t="n">
        <v>250</v>
      </c>
      <c r="U3674" s="17" t="n">
        <v>42</v>
      </c>
      <c r="V3674" s="17">
        <f>ROUNDUP((T3674+U3674+2*'Read Me'!$B$13)*(1+'Read Me'!$B$12),-1)</f>
        <v/>
      </c>
      <c r="W3674" s="17">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7" t="n">
        <v>250</v>
      </c>
      <c r="U3675" s="17" t="n">
        <v>42</v>
      </c>
      <c r="V3675" s="17">
        <f>ROUNDUP((T3675+U3675+2*'Read Me'!$B$13)*(1+'Read Me'!$B$12),-1)</f>
        <v/>
      </c>
      <c r="W3675" s="17">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7" t="n">
        <v>250</v>
      </c>
      <c r="U3676" s="17" t="n">
        <v>42</v>
      </c>
      <c r="V3676" s="17">
        <f>ROUNDUP((T3676+U3676+2*'Read Me'!$B$13)*(1+'Read Me'!$B$12),-1)</f>
        <v/>
      </c>
      <c r="W3676" s="17">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7" t="n">
        <v>250</v>
      </c>
      <c r="U3677" s="17" t="n">
        <v>42</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7" t="n">
        <v>250</v>
      </c>
      <c r="U3678" s="17" t="n">
        <v>42</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7" t="n">
        <v>250</v>
      </c>
      <c r="U3679" s="17" t="n">
        <v>42</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7" t="n">
        <v>250</v>
      </c>
      <c r="U3680" s="17" t="n">
        <v>42</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7" t="n">
        <v>250</v>
      </c>
      <c r="U3681" s="17" t="n">
        <v>42</v>
      </c>
      <c r="V3681" s="17">
        <f>ROUNDUP((T3681+U3681+2*'Read Me'!$B$13)*(1+'Read Me'!$B$12),-1)</f>
        <v/>
      </c>
      <c r="W3681" s="17">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7" t="n">
        <v>250</v>
      </c>
      <c r="U3682" s="17" t="n">
        <v>42</v>
      </c>
      <c r="V3682" s="17">
        <f>ROUNDUP((T3682+U3682+2*'Read Me'!$B$13)*(1+'Read Me'!$B$12),-1)</f>
        <v/>
      </c>
      <c r="W3682" s="17">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7" t="n">
        <v>300</v>
      </c>
      <c r="U3683" s="17" t="n">
        <v>42</v>
      </c>
      <c r="V3683" s="17">
        <f>ROUNDUP((T3683+U3683+2*'Read Me'!$B$13)*(1+'Read Me'!$B$12),-1)</f>
        <v/>
      </c>
      <c r="W3683" s="17">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7" t="n">
        <v>300</v>
      </c>
      <c r="U3684" s="17" t="n">
        <v>42</v>
      </c>
      <c r="V3684" s="17">
        <f>ROUNDUP((T3684+U3684+2*'Read Me'!$B$13)*(1+'Read Me'!$B$12),-1)</f>
        <v/>
      </c>
      <c r="W3684" s="17">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7" t="n">
        <v>300</v>
      </c>
      <c r="U3685" s="17" t="n">
        <v>42</v>
      </c>
      <c r="V3685" s="17">
        <f>ROUNDUP((T3685+U3685+2*'Read Me'!$B$13)*(1+'Read Me'!$B$12),-1)</f>
        <v/>
      </c>
      <c r="W3685" s="17">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7" t="n">
        <v>206</v>
      </c>
      <c r="U3686" s="17" t="n">
        <v>51</v>
      </c>
      <c r="V3686" s="17">
        <f>ROUNDUP((T3686+U3686+2*'Read Me'!$B$13)*(1+'Read Me'!$B$12),-1)</f>
        <v/>
      </c>
      <c r="W3686" s="17">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7" t="n">
        <v>206</v>
      </c>
      <c r="U3687" s="17" t="n">
        <v>51</v>
      </c>
      <c r="V3687" s="17">
        <f>ROUNDUP((T3687+U3687+2*'Read Me'!$B$13)*(1+'Read Me'!$B$12),-1)</f>
        <v/>
      </c>
      <c r="W3687" s="17">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7" t="n">
        <v>5</v>
      </c>
      <c r="U3688" s="17" t="n">
        <v>87</v>
      </c>
      <c r="V3688" s="17">
        <f>ROUNDUP((T3688+U3688+2*'Read Me'!$B$13)*(1+'Read Me'!$B$12),-1)</f>
        <v/>
      </c>
      <c r="W3688" s="17">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7" t="n">
        <v>5</v>
      </c>
      <c r="U3689" s="17" t="n">
        <v>87</v>
      </c>
      <c r="V3689" s="17">
        <f>ROUNDUP((T3689+U3689+2*'Read Me'!$B$13)*(1+'Read Me'!$B$12),-1)</f>
        <v/>
      </c>
      <c r="W3689" s="17">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7" t="n">
        <v>5</v>
      </c>
      <c r="U3690" s="17" t="n">
        <v>87</v>
      </c>
      <c r="V3690" s="17">
        <f>ROUNDUP((T3690+U3690+2*'Read Me'!$B$13)*(1+'Read Me'!$B$12),-1)</f>
        <v/>
      </c>
      <c r="W3690" s="17">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7" t="n">
        <v>5</v>
      </c>
      <c r="U3691" s="17" t="n">
        <v>87</v>
      </c>
      <c r="V3691" s="17">
        <f>ROUNDUP((T3691+U3691+2*'Read Me'!$B$13)*(1+'Read Me'!$B$12),-1)</f>
        <v/>
      </c>
      <c r="W3691" s="17">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7" t="n">
        <v>5</v>
      </c>
      <c r="U3692" s="17" t="n">
        <v>87</v>
      </c>
      <c r="V3692" s="17">
        <f>ROUNDUP((T3692+U3692+2*'Read Me'!$B$13)*(1+'Read Me'!$B$12),-1)</f>
        <v/>
      </c>
      <c r="W3692" s="17">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7" t="n">
        <v>5</v>
      </c>
      <c r="U3693" s="17" t="n">
        <v>87</v>
      </c>
      <c r="V3693" s="17">
        <f>ROUNDUP((T3693+U3693+2*'Read Me'!$B$13)*(1+'Read Me'!$B$12),-1)</f>
        <v/>
      </c>
      <c r="W3693" s="17">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7" t="n">
        <v>291</v>
      </c>
      <c r="U3694" s="17" t="n">
        <v>36</v>
      </c>
      <c r="V3694" s="17">
        <f>ROUNDUP((T3694+U3694+2*'Read Me'!$B$13)*(1+'Read Me'!$B$12),-1)</f>
        <v/>
      </c>
      <c r="W3694" s="17">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7" t="n">
        <v>291</v>
      </c>
      <c r="U3695" s="17" t="n">
        <v>36</v>
      </c>
      <c r="V3695" s="17">
        <f>ROUNDUP((T3695+U3695+2*'Read Me'!$B$13)*(1+'Read Me'!$B$12),-1)</f>
        <v/>
      </c>
      <c r="W3695" s="17">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7" t="n">
        <v>291</v>
      </c>
      <c r="U3699" s="17" t="n">
        <v>36</v>
      </c>
      <c r="V3699" s="17">
        <f>ROUNDUP((T3699+U3699+2*'Read Me'!$B$13)*(1+'Read Me'!$B$12),-1)</f>
        <v/>
      </c>
      <c r="W3699" s="17">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7" t="n">
        <v>291</v>
      </c>
      <c r="U3700" s="17" t="n">
        <v>36</v>
      </c>
      <c r="V3700" s="17">
        <f>ROUNDUP((T3700+U3700+2*'Read Me'!$B$13)*(1+'Read Me'!$B$12),-1)</f>
        <v/>
      </c>
      <c r="W3700" s="17">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7" t="n">
        <v>291</v>
      </c>
      <c r="U3701" s="17" t="n">
        <v>36</v>
      </c>
      <c r="V3701" s="17">
        <f>ROUNDUP((T3701+U3701+2*'Read Me'!$B$13)*(1+'Read Me'!$B$12),-1)</f>
        <v/>
      </c>
      <c r="W3701" s="17">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7" t="n">
        <v>291</v>
      </c>
      <c r="U3702" s="17" t="n">
        <v>36</v>
      </c>
      <c r="V3702" s="17">
        <f>ROUNDUP((T3702+U3702+2*'Read Me'!$B$13)*(1+'Read Me'!$B$12),-1)</f>
        <v/>
      </c>
      <c r="W3702" s="17">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7" t="n">
        <v>291</v>
      </c>
      <c r="U3703" s="17" t="n">
        <v>36</v>
      </c>
      <c r="V3703" s="17">
        <f>ROUNDUP((T3703+U3703+2*'Read Me'!$B$13)*(1+'Read Me'!$B$12),-1)</f>
        <v/>
      </c>
      <c r="W3703" s="17">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7" t="n">
        <v>291</v>
      </c>
      <c r="U3704" s="17" t="n">
        <v>36</v>
      </c>
      <c r="V3704" s="17">
        <f>ROUNDUP((T3704+U3704+2*'Read Me'!$B$13)*(1+'Read Me'!$B$12),-1)</f>
        <v/>
      </c>
      <c r="W3704" s="17">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7" t="n">
        <v>291</v>
      </c>
      <c r="U3705" s="17" t="n">
        <v>36</v>
      </c>
      <c r="V3705" s="17">
        <f>ROUNDUP((T3705+U3705+2*'Read Me'!$B$13)*(1+'Read Me'!$B$12),-1)</f>
        <v/>
      </c>
      <c r="W3705" s="17">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7" t="n">
        <v>291</v>
      </c>
      <c r="U3706" s="17" t="n">
        <v>36</v>
      </c>
      <c r="V3706" s="17">
        <f>ROUNDUP((T3706+U3706+2*'Read Me'!$B$13)*(1+'Read Me'!$B$12),-1)</f>
        <v/>
      </c>
      <c r="W3706" s="17">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7" t="n">
        <v>291</v>
      </c>
      <c r="U3707" s="17" t="n">
        <v>36</v>
      </c>
      <c r="V3707" s="17">
        <f>ROUNDUP((T3707+U3707+2*'Read Me'!$B$13)*(1+'Read Me'!$B$12),-1)</f>
        <v/>
      </c>
      <c r="W3707" s="17">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7" t="n">
        <v>305</v>
      </c>
      <c r="U3708" s="17" t="n">
        <v>160</v>
      </c>
      <c r="V3708" s="17">
        <f>ROUNDUP((T3708+U3708+2*'Read Me'!$B$13)*(1+'Read Me'!$B$12),-1)</f>
        <v/>
      </c>
      <c r="W3708" s="17">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7" t="n">
        <v>305</v>
      </c>
      <c r="U3709" s="17" t="n">
        <v>160</v>
      </c>
      <c r="V3709" s="17">
        <f>ROUNDUP((T3709+U3709+2*'Read Me'!$B$13)*(1+'Read Me'!$B$12),-1)</f>
        <v/>
      </c>
      <c r="W3709" s="17">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7" t="n">
        <v>305</v>
      </c>
      <c r="U3710" s="17" t="n">
        <v>160</v>
      </c>
      <c r="V3710" s="17">
        <f>ROUNDUP((T3710+U3710+2*'Read Me'!$B$13)*(1+'Read Me'!$B$12),-1)</f>
        <v/>
      </c>
      <c r="W3710" s="17">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7" t="n">
        <v>305</v>
      </c>
      <c r="U3711" s="17" t="n">
        <v>160</v>
      </c>
      <c r="V3711" s="17">
        <f>ROUNDUP((T3711+U3711+2*'Read Me'!$B$13)*(1+'Read Me'!$B$12),-1)</f>
        <v/>
      </c>
      <c r="W3711" s="17">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7" t="n">
        <v>305</v>
      </c>
      <c r="U3712" s="17" t="n">
        <v>160</v>
      </c>
      <c r="V3712" s="17">
        <f>ROUNDUP((T3712+U3712+2*'Read Me'!$B$13)*(1+'Read Me'!$B$12),-1)</f>
        <v/>
      </c>
      <c r="W3712" s="17">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7" t="n">
        <v>305</v>
      </c>
      <c r="U3713" s="17" t="n">
        <v>160</v>
      </c>
      <c r="V3713" s="17">
        <f>ROUNDUP((T3713+U3713+2*'Read Me'!$B$13)*(1+'Read Me'!$B$12),-1)</f>
        <v/>
      </c>
      <c r="W3713" s="17">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7" t="n">
        <v>305</v>
      </c>
      <c r="U3714" s="17" t="n">
        <v>160</v>
      </c>
      <c r="V3714" s="17">
        <f>ROUNDUP((T3714+U3714+2*'Read Me'!$B$13)*(1+'Read Me'!$B$12),-1)</f>
        <v/>
      </c>
      <c r="W3714" s="17">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7" t="n">
        <v>305</v>
      </c>
      <c r="U3715" s="17" t="n">
        <v>160</v>
      </c>
      <c r="V3715" s="17">
        <f>ROUNDUP((T3715+U3715+2*'Read Me'!$B$13)*(1+'Read Me'!$B$12),-1)</f>
        <v/>
      </c>
      <c r="W3715" s="17">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7" t="n">
        <v>305</v>
      </c>
      <c r="U3716" s="17" t="n">
        <v>160</v>
      </c>
      <c r="V3716" s="17">
        <f>ROUNDUP((T3716+U3716+2*'Read Me'!$B$13)*(1+'Read Me'!$B$12),-1)</f>
        <v/>
      </c>
      <c r="W3716" s="17">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7" t="n">
        <v>305</v>
      </c>
      <c r="U3717" s="17" t="n">
        <v>160</v>
      </c>
      <c r="V3717" s="17">
        <f>ROUNDUP((T3717+U3717+2*'Read Me'!$B$13)*(1+'Read Me'!$B$12),-1)</f>
        <v/>
      </c>
      <c r="W3717" s="17">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7" t="n">
        <v>305</v>
      </c>
      <c r="U3718" s="17" t="n">
        <v>160</v>
      </c>
      <c r="V3718" s="17">
        <f>ROUNDUP((T3718+U3718+2*'Read Me'!$B$13)*(1+'Read Me'!$B$12),-1)</f>
        <v/>
      </c>
      <c r="W3718" s="17">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7" t="n">
        <v>305</v>
      </c>
      <c r="U3719" s="17" t="n">
        <v>160</v>
      </c>
      <c r="V3719" s="17">
        <f>ROUNDUP((T3719+U3719+2*'Read Me'!$B$13)*(1+'Read Me'!$B$12),-1)</f>
        <v/>
      </c>
      <c r="W3719" s="17">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7" t="n">
        <v>305</v>
      </c>
      <c r="U3720" s="17" t="n">
        <v>160</v>
      </c>
      <c r="V3720" s="17">
        <f>ROUNDUP((T3720+U3720+2*'Read Me'!$B$13)*(1+'Read Me'!$B$12),-1)</f>
        <v/>
      </c>
      <c r="W3720" s="17">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7" t="n">
        <v>305</v>
      </c>
      <c r="U3721" s="17" t="n">
        <v>160</v>
      </c>
      <c r="V3721" s="17">
        <f>ROUNDUP((T3721+U3721+2*'Read Me'!$B$13)*(1+'Read Me'!$B$12),-1)</f>
        <v/>
      </c>
      <c r="W3721" s="17">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7" t="n">
        <v>305</v>
      </c>
      <c r="U3722" s="17" t="n">
        <v>160</v>
      </c>
      <c r="V3722" s="17">
        <f>ROUNDUP((T3722+U3722+2*'Read Me'!$B$13)*(1+'Read Me'!$B$12),-1)</f>
        <v/>
      </c>
      <c r="W3722" s="17">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7" t="n">
        <v>303</v>
      </c>
      <c r="U3723" s="17" t="n">
        <v>34</v>
      </c>
      <c r="V3723" s="17">
        <f>ROUNDUP((T3723+U3723+2*'Read Me'!$B$13)*(1+'Read Me'!$B$12),-1)</f>
        <v/>
      </c>
      <c r="W3723" s="17">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7" t="n">
        <v>303</v>
      </c>
      <c r="U3724" s="17" t="n">
        <v>34</v>
      </c>
      <c r="V3724" s="17">
        <f>ROUNDUP((T3724+U3724+2*'Read Me'!$B$13)*(1+'Read Me'!$B$12),-1)</f>
        <v/>
      </c>
      <c r="W3724" s="17">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7" t="n">
        <v>303</v>
      </c>
      <c r="U3725" s="17" t="n">
        <v>34</v>
      </c>
      <c r="V3725" s="17">
        <f>ROUNDUP((T3725+U3725+2*'Read Me'!$B$13)*(1+'Read Me'!$B$12),-1)</f>
        <v/>
      </c>
      <c r="W3725" s="17">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7" t="n">
        <v>303</v>
      </c>
      <c r="U3726" s="17" t="n">
        <v>34</v>
      </c>
      <c r="V3726" s="17">
        <f>ROUNDUP((T3726+U3726+2*'Read Me'!$B$13)*(1+'Read Me'!$B$12),-1)</f>
        <v/>
      </c>
      <c r="W3726" s="17">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7" t="n">
        <v>515</v>
      </c>
      <c r="U3727" s="17" t="n">
        <v>164</v>
      </c>
      <c r="V3727" s="17">
        <f>ROUNDUP((T3727+U3727+2*'Read Me'!$B$13)*(1+'Read Me'!$B$12),-1)</f>
        <v/>
      </c>
      <c r="W3727" s="17">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7" t="n">
        <v>515</v>
      </c>
      <c r="U3728" s="17" t="n">
        <v>164</v>
      </c>
      <c r="V3728" s="17">
        <f>ROUNDUP((T3728+U3728+2*'Read Me'!$B$13)*(1+'Read Me'!$B$12),-1)</f>
        <v/>
      </c>
      <c r="W3728" s="17">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7" t="n">
        <v>460</v>
      </c>
      <c r="U3729" s="17" t="n">
        <v>60</v>
      </c>
      <c r="V3729" s="17">
        <f>ROUNDUP((T3729+U3729+2*'Read Me'!$B$13)*(1+'Read Me'!$B$12),-1)</f>
        <v/>
      </c>
      <c r="W3729" s="17">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7" t="n">
        <v>760</v>
      </c>
      <c r="U3730" s="17" t="n">
        <v>60</v>
      </c>
      <c r="V3730" s="17">
        <f>ROUNDUP((T3730+U3730+2*'Read Me'!$B$13)*(1+'Read Me'!$B$12),-1)</f>
        <v/>
      </c>
      <c r="W3730" s="17">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7" t="n">
        <v>415</v>
      </c>
      <c r="U3731" s="17" t="n">
        <v>122</v>
      </c>
      <c r="V3731" s="17">
        <f>ROUNDUP((T3731+U3731+2*'Read Me'!$B$13)*(1+'Read Me'!$B$12),-1)</f>
        <v/>
      </c>
      <c r="W3731" s="17">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7" t="n">
        <v>415</v>
      </c>
      <c r="U3732" s="17" t="n">
        <v>122</v>
      </c>
      <c r="V3732" s="17">
        <f>ROUNDUP((T3732+U3732+2*'Read Me'!$B$13)*(1+'Read Me'!$B$12),-1)</f>
        <v/>
      </c>
      <c r="W3732" s="17">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7" t="n">
        <v>300</v>
      </c>
      <c r="U3733" s="17" t="n">
        <v>60</v>
      </c>
      <c r="V3733" s="17">
        <f>ROUNDUP((T3733+U3733+2*'Read Me'!$B$13)*(1+'Read Me'!$B$12),-1)</f>
        <v/>
      </c>
      <c r="W3733" s="17">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7" t="n">
        <v>600</v>
      </c>
      <c r="U3734" s="17" t="n">
        <v>60</v>
      </c>
      <c r="V3734" s="17">
        <f>ROUNDUP((T3734+U3734+2*'Read Me'!$B$13)*(1+'Read Me'!$B$12),-1)</f>
        <v/>
      </c>
      <c r="W3734" s="17">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7" t="n">
        <v>195</v>
      </c>
      <c r="U3735" s="17" t="n">
        <v>164</v>
      </c>
      <c r="V3735" s="17">
        <f>ROUNDUP((T3735+U3735+2*'Read Me'!$B$13)*(1+'Read Me'!$B$12),-1)</f>
        <v/>
      </c>
      <c r="W3735" s="17">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7" t="n">
        <v>195</v>
      </c>
      <c r="U3736" s="17" t="n">
        <v>164</v>
      </c>
      <c r="V3736" s="17">
        <f>ROUNDUP((T3736+U3736+2*'Read Me'!$B$13)*(1+'Read Me'!$B$12),-1)</f>
        <v/>
      </c>
      <c r="W3736" s="17">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7" t="n">
        <v>140</v>
      </c>
      <c r="U3737" s="17" t="n">
        <v>60</v>
      </c>
      <c r="V3737" s="17">
        <f>ROUNDUP((T3737+U3737+2*'Read Me'!$B$13)*(1+'Read Me'!$B$12),-1)</f>
        <v/>
      </c>
      <c r="W3737" s="17">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7" t="n">
        <v>440</v>
      </c>
      <c r="U3738" s="17" t="n">
        <v>60</v>
      </c>
      <c r="V3738" s="17">
        <f>ROUNDUP((T3738+U3738+2*'Read Me'!$B$13)*(1+'Read Me'!$B$12),-1)</f>
        <v/>
      </c>
      <c r="W3738" s="17">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7" t="n">
        <v>1436</v>
      </c>
      <c r="U3739" s="17" t="n">
        <v>124</v>
      </c>
      <c r="V3739" s="17">
        <f>ROUNDUP((T3739+U3739+2*'Read Me'!$B$13)*(1+'Read Me'!$B$12),-1)</f>
        <v/>
      </c>
      <c r="W3739" s="17">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7" t="n">
        <v>1436</v>
      </c>
      <c r="U3740" s="17" t="n">
        <v>124</v>
      </c>
      <c r="V3740" s="17">
        <f>ROUNDUP((T3740+U3740+2*'Read Me'!$B$13)*(1+'Read Me'!$B$12),-1)</f>
        <v/>
      </c>
      <c r="W3740" s="17">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7" t="n">
        <v>1280</v>
      </c>
      <c r="U3741" s="17" t="n">
        <v>120</v>
      </c>
      <c r="V3741" s="17">
        <f>ROUNDUP((T3741+U3741+2*'Read Me'!$B$13)*(1+'Read Me'!$B$12),-1)</f>
        <v/>
      </c>
      <c r="W3741" s="17">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7" t="n">
        <v>1280</v>
      </c>
      <c r="U3742" s="17" t="n">
        <v>120</v>
      </c>
      <c r="V3742" s="17">
        <f>ROUNDUP((T3742+U3742+2*'Read Me'!$B$13)*(1+'Read Me'!$B$12),-1)</f>
        <v/>
      </c>
      <c r="W3742" s="17">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7" t="n">
        <v>1116</v>
      </c>
      <c r="U3743" s="17" t="n">
        <v>124</v>
      </c>
      <c r="V3743" s="17">
        <f>ROUNDUP((T3743+U3743+2*'Read Me'!$B$13)*(1+'Read Me'!$B$12),-1)</f>
        <v/>
      </c>
      <c r="W3743" s="17">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7" t="n">
        <v>1116</v>
      </c>
      <c r="U3744" s="17" t="n">
        <v>124</v>
      </c>
      <c r="V3744" s="17">
        <f>ROUNDUP((T3744+U3744+2*'Read Me'!$B$13)*(1+'Read Me'!$B$12),-1)</f>
        <v/>
      </c>
      <c r="W3744" s="17">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7" t="n">
        <v>50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7" t="n">
        <v>50</v>
      </c>
      <c r="U3746" s="17" t="n">
        <v>37</v>
      </c>
      <c r="V3746" s="17">
        <f>ROUNDUP((T3746+U3746+2*'Read Me'!$B$13)*(1+'Read Me'!$B$12),-1)</f>
        <v/>
      </c>
      <c r="W3746" s="17">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7" t="n">
        <v>50</v>
      </c>
      <c r="U3747" s="17" t="n">
        <v>37</v>
      </c>
      <c r="V3747" s="17">
        <f>ROUNDUP((T3747+U3747+2*'Read Me'!$B$13)*(1+'Read Me'!$B$12),-1)</f>
        <v/>
      </c>
      <c r="W3747" s="17">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7" t="n">
        <v>50</v>
      </c>
      <c r="U3748" s="17" t="n">
        <v>37</v>
      </c>
      <c r="V3748" s="17">
        <f>ROUNDUP((T3748+U3748+2*'Read Me'!$B$13)*(1+'Read Me'!$B$12),-1)</f>
        <v/>
      </c>
      <c r="W3748" s="17">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7" t="n">
        <v>50</v>
      </c>
      <c r="U3749" s="17" t="n">
        <v>37</v>
      </c>
      <c r="V3749" s="17">
        <f>ROUNDUP((T3749+U3749+2*'Read Me'!$B$13)*(1+'Read Me'!$B$12),-1)</f>
        <v/>
      </c>
      <c r="W3749" s="17">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7" t="n">
        <v>83</v>
      </c>
      <c r="U3750" s="17" t="n">
        <v>42</v>
      </c>
      <c r="V3750" s="17">
        <f>ROUNDUP((T3750+U3750+2*'Read Me'!$B$13)*(1+'Read Me'!$B$12),-1)</f>
        <v/>
      </c>
      <c r="W3750" s="17">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7" t="n">
        <v>83</v>
      </c>
      <c r="U3751" s="17" t="n">
        <v>42</v>
      </c>
      <c r="V3751" s="17">
        <f>ROUNDUP((T3751+U3751+2*'Read Me'!$B$13)*(1+'Read Me'!$B$12),-1)</f>
        <v/>
      </c>
      <c r="W3751" s="17">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7" t="n">
        <v>83</v>
      </c>
      <c r="U3752" s="17" t="n">
        <v>42</v>
      </c>
      <c r="V3752" s="17">
        <f>ROUNDUP((T3752+U3752+2*'Read Me'!$B$13)*(1+'Read Me'!$B$12),-1)</f>
        <v/>
      </c>
      <c r="W3752" s="17">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7" t="n">
        <v>83</v>
      </c>
      <c r="U3753" s="17" t="n">
        <v>42</v>
      </c>
      <c r="V3753" s="17">
        <f>ROUNDUP((T3753+U3753+2*'Read Me'!$B$13)*(1+'Read Me'!$B$12),-1)</f>
        <v/>
      </c>
      <c r="W3753" s="17">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7" t="n">
        <v>83</v>
      </c>
      <c r="U3754" s="17" t="n">
        <v>42</v>
      </c>
      <c r="V3754" s="17">
        <f>ROUNDUP((T3754+U3754+2*'Read Me'!$B$13)*(1+'Read Me'!$B$12),-1)</f>
        <v/>
      </c>
      <c r="W3754" s="17">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7" t="n">
        <v>45</v>
      </c>
      <c r="U3755" s="17" t="n">
        <v>47</v>
      </c>
      <c r="V3755" s="17">
        <f>ROUNDUP((T3755+U3755+2*'Read Me'!$B$13)*(1+'Read Me'!$B$12),-1)</f>
        <v/>
      </c>
      <c r="W3755" s="17">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7" t="n">
        <v>45</v>
      </c>
      <c r="U3756" s="17" t="n">
        <v>47</v>
      </c>
      <c r="V3756" s="17">
        <f>ROUNDUP((T3756+U3756+2*'Read Me'!$B$13)*(1+'Read Me'!$B$12),-1)</f>
        <v/>
      </c>
      <c r="W3756" s="17">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7" t="n">
        <v>45</v>
      </c>
      <c r="U3757" s="17" t="n">
        <v>47</v>
      </c>
      <c r="V3757" s="17">
        <f>ROUNDUP((T3757+U3757+2*'Read Me'!$B$13)*(1+'Read Me'!$B$12),-1)</f>
        <v/>
      </c>
      <c r="W3757" s="17">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7" t="n">
        <v>45</v>
      </c>
      <c r="U3758" s="17" t="n">
        <v>47</v>
      </c>
      <c r="V3758" s="17">
        <f>ROUNDUP((T3758+U3758+2*'Read Me'!$B$13)*(1+'Read Me'!$B$12),-1)</f>
        <v/>
      </c>
      <c r="W3758" s="17">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7" t="n">
        <v>45</v>
      </c>
      <c r="U3759" s="17" t="n">
        <v>47</v>
      </c>
      <c r="V3759" s="17">
        <f>ROUNDUP((T3759+U3759+2*'Read Me'!$B$13)*(1+'Read Me'!$B$12),-1)</f>
        <v/>
      </c>
      <c r="W3759" s="17">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7" t="n">
        <v>45</v>
      </c>
      <c r="U3760" s="17" t="n">
        <v>57</v>
      </c>
      <c r="V3760" s="17">
        <f>ROUNDUP((T3760+U3760+2*'Read Me'!$B$13)*(1+'Read Me'!$B$12),-1)</f>
        <v/>
      </c>
      <c r="W3760" s="17">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7" t="n">
        <v>45</v>
      </c>
      <c r="U3761" s="17" t="n">
        <v>57</v>
      </c>
      <c r="V3761" s="17">
        <f>ROUNDUP((T3761+U3761+2*'Read Me'!$B$13)*(1+'Read Me'!$B$12),-1)</f>
        <v/>
      </c>
      <c r="W3761" s="17">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7" t="n">
        <v>146</v>
      </c>
      <c r="U3762" s="17" t="n">
        <v>36</v>
      </c>
      <c r="V3762" s="17">
        <f>ROUNDUP((T3762+U3762+2*'Read Me'!$B$13)*(1+'Read Me'!$B$12),-1)</f>
        <v/>
      </c>
      <c r="W3762" s="17">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7" t="n">
        <v>146</v>
      </c>
      <c r="U3763" s="17" t="n">
        <v>36</v>
      </c>
      <c r="V3763" s="17">
        <f>ROUNDUP((T3763+U3763+2*'Read Me'!$B$13)*(1+'Read Me'!$B$12),-1)</f>
        <v/>
      </c>
      <c r="W3763" s="17">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7" t="n">
        <v>146</v>
      </c>
      <c r="U3764" s="17" t="n">
        <v>36</v>
      </c>
      <c r="V3764" s="17">
        <f>ROUNDUP((T3764+U3764+2*'Read Me'!$B$13)*(1+'Read Me'!$B$12),-1)</f>
        <v/>
      </c>
      <c r="W3764" s="17">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7" t="n">
        <v>146</v>
      </c>
      <c r="U3765" s="17" t="n">
        <v>36</v>
      </c>
      <c r="V3765" s="17">
        <f>ROUNDUP((T3765+U3765+2*'Read Me'!$B$13)*(1+'Read Me'!$B$12),-1)</f>
        <v/>
      </c>
      <c r="W3765" s="17">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7" t="n">
        <v>146</v>
      </c>
      <c r="U3766" s="17" t="n">
        <v>36</v>
      </c>
      <c r="V3766" s="17">
        <f>ROUNDUP((T3766+U3766+2*'Read Me'!$B$13)*(1+'Read Me'!$B$12),-1)</f>
        <v/>
      </c>
      <c r="W3766" s="17">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7" t="n">
        <v>146</v>
      </c>
      <c r="U3767" s="17" t="n">
        <v>36</v>
      </c>
      <c r="V3767" s="17">
        <f>ROUNDUP((T3767+U3767+2*'Read Me'!$B$13)*(1+'Read Me'!$B$12),-1)</f>
        <v/>
      </c>
      <c r="W3767" s="17">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7" t="n">
        <v>146</v>
      </c>
      <c r="U3768" s="17" t="n">
        <v>36</v>
      </c>
      <c r="V3768" s="17">
        <f>ROUNDUP((T3768+U3768+2*'Read Me'!$B$13)*(1+'Read Me'!$B$12),-1)</f>
        <v/>
      </c>
      <c r="W3768" s="17">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7" t="n">
        <v>446</v>
      </c>
      <c r="U3769" s="17" t="n">
        <v>36</v>
      </c>
      <c r="V3769" s="17">
        <f>ROUNDUP((T3769+U3769+2*'Read Me'!$B$13)*(1+'Read Me'!$B$12),-1)</f>
        <v/>
      </c>
      <c r="W3769" s="17">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7" t="n">
        <v>446</v>
      </c>
      <c r="U3770" s="17" t="n">
        <v>36</v>
      </c>
      <c r="V3770" s="17">
        <f>ROUNDUP((T3770+U3770+2*'Read Me'!$B$13)*(1+'Read Me'!$B$12),-1)</f>
        <v/>
      </c>
      <c r="W3770" s="17">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7" t="n">
        <v>146</v>
      </c>
      <c r="U3771" s="17" t="n">
        <v>36</v>
      </c>
      <c r="V3771" s="17">
        <f>ROUNDUP((T3771+U3771+2*'Read Me'!$B$13)*(1+'Read Me'!$B$12),-1)</f>
        <v/>
      </c>
      <c r="W3771" s="17">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7" t="n">
        <v>146</v>
      </c>
      <c r="U3772" s="17" t="n">
        <v>36</v>
      </c>
      <c r="V3772" s="17">
        <f>ROUNDUP((T3772+U3772+2*'Read Me'!$B$13)*(1+'Read Me'!$B$12),-1)</f>
        <v/>
      </c>
      <c r="W3772" s="17">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7" t="n">
        <v>146</v>
      </c>
      <c r="U3773" s="17" t="n">
        <v>36</v>
      </c>
      <c r="V3773" s="17">
        <f>ROUNDUP((T3773+U3773+2*'Read Me'!$B$13)*(1+'Read Me'!$B$12),-1)</f>
        <v/>
      </c>
      <c r="W3773" s="17">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7" t="n">
        <v>146</v>
      </c>
      <c r="U3774" s="17" t="n">
        <v>36</v>
      </c>
      <c r="V3774" s="17">
        <f>ROUNDUP((T3774+U3774+2*'Read Me'!$B$13)*(1+'Read Me'!$B$12),-1)</f>
        <v/>
      </c>
      <c r="W3774" s="17">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7" t="n">
        <v>146</v>
      </c>
      <c r="U3775" s="17" t="n">
        <v>36</v>
      </c>
      <c r="V3775" s="17">
        <f>ROUNDUP((T3775+U3775+2*'Read Me'!$B$13)*(1+'Read Me'!$B$12),-1)</f>
        <v/>
      </c>
      <c r="W3775" s="17">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7" t="n">
        <v>146</v>
      </c>
      <c r="U3776" s="17" t="n">
        <v>36</v>
      </c>
      <c r="V3776" s="17">
        <f>ROUNDUP((T3776+U3776+2*'Read Me'!$B$13)*(1+'Read Me'!$B$12),-1)</f>
        <v/>
      </c>
      <c r="W3776" s="17">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7" t="n">
        <v>146</v>
      </c>
      <c r="U3777" s="17" t="n">
        <v>36</v>
      </c>
      <c r="V3777" s="17">
        <f>ROUNDUP((T3777+U3777+2*'Read Me'!$B$13)*(1+'Read Me'!$B$12),-1)</f>
        <v/>
      </c>
      <c r="W3777" s="17">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7" t="n">
        <v>146</v>
      </c>
      <c r="U3778" s="17" t="n">
        <v>36</v>
      </c>
      <c r="V3778" s="17">
        <f>ROUNDUP((T3778+U3778+2*'Read Me'!$B$13)*(1+'Read Me'!$B$12),-1)</f>
        <v/>
      </c>
      <c r="W3778" s="17">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7" t="n">
        <v>146</v>
      </c>
      <c r="U3779" s="17" t="n">
        <v>36</v>
      </c>
      <c r="V3779" s="17">
        <f>ROUNDUP((T3779+U3779+2*'Read Me'!$B$13)*(1+'Read Me'!$B$12),-1)</f>
        <v/>
      </c>
      <c r="W3779" s="17">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7" t="n">
        <v>146</v>
      </c>
      <c r="U3780" s="17" t="n">
        <v>36</v>
      </c>
      <c r="V3780" s="17">
        <f>ROUNDUP((T3780+U3780+2*'Read Me'!$B$13)*(1+'Read Me'!$B$12),-1)</f>
        <v/>
      </c>
      <c r="W3780" s="17">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7" t="n">
        <v>146</v>
      </c>
      <c r="U3781" s="17" t="n">
        <v>36</v>
      </c>
      <c r="V3781" s="17">
        <f>ROUNDUP((T3781+U3781+2*'Read Me'!$B$13)*(1+'Read Me'!$B$12),-1)</f>
        <v/>
      </c>
      <c r="W3781" s="17">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7" t="n">
        <v>446</v>
      </c>
      <c r="U3782" s="17" t="n">
        <v>36</v>
      </c>
      <c r="V3782" s="17">
        <f>ROUNDUP((T3782+U3782+2*'Read Me'!$B$13)*(1+'Read Me'!$B$12),-1)</f>
        <v/>
      </c>
      <c r="W3782" s="17">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7" t="n">
        <v>446</v>
      </c>
      <c r="U3783" s="17" t="n">
        <v>36</v>
      </c>
      <c r="V3783" s="17">
        <f>ROUNDUP((T3783+U3783+2*'Read Me'!$B$13)*(1+'Read Me'!$B$12),-1)</f>
        <v/>
      </c>
      <c r="W3783" s="17">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7" t="n">
        <v>146</v>
      </c>
      <c r="U3784" s="17" t="n">
        <v>36</v>
      </c>
      <c r="V3784" s="17">
        <f>ROUNDUP((T3784+U3784+2*'Read Me'!$B$13)*(1+'Read Me'!$B$12),-1)</f>
        <v/>
      </c>
      <c r="W3784" s="17">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7" t="n">
        <v>146</v>
      </c>
      <c r="U3785" s="17" t="n">
        <v>36</v>
      </c>
      <c r="V3785" s="17">
        <f>ROUNDUP((T3785+U3785+2*'Read Me'!$B$13)*(1+'Read Me'!$B$12),-1)</f>
        <v/>
      </c>
      <c r="W3785" s="17">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7" t="n">
        <v>146</v>
      </c>
      <c r="U3786" s="17" t="n">
        <v>36</v>
      </c>
      <c r="V3786" s="17">
        <f>ROUNDUP((T3786+U3786+2*'Read Me'!$B$13)*(1+'Read Me'!$B$12),-1)</f>
        <v/>
      </c>
      <c r="W3786" s="17">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7" t="n">
        <v>146</v>
      </c>
      <c r="U3787" s="17" t="n">
        <v>36</v>
      </c>
      <c r="V3787" s="17">
        <f>ROUNDUP((T3787+U3787+2*'Read Me'!$B$13)*(1+'Read Me'!$B$12),-1)</f>
        <v/>
      </c>
      <c r="W3787" s="17">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7" t="n">
        <v>196</v>
      </c>
      <c r="U3788" s="17" t="n">
        <v>36</v>
      </c>
      <c r="V3788" s="17">
        <f>ROUNDUP((T3788+U3788+2*'Read Me'!$B$13)*(1+'Read Me'!$B$12),-1)</f>
        <v/>
      </c>
      <c r="W3788" s="17">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7" t="n">
        <v>196</v>
      </c>
      <c r="U3789" s="17" t="n">
        <v>36</v>
      </c>
      <c r="V3789" s="17">
        <f>ROUNDUP((T3789+U3789+2*'Read Me'!$B$13)*(1+'Read Me'!$B$12),-1)</f>
        <v/>
      </c>
      <c r="W3789" s="17">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7" t="n">
        <v>196</v>
      </c>
      <c r="U3790" s="17" t="n">
        <v>36</v>
      </c>
      <c r="V3790" s="17">
        <f>ROUNDUP((T3790+U3790+2*'Read Me'!$B$13)*(1+'Read Me'!$B$12),-1)</f>
        <v/>
      </c>
      <c r="W3790" s="17">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7" t="n">
        <v>196</v>
      </c>
      <c r="U3791" s="17" t="n">
        <v>36</v>
      </c>
      <c r="V3791" s="17">
        <f>ROUNDUP((T3791+U3791+2*'Read Me'!$B$13)*(1+'Read Me'!$B$12),-1)</f>
        <v/>
      </c>
      <c r="W3791" s="17">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7" t="n">
        <v>196</v>
      </c>
      <c r="U3792" s="17" t="n">
        <v>36</v>
      </c>
      <c r="V3792" s="17">
        <f>ROUNDUP((T3792+U3792+2*'Read Me'!$B$13)*(1+'Read Me'!$B$12),-1)</f>
        <v/>
      </c>
      <c r="W3792" s="17">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7" t="n">
        <v>196</v>
      </c>
      <c r="U3793" s="17" t="n">
        <v>36</v>
      </c>
      <c r="V3793" s="17">
        <f>ROUNDUP((T3793+U3793+2*'Read Me'!$B$13)*(1+'Read Me'!$B$12),-1)</f>
        <v/>
      </c>
      <c r="W3793" s="17">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7" t="n">
        <v>196</v>
      </c>
      <c r="U3794" s="17" t="n">
        <v>36</v>
      </c>
      <c r="V3794" s="17">
        <f>ROUNDUP((T3794+U3794+2*'Read Me'!$B$13)*(1+'Read Me'!$B$12),-1)</f>
        <v/>
      </c>
      <c r="W3794" s="17">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7" t="n">
        <v>496</v>
      </c>
      <c r="U3795" s="17" t="n">
        <v>36</v>
      </c>
      <c r="V3795" s="17">
        <f>ROUNDUP((T3795+U3795+2*'Read Me'!$B$13)*(1+'Read Me'!$B$12),-1)</f>
        <v/>
      </c>
      <c r="W3795" s="17">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7" t="n">
        <v>496</v>
      </c>
      <c r="U3796" s="17" t="n">
        <v>36</v>
      </c>
      <c r="V3796" s="17">
        <f>ROUNDUP((T3796+U3796+2*'Read Me'!$B$13)*(1+'Read Me'!$B$12),-1)</f>
        <v/>
      </c>
      <c r="W3796" s="17">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7" t="n">
        <v>196</v>
      </c>
      <c r="U3797" s="17" t="n">
        <v>36</v>
      </c>
      <c r="V3797" s="17">
        <f>ROUNDUP((T3797+U3797+2*'Read Me'!$B$13)*(1+'Read Me'!$B$12),-1)</f>
        <v/>
      </c>
      <c r="W3797" s="17">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7" t="n">
        <v>196</v>
      </c>
      <c r="U3798" s="17" t="n">
        <v>36</v>
      </c>
      <c r="V3798" s="17">
        <f>ROUNDUP((T3798+U3798+2*'Read Me'!$B$13)*(1+'Read Me'!$B$12),-1)</f>
        <v/>
      </c>
      <c r="W3798" s="17">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7" t="n">
        <v>196</v>
      </c>
      <c r="U3799" s="17" t="n">
        <v>36</v>
      </c>
      <c r="V3799" s="17">
        <f>ROUNDUP((T3799+U3799+2*'Read Me'!$B$13)*(1+'Read Me'!$B$12),-1)</f>
        <v/>
      </c>
      <c r="W3799" s="17">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7" t="n">
        <v>196</v>
      </c>
      <c r="U3800" s="17" t="n">
        <v>36</v>
      </c>
      <c r="V3800" s="17">
        <f>ROUNDUP((T3800+U3800+2*'Read Me'!$B$13)*(1+'Read Me'!$B$12),-1)</f>
        <v/>
      </c>
      <c r="W3800" s="17">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7" t="n">
        <v>250</v>
      </c>
      <c r="U3801" s="17" t="n">
        <v>37</v>
      </c>
      <c r="V3801" s="17">
        <f>ROUNDUP((T3801+U3801+2*'Read Me'!$B$13)*(1+'Read Me'!$B$12),-1)</f>
        <v/>
      </c>
      <c r="W3801" s="17">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7" t="n">
        <v>250</v>
      </c>
      <c r="U3802" s="17" t="n">
        <v>37</v>
      </c>
      <c r="V3802" s="17">
        <f>ROUNDUP((T3802+U3802+2*'Read Me'!$B$13)*(1+'Read Me'!$B$12),-1)</f>
        <v/>
      </c>
      <c r="W3802" s="17">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7" t="n">
        <v>250</v>
      </c>
      <c r="U3803" s="17" t="n">
        <v>37</v>
      </c>
      <c r="V3803" s="17">
        <f>ROUNDUP((T3803+U3803+2*'Read Me'!$B$13)*(1+'Read Me'!$B$12),-1)</f>
        <v/>
      </c>
      <c r="W3803" s="17">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7" t="n">
        <v>250</v>
      </c>
      <c r="U3804" s="17" t="n">
        <v>37</v>
      </c>
      <c r="V3804" s="17">
        <f>ROUNDUP((T3804+U3804+2*'Read Me'!$B$13)*(1+'Read Me'!$B$12),-1)</f>
        <v/>
      </c>
      <c r="W3804" s="17">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7" t="n">
        <v>465</v>
      </c>
      <c r="U3805" s="17" t="n">
        <v>96</v>
      </c>
      <c r="V3805" s="17">
        <f>ROUNDUP((T3805+U3805+2*'Read Me'!$B$13)*(1+'Read Me'!$B$12),-1)</f>
        <v/>
      </c>
      <c r="W3805" s="17">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7" t="n">
        <v>465</v>
      </c>
      <c r="U3806" s="17" t="n">
        <v>96</v>
      </c>
      <c r="V3806" s="17">
        <f>ROUNDUP((T3806+U3806+2*'Read Me'!$B$13)*(1+'Read Me'!$B$12),-1)</f>
        <v/>
      </c>
      <c r="W3806" s="17">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7" t="n">
        <v>305</v>
      </c>
      <c r="U3807" s="17" t="n">
        <v>96</v>
      </c>
      <c r="V3807" s="17">
        <f>ROUNDUP((T3807+U3807+2*'Read Me'!$B$13)*(1+'Read Me'!$B$12),-1)</f>
        <v/>
      </c>
      <c r="W3807" s="17">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7" t="n">
        <v>305</v>
      </c>
      <c r="U3808" s="17" t="n">
        <v>96</v>
      </c>
      <c r="V3808" s="17">
        <f>ROUNDUP((T3808+U3808+2*'Read Me'!$B$13)*(1+'Read Me'!$B$12),-1)</f>
        <v/>
      </c>
      <c r="W3808" s="17">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7" t="n">
        <v>145</v>
      </c>
      <c r="U3809" s="17" t="n">
        <v>96</v>
      </c>
      <c r="V3809" s="17">
        <f>ROUNDUP((T3809+U3809+2*'Read Me'!$B$13)*(1+'Read Me'!$B$12),-1)</f>
        <v/>
      </c>
      <c r="W3809" s="17">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7" t="n">
        <v>145</v>
      </c>
      <c r="U3810" s="17" t="n">
        <v>96</v>
      </c>
      <c r="V3810" s="17">
        <f>ROUNDUP((T3810+U3810+2*'Read Me'!$B$13)*(1+'Read Me'!$B$12),-1)</f>
        <v/>
      </c>
      <c r="W3810" s="17">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7" t="n">
        <v>460</v>
      </c>
      <c r="U3811" s="17" t="n">
        <v>32</v>
      </c>
      <c r="V3811" s="17">
        <f>ROUNDUP((T3811+U3811+2*'Read Me'!$B$13)*(1+'Read Me'!$B$12),-1)</f>
        <v/>
      </c>
      <c r="W3811" s="17">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7" t="n">
        <v>300</v>
      </c>
      <c r="U3812" s="17" t="n">
        <v>32</v>
      </c>
      <c r="V3812" s="17">
        <f>ROUNDUP((T3812+U3812+2*'Read Me'!$B$13)*(1+'Read Me'!$B$12),-1)</f>
        <v/>
      </c>
      <c r="W3812" s="17">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7" t="n">
        <v>16</v>
      </c>
      <c r="U3813" s="17" t="n">
        <v>150</v>
      </c>
      <c r="V3813" s="17">
        <f>ROUNDUP((T3813+U3813+2*'Read Me'!$B$13)*(1+'Read Me'!$B$12),-1)</f>
        <v/>
      </c>
      <c r="W3813" s="17">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7" t="n">
        <v>361</v>
      </c>
      <c r="U3814" s="17" t="n">
        <v>32</v>
      </c>
      <c r="V3814" s="17">
        <f>ROUNDUP((T3814+U3814+2*'Read Me'!$B$13)*(1+'Read Me'!$B$12),-1)</f>
        <v/>
      </c>
      <c r="W3814" s="17">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7" t="n">
        <v>409</v>
      </c>
      <c r="U3815" s="17" t="n">
        <v>32</v>
      </c>
      <c r="V3815" s="17">
        <f>ROUNDUP((T3815+U3815+2*'Read Me'!$B$13)*(1+'Read Me'!$B$12),-1)</f>
        <v/>
      </c>
      <c r="W3815" s="17">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7" t="n">
        <v>291</v>
      </c>
      <c r="U3816" s="17" t="n">
        <v>36</v>
      </c>
      <c r="V3816" s="17">
        <f>ROUNDUP((T3816+U3816+2*'Read Me'!$B$13)*(1+'Read Me'!$B$12),-1)</f>
        <v/>
      </c>
      <c r="W3816" s="17">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7" t="n">
        <v>291</v>
      </c>
      <c r="U3817" s="17" t="n">
        <v>36</v>
      </c>
      <c r="V3817" s="17">
        <f>ROUNDUP((T3817+U3817+2*'Read Me'!$B$13)*(1+'Read Me'!$B$12),-1)</f>
        <v/>
      </c>
      <c r="W3817" s="17">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7" t="n">
        <v>291</v>
      </c>
      <c r="U3818" s="17" t="n">
        <v>36</v>
      </c>
      <c r="V3818" s="17">
        <f>ROUNDUP((T3818+U3818+2*'Read Me'!$B$13)*(1+'Read Me'!$B$12),-1)</f>
        <v/>
      </c>
      <c r="W3818" s="17">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7" t="n">
        <v>303</v>
      </c>
      <c r="U3819" s="17" t="n">
        <v>34</v>
      </c>
      <c r="V3819" s="17">
        <f>ROUNDUP((T3819+U3819+2*'Read Me'!$B$13)*(1+'Read Me'!$B$12),-1)</f>
        <v/>
      </c>
      <c r="W3819" s="17">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7" t="n">
        <v>925</v>
      </c>
      <c r="U3820" s="17" t="n">
        <v>32</v>
      </c>
      <c r="V3820" s="17">
        <f>ROUNDUP((T3820+U3820+2*'Read Me'!$B$13)*(1+'Read Me'!$B$12),-1)</f>
        <v/>
      </c>
      <c r="W3820" s="17">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7" t="n">
        <v>925</v>
      </c>
      <c r="U3821" s="17" t="n">
        <v>32</v>
      </c>
      <c r="V3821" s="17">
        <f>ROUNDUP((T3821+U3821+2*'Read Me'!$B$13)*(1+'Read Me'!$B$12),-1)</f>
        <v/>
      </c>
      <c r="W3821" s="17">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7" t="n">
        <v>925</v>
      </c>
      <c r="U3822" s="17" t="n">
        <v>72</v>
      </c>
      <c r="V3822" s="17">
        <f>ROUNDUP((T3822+U3822+2*'Read Me'!$B$13)*(1+'Read Me'!$B$12),-1)</f>
        <v/>
      </c>
      <c r="W3822" s="17">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7" t="n">
        <v>925</v>
      </c>
      <c r="U3823" s="17" t="n">
        <v>72</v>
      </c>
      <c r="V3823" s="17">
        <f>ROUNDUP((T3823+U3823+2*'Read Me'!$B$13)*(1+'Read Me'!$B$12),-1)</f>
        <v/>
      </c>
      <c r="W3823" s="17">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7" t="n">
        <v>925</v>
      </c>
      <c r="U3824" s="17" t="n">
        <v>72</v>
      </c>
      <c r="V3824" s="17">
        <f>ROUNDUP((T3824+U3824+2*'Read Me'!$B$13)*(1+'Read Me'!$B$12),-1)</f>
        <v/>
      </c>
      <c r="W3824" s="17">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7" t="n">
        <v>925</v>
      </c>
      <c r="U3825" s="17" t="n">
        <v>72</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7" t="n">
        <v>465</v>
      </c>
      <c r="U3826" s="17" t="n">
        <v>112</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7" t="n">
        <v>465</v>
      </c>
      <c r="U3827" s="17" t="n">
        <v>112</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7" t="n">
        <v>305</v>
      </c>
      <c r="U3828" s="17" t="n">
        <v>112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7" t="n">
        <v>305</v>
      </c>
      <c r="U3829" s="17" t="n">
        <v>112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7" t="n">
        <v>0</v>
      </c>
      <c r="U3830" s="17" t="n">
        <v>69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7" t="n">
        <v>0</v>
      </c>
      <c r="U3831" s="17" t="n">
        <v>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7" t="n">
        <v>1280</v>
      </c>
      <c r="U3832" s="17" t="n">
        <v>0</v>
      </c>
      <c r="V3832" s="17">
        <f>ROUNDUP((T3832+U3832+2*'Read Me'!$B$13)*(1+'Read Me'!$B$12),-1)</f>
        <v/>
      </c>
      <c r="W3832" s="17">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7" t="n">
        <v>384</v>
      </c>
      <c r="U3833" s="17" t="n">
        <v>0</v>
      </c>
      <c r="V3833" s="17">
        <f>ROUNDUP((T3833+U3833+2*'Read Me'!$B$13)*(1+'Read Me'!$B$12),-1)</f>
        <v/>
      </c>
      <c r="W3833" s="17">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7" t="n">
        <v>68</v>
      </c>
      <c r="U3834" s="17" t="n">
        <v>37</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7" t="n">
        <v>0</v>
      </c>
      <c r="U3835" s="17" t="n">
        <v>32</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7" t="n">
        <v>318</v>
      </c>
      <c r="U3836" s="17" t="n">
        <v>103</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7" t="n">
        <v>318</v>
      </c>
      <c r="U3837" s="17" t="n">
        <v>103</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7" t="n">
        <v>178</v>
      </c>
      <c r="U3838" s="17" t="n">
        <v>123</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7" t="n">
        <v>178</v>
      </c>
      <c r="U3839" s="17" t="n">
        <v>123</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7" t="n">
        <v>74</v>
      </c>
      <c r="U3840" s="17" t="n">
        <v>107</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7" t="n">
        <v>74</v>
      </c>
      <c r="U3841" s="17" t="n">
        <v>107</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7" t="n">
        <v>318</v>
      </c>
      <c r="U3842" s="17" t="n">
        <v>161</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7" t="n">
        <v>318</v>
      </c>
      <c r="U3843" s="17" t="n">
        <v>161</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7" t="n">
        <v>178</v>
      </c>
      <c r="U3844" s="17" t="n">
        <v>181</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7" t="n">
        <v>178</v>
      </c>
      <c r="U3845" s="17" t="n">
        <v>181</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7" t="n">
        <v>74</v>
      </c>
      <c r="U3846" s="17" t="n">
        <v>165</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7" t="n">
        <v>74</v>
      </c>
      <c r="U3847" s="17" t="n">
        <v>165</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7" t="n">
        <v>318</v>
      </c>
      <c r="U3848" s="17" t="n">
        <v>219</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7" t="n">
        <v>318</v>
      </c>
      <c r="U3849" s="17" t="n">
        <v>219</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7" t="n">
        <v>178</v>
      </c>
      <c r="U3850" s="17" t="n">
        <v>239</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7" t="n">
        <v>178</v>
      </c>
      <c r="U3851" s="17" t="n">
        <v>239</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7" t="n">
        <v>380</v>
      </c>
      <c r="U3852" s="17" t="n">
        <v>149</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7" t="n">
        <v>380</v>
      </c>
      <c r="U3853" s="17" t="n">
        <v>149</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7" t="n">
        <v>620</v>
      </c>
      <c r="U3854" s="17" t="n">
        <v>91</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7" t="n">
        <v>620</v>
      </c>
      <c r="U3855" s="17" t="n">
        <v>91</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7" t="n">
        <v>500</v>
      </c>
      <c r="U3856" s="17" t="n">
        <v>91</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7" t="n">
        <v>500</v>
      </c>
      <c r="U3857" s="17" t="n">
        <v>91</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7" t="n">
        <v>380</v>
      </c>
      <c r="U3858" s="17" t="n">
        <v>91</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7" t="n">
        <v>380</v>
      </c>
      <c r="U3859" s="17" t="n">
        <v>91</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7" t="n">
        <v>620</v>
      </c>
      <c r="U3860" s="17" t="n">
        <v>37</v>
      </c>
      <c r="V3860" s="17">
        <f>ROUNDUP((T3860+U3860+2*'Read Me'!$B$13)*(1+'Read Me'!$B$12),-1)</f>
        <v/>
      </c>
      <c r="W3860" s="17">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7" t="n">
        <v>620</v>
      </c>
      <c r="U3861" s="17" t="n">
        <v>37</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7" t="n">
        <v>500</v>
      </c>
      <c r="U3862" s="17" t="n">
        <v>37</v>
      </c>
      <c r="V3862" s="17">
        <f>ROUNDUP((T3862+U3862+2*'Read Me'!$B$13)*(1+'Read Me'!$B$12),-1)</f>
        <v/>
      </c>
      <c r="W3862" s="17">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7" t="n">
        <v>500</v>
      </c>
      <c r="U3863" s="17" t="n">
        <v>37</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7" t="n">
        <v>380</v>
      </c>
      <c r="U3864" s="17" t="n">
        <v>37</v>
      </c>
      <c r="V3864" s="17">
        <f>ROUNDUP((T3864+U3864+2*'Read Me'!$B$13)*(1+'Read Me'!$B$12),-1)</f>
        <v/>
      </c>
      <c r="W3864" s="17">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7" t="n">
        <v>380</v>
      </c>
      <c r="U3865" s="17" t="n">
        <v>37</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7" t="n">
        <v>38</v>
      </c>
      <c r="U3866" s="17" t="n">
        <v>32</v>
      </c>
      <c r="V3866" s="17">
        <f>ROUNDUP((T3866+U3866+2*'Read Me'!$B$13)*(1+'Read Me'!$B$12),-1)</f>
        <v/>
      </c>
      <c r="W3866" s="17">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7" t="n">
        <v>38</v>
      </c>
      <c r="U3867" s="17" t="n">
        <v>32</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7" t="n">
        <v>38</v>
      </c>
      <c r="U3868" s="17" t="n">
        <v>32</v>
      </c>
      <c r="V3868" s="17">
        <f>ROUNDUP((T3868+U3868+2*'Read Me'!$B$13)*(1+'Read Me'!$B$12),-1)</f>
        <v/>
      </c>
      <c r="W3868" s="17">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7" t="n">
        <v>38</v>
      </c>
      <c r="U3869" s="17" t="n">
        <v>32</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7" t="n">
        <v>336</v>
      </c>
      <c r="U3870" s="17" t="n">
        <v>32</v>
      </c>
      <c r="V3870" s="17">
        <f>ROUNDUP((T3870+U3870+2*'Read Me'!$B$13)*(1+'Read Me'!$B$12),-1)</f>
        <v/>
      </c>
      <c r="W3870" s="17">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7" t="n">
        <v>10</v>
      </c>
      <c r="U3871" s="17" t="n">
        <v>150</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7" t="n">
        <v>0</v>
      </c>
      <c r="U3872" s="17" t="n">
        <v>160</v>
      </c>
      <c r="V3872" s="17">
        <f>ROUNDUP((T3872+U3872+2*'Read Me'!$B$13)*(1+'Read Me'!$B$12),-1)</f>
        <v/>
      </c>
      <c r="W3872" s="17">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7" t="n">
        <v>0</v>
      </c>
      <c r="U3873" s="17" t="n">
        <v>200</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7" t="n">
        <v>0</v>
      </c>
      <c r="U3874" s="17" t="n">
        <v>200</v>
      </c>
      <c r="V3874" s="17">
        <f>ROUNDUP((T3874+U3874+2*'Read Me'!$B$13)*(1+'Read Me'!$B$12),-1)</f>
        <v/>
      </c>
      <c r="W3874" s="17">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7" t="n">
        <v>0</v>
      </c>
      <c r="U3875" s="17" t="n">
        <v>168</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7" t="n">
        <v>0</v>
      </c>
      <c r="U3876" s="17" t="n">
        <v>168</v>
      </c>
      <c r="V3876" s="17">
        <f>ROUNDUP((T3876+U3876+2*'Read Me'!$B$13)*(1+'Read Me'!$B$12),-1)</f>
        <v/>
      </c>
      <c r="W3876" s="17">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7" t="n">
        <v>10</v>
      </c>
      <c r="U3877" s="17" t="n">
        <v>266</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7" t="n">
        <v>0</v>
      </c>
      <c r="U3878" s="17" t="n">
        <v>276</v>
      </c>
      <c r="V3878" s="17">
        <f>ROUNDUP((T3878+U3878+2*'Read Me'!$B$13)*(1+'Read Me'!$B$12),-1)</f>
        <v/>
      </c>
      <c r="W3878" s="17">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7" t="n">
        <v>0</v>
      </c>
      <c r="U3879" s="17" t="n">
        <v>316</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7" t="n">
        <v>0</v>
      </c>
      <c r="U3880" s="17" t="n">
        <v>316</v>
      </c>
      <c r="V3880" s="17">
        <f>ROUNDUP((T3880+U3880+2*'Read Me'!$B$13)*(1+'Read Me'!$B$12),-1)</f>
        <v/>
      </c>
      <c r="W3880" s="17">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7" t="n">
        <v>0</v>
      </c>
      <c r="U3881" s="17" t="n">
        <v>284</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Tray</t>
        </is>
      </c>
      <c r="T3882" s="17" t="n">
        <v>0</v>
      </c>
      <c r="U3882" s="17" t="n">
        <v>284</v>
      </c>
      <c r="V3882" s="17">
        <f>ROUNDUP((T3882+U3882+2*'Read Me'!$B$13)*(1+'Read Me'!$B$12),-1)</f>
        <v/>
      </c>
      <c r="W3882" s="17">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7" t="n">
        <v>0</v>
      </c>
      <c r="U3883" s="17" t="n">
        <v>290</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7" t="n">
        <v>0</v>
      </c>
      <c r="U3884" s="17" t="n">
        <v>290</v>
      </c>
      <c r="V3884" s="17">
        <f>ROUNDUP((T3884+U3884+2*'Read Me'!$B$13)*(1+'Read Me'!$B$12),-1)</f>
        <v/>
      </c>
      <c r="W3884" s="17">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7" t="n">
        <v>0</v>
      </c>
      <c r="U3885" s="17" t="n">
        <v>290</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7" t="n">
        <v>0</v>
      </c>
      <c r="U3886" s="17" t="n">
        <v>290</v>
      </c>
      <c r="V3886" s="17">
        <f>ROUNDUP((T3886+U3886+2*'Read Me'!$B$13)*(1+'Read Me'!$B$12),-1)</f>
        <v/>
      </c>
      <c r="W3886" s="17">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7" t="n">
        <v>0</v>
      </c>
      <c r="U3887" s="17" t="n">
        <v>290</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7" t="n">
        <v>0</v>
      </c>
      <c r="U3888" s="17" t="n">
        <v>290</v>
      </c>
      <c r="V3888" s="17">
        <f>ROUNDUP((T3888+U3888+2*'Read Me'!$B$13)*(1+'Read Me'!$B$12),-1)</f>
        <v/>
      </c>
      <c r="W3888" s="17">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7" t="n">
        <v>0</v>
      </c>
      <c r="U3889" s="17" t="n">
        <v>174</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7" t="n">
        <v>0</v>
      </c>
      <c r="U3890" s="17" t="n">
        <v>174</v>
      </c>
      <c r="V3890" s="17">
        <f>ROUNDUP((T3890+U3890+2*'Read Me'!$B$13)*(1+'Read Me'!$B$12),-1)</f>
        <v/>
      </c>
      <c r="W3890" s="17">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7" t="n">
        <v>0</v>
      </c>
      <c r="U3891" s="17" t="n">
        <v>174</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7" t="n">
        <v>0</v>
      </c>
      <c r="U3892" s="17" t="n">
        <v>174</v>
      </c>
      <c r="V3892" s="17">
        <f>ROUNDUP((T3892+U3892+2*'Read Me'!$B$13)*(1+'Read Me'!$B$12),-1)</f>
        <v/>
      </c>
      <c r="W3892" s="17">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7" t="n">
        <v>0</v>
      </c>
      <c r="U3893" s="17" t="n">
        <v>174</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7" t="n">
        <v>0</v>
      </c>
      <c r="U3894" s="17" t="n">
        <v>174</v>
      </c>
      <c r="V3894" s="17">
        <f>ROUNDUP((T3894+U3894+2*'Read Me'!$B$13)*(1+'Read Me'!$B$12),-1)</f>
        <v/>
      </c>
      <c r="W3894" s="17">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7" t="n">
        <v>0</v>
      </c>
      <c r="U3895" s="17" t="n">
        <v>62</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7" t="n">
        <v>0</v>
      </c>
      <c r="U3896" s="17" t="n">
        <v>62</v>
      </c>
      <c r="V3896" s="17">
        <f>ROUNDUP((T3896+U3896+2*'Read Me'!$B$13)*(1+'Read Me'!$B$12),-1)</f>
        <v/>
      </c>
      <c r="W3896" s="17">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7" t="n">
        <v>0</v>
      </c>
      <c r="U3897" s="17" t="n">
        <v>62</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7" t="n">
        <v>0</v>
      </c>
      <c r="U3898" s="17" t="n">
        <v>62</v>
      </c>
      <c r="V3898" s="17">
        <f>ROUNDUP((T3898+U3898+2*'Read Me'!$B$13)*(1+'Read Me'!$B$12),-1)</f>
        <v/>
      </c>
      <c r="W3898" s="17">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7" t="n">
        <v>0</v>
      </c>
      <c r="U3899" s="17" t="n">
        <v>62</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7" t="n">
        <v>0</v>
      </c>
      <c r="U3900" s="17" t="n">
        <v>62</v>
      </c>
      <c r="V3900" s="17">
        <f>ROUNDUP((T3900+U3900+2*'Read Me'!$B$13)*(1+'Read Me'!$B$12),-1)</f>
        <v/>
      </c>
      <c r="W3900" s="17">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7" t="n">
        <v>180</v>
      </c>
      <c r="U3901" s="17" t="n">
        <v>32</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7" t="n">
        <v>180</v>
      </c>
      <c r="U3902" s="17" t="n">
        <v>32</v>
      </c>
      <c r="V3902" s="17">
        <f>ROUNDUP((T3902+U3902+2*'Read Me'!$B$13)*(1+'Read Me'!$B$12),-1)</f>
        <v/>
      </c>
      <c r="W3902" s="17">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7" t="n">
        <v>180</v>
      </c>
      <c r="U3903" s="17" t="n">
        <v>32</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7" t="n">
        <v>180</v>
      </c>
      <c r="U3904" s="17" t="n">
        <v>32</v>
      </c>
      <c r="V3904" s="17">
        <f>ROUNDUP((T3904+U3904+2*'Read Me'!$B$13)*(1+'Read Me'!$B$12),-1)</f>
        <v/>
      </c>
      <c r="W3904" s="17">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7" t="n">
        <v>180</v>
      </c>
      <c r="U3905" s="17" t="n">
        <v>32</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7" t="n">
        <v>180</v>
      </c>
      <c r="U3906" s="17" t="n">
        <v>32</v>
      </c>
      <c r="V3906" s="17">
        <f>ROUNDUP((T3906+U3906+2*'Read Me'!$B$13)*(1+'Read Me'!$B$12),-1)</f>
        <v/>
      </c>
      <c r="W3906" s="17">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7" t="n">
        <v>162</v>
      </c>
      <c r="U3907" s="17" t="n">
        <v>32</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7" t="n">
        <v>162</v>
      </c>
      <c r="U3908" s="17" t="n">
        <v>32</v>
      </c>
      <c r="V3908" s="17">
        <f>ROUNDUP((T3908+U3908+2*'Read Me'!$B$13)*(1+'Read Me'!$B$12),-1)</f>
        <v/>
      </c>
      <c r="W3908" s="17">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7" t="n">
        <v>162</v>
      </c>
      <c r="U3909" s="17" t="n">
        <v>32</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7" t="n">
        <v>162</v>
      </c>
      <c r="U3910" s="17" t="n">
        <v>32</v>
      </c>
      <c r="V3910" s="17">
        <f>ROUNDUP((T3910+U3910+2*'Read Me'!$B$13)*(1+'Read Me'!$B$12),-1)</f>
        <v/>
      </c>
      <c r="W3910" s="17">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7" t="n">
        <v>280</v>
      </c>
      <c r="U3911" s="17" t="n">
        <v>87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7" t="n">
        <v>280</v>
      </c>
      <c r="U3912" s="17" t="n">
        <v>87</v>
      </c>
      <c r="V3912" s="17">
        <f>ROUNDUP((T3912+U3912+2*'Read Me'!$B$13)*(1+'Read Me'!$B$12),-1)</f>
        <v/>
      </c>
      <c r="W3912" s="17">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7" t="n">
        <v>280</v>
      </c>
      <c r="U3913" s="17" t="n">
        <v>87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7" t="n">
        <v>280</v>
      </c>
      <c r="U3914" s="17" t="n">
        <v>87</v>
      </c>
      <c r="V3914" s="17">
        <f>ROUNDUP((T3914+U3914+2*'Read Me'!$B$13)*(1+'Read Me'!$B$12),-1)</f>
        <v/>
      </c>
      <c r="W3914" s="17">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7" t="n">
        <v>10</v>
      </c>
      <c r="U3915" s="17" t="n">
        <v>150</v>
      </c>
      <c r="V3915" s="17">
        <f>ROUNDUP((T3915+U3915+2*'Read Me'!$B$13)*(1+'Read Me'!$B$12),-1)</f>
        <v/>
      </c>
      <c r="W3915" s="17">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7" t="n">
        <v>0</v>
      </c>
      <c r="U3916" s="17" t="n">
        <v>160</v>
      </c>
      <c r="V3916" s="17">
        <f>ROUNDUP((T3916+U3916+2*'Read Me'!$B$13)*(1+'Read Me'!$B$12),-1)</f>
        <v/>
      </c>
      <c r="W3916" s="17">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7" t="n">
        <v>0</v>
      </c>
      <c r="U3917" s="17" t="n">
        <v>200</v>
      </c>
      <c r="V3917" s="17">
        <f>ROUNDUP((T3917+U3917+2*'Read Me'!$B$13)*(1+'Read Me'!$B$12),-1)</f>
        <v/>
      </c>
      <c r="W3917" s="17">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7" t="n">
        <v>0</v>
      </c>
      <c r="U3918" s="17" t="n">
        <v>200</v>
      </c>
      <c r="V3918" s="17">
        <f>ROUNDUP((T3918+U3918+2*'Read Me'!$B$13)*(1+'Read Me'!$B$12),-1)</f>
        <v/>
      </c>
      <c r="W3918" s="17">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7" t="n">
        <v>0</v>
      </c>
      <c r="U3919" s="17" t="n">
        <v>168</v>
      </c>
      <c r="V3919" s="17">
        <f>ROUNDUP((T3919+U3919+2*'Read Me'!$B$13)*(1+'Read Me'!$B$12),-1)</f>
        <v/>
      </c>
      <c r="W3919" s="17">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7" t="n">
        <v>10</v>
      </c>
      <c r="U3920" s="17" t="n">
        <v>158</v>
      </c>
      <c r="V3920" s="17">
        <f>ROUNDUP((T3920+U3920+2*'Read Me'!$B$13)*(1+'Read Me'!$B$12),-1)</f>
        <v/>
      </c>
      <c r="W3920" s="17">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7" t="n">
        <v>10</v>
      </c>
      <c r="U3921" s="17" t="n">
        <v>266</v>
      </c>
      <c r="V3921" s="17">
        <f>ROUNDUP((T3921+U3921+2*'Read Me'!$B$13)*(1+'Read Me'!$B$12),-1)</f>
        <v/>
      </c>
      <c r="W3921" s="17">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7" t="n">
        <v>0</v>
      </c>
      <c r="U3922" s="17" t="n">
        <v>276</v>
      </c>
      <c r="V3922" s="17">
        <f>ROUNDUP((T3922+U3922+2*'Read Me'!$B$13)*(1+'Read Me'!$B$12),-1)</f>
        <v/>
      </c>
      <c r="W3922" s="17">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7" t="n">
        <v>0</v>
      </c>
      <c r="U3923" s="17" t="n">
        <v>316</v>
      </c>
      <c r="V3923" s="17">
        <f>ROUNDUP((T3923+U3923+2*'Read Me'!$B$13)*(1+'Read Me'!$B$12),-1)</f>
        <v/>
      </c>
      <c r="W3923" s="17">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7" t="n">
        <v>0</v>
      </c>
      <c r="U3924" s="17" t="n">
        <v>316</v>
      </c>
      <c r="V3924" s="17">
        <f>ROUNDUP((T3924+U3924+2*'Read Me'!$B$13)*(1+'Read Me'!$B$12),-1)</f>
        <v/>
      </c>
      <c r="W3924" s="17">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7" t="n">
        <v>0</v>
      </c>
      <c r="U3925" s="17" t="n">
        <v>284</v>
      </c>
      <c r="V3925" s="17">
        <f>ROUNDUP((T3925+U3925+2*'Read Me'!$B$13)*(1+'Read Me'!$B$12),-1)</f>
        <v/>
      </c>
      <c r="W3925" s="17">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7" t="n">
        <v>10</v>
      </c>
      <c r="U3926" s="17" t="n">
        <v>274</v>
      </c>
      <c r="V3926" s="17">
        <f>ROUNDUP((T3926+U3926+2*'Read Me'!$B$13)*(1+'Read Me'!$B$12),-1)</f>
        <v/>
      </c>
      <c r="W3926" s="17">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7" t="n">
        <v>0</v>
      </c>
      <c r="U3927" s="17" t="n">
        <v>290</v>
      </c>
      <c r="V3927" s="17">
        <f>ROUNDUP((T3927+U3927+2*'Read Me'!$B$13)*(1+'Read Me'!$B$12),-1)</f>
        <v/>
      </c>
      <c r="W3927" s="17">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7" t="n">
        <v>0</v>
      </c>
      <c r="U3928" s="17" t="n">
        <v>290</v>
      </c>
      <c r="V3928" s="17">
        <f>ROUNDUP((T3928+U3928+2*'Read Me'!$B$13)*(1+'Read Me'!$B$12),-1)</f>
        <v/>
      </c>
      <c r="W3928" s="17">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7" t="n">
        <v>0</v>
      </c>
      <c r="U3929" s="17" t="n">
        <v>290</v>
      </c>
      <c r="V3929" s="17">
        <f>ROUNDUP((T3929+U3929+2*'Read Me'!$B$13)*(1+'Read Me'!$B$12),-1)</f>
        <v/>
      </c>
      <c r="W3929" s="17">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7" t="n">
        <v>0</v>
      </c>
      <c r="U3930" s="17" t="n">
        <v>290</v>
      </c>
      <c r="V3930" s="17">
        <f>ROUNDUP((T3930+U3930+2*'Read Me'!$B$13)*(1+'Read Me'!$B$12),-1)</f>
        <v/>
      </c>
      <c r="W3930" s="17">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7" t="n">
        <v>0</v>
      </c>
      <c r="U3931" s="17" t="n">
        <v>290</v>
      </c>
      <c r="V3931" s="17">
        <f>ROUNDUP((T3931+U3931+2*'Read Me'!$B$13)*(1+'Read Me'!$B$12),-1)</f>
        <v/>
      </c>
      <c r="W3931" s="17">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7" t="n">
        <v>27</v>
      </c>
      <c r="U3932" s="17" t="n">
        <v>263</v>
      </c>
      <c r="V3932" s="17">
        <f>ROUNDUP((T3932+U3932+2*'Read Me'!$B$13)*(1+'Read Me'!$B$12),-1)</f>
        <v/>
      </c>
      <c r="W3932" s="17">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7" t="n">
        <v>0</v>
      </c>
      <c r="U3933" s="17" t="n">
        <v>174</v>
      </c>
      <c r="V3933" s="17">
        <f>ROUNDUP((T3933+U3933+2*'Read Me'!$B$13)*(1+'Read Me'!$B$12),-1)</f>
        <v/>
      </c>
      <c r="W3933" s="17">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7" t="n">
        <v>0</v>
      </c>
      <c r="U3934" s="17" t="n">
        <v>174</v>
      </c>
      <c r="V3934" s="17">
        <f>ROUNDUP((T3934+U3934+2*'Read Me'!$B$13)*(1+'Read Me'!$B$12),-1)</f>
        <v/>
      </c>
      <c r="W3934" s="17">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7" t="n">
        <v>0</v>
      </c>
      <c r="U3935" s="17" t="n">
        <v>174</v>
      </c>
      <c r="V3935" s="17">
        <f>ROUNDUP((T3935+U3935+2*'Read Me'!$B$13)*(1+'Read Me'!$B$12),-1)</f>
        <v/>
      </c>
      <c r="W3935" s="17">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7" t="n">
        <v>0</v>
      </c>
      <c r="U3936" s="17" t="n">
        <v>174</v>
      </c>
      <c r="V3936" s="17">
        <f>ROUNDUP((T3936+U3936+2*'Read Me'!$B$13)*(1+'Read Me'!$B$12),-1)</f>
        <v/>
      </c>
      <c r="W3936" s="17">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7" t="n">
        <v>0</v>
      </c>
      <c r="U3937" s="17" t="n">
        <v>174</v>
      </c>
      <c r="V3937" s="17">
        <f>ROUNDUP((T3937+U3937+2*'Read Me'!$B$13)*(1+'Read Me'!$B$12),-1)</f>
        <v/>
      </c>
      <c r="W3937" s="17">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7" t="n">
        <v>0</v>
      </c>
      <c r="U3938" s="17" t="n">
        <v>174</v>
      </c>
      <c r="V3938" s="17">
        <f>ROUNDUP((T3938+U3938+2*'Read Me'!$B$13)*(1+'Read Me'!$B$12),-1)</f>
        <v/>
      </c>
      <c r="W3938" s="17">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7" t="n">
        <v>0</v>
      </c>
      <c r="U3939" s="17" t="n">
        <v>62</v>
      </c>
      <c r="V3939" s="17">
        <f>ROUNDUP((T3939+U3939+2*'Read Me'!$B$13)*(1+'Read Me'!$B$12),-1)</f>
        <v/>
      </c>
      <c r="W3939" s="17">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7" t="n">
        <v>0</v>
      </c>
      <c r="U3940" s="17" t="n">
        <v>62</v>
      </c>
      <c r="V3940" s="17">
        <f>ROUNDUP((T3940+U3940+2*'Read Me'!$B$13)*(1+'Read Me'!$B$12),-1)</f>
        <v/>
      </c>
      <c r="W3940" s="17">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7" t="n">
        <v>0</v>
      </c>
      <c r="U3941" s="17" t="n">
        <v>62</v>
      </c>
      <c r="V3941" s="17">
        <f>ROUNDUP((T3941+U3941+2*'Read Me'!$B$13)*(1+'Read Me'!$B$12),-1)</f>
        <v/>
      </c>
      <c r="W3941" s="17">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7" t="n">
        <v>0</v>
      </c>
      <c r="U3942" s="17" t="n">
        <v>62</v>
      </c>
      <c r="V3942" s="17">
        <f>ROUNDUP((T3942+U3942+2*'Read Me'!$B$13)*(1+'Read Me'!$B$12),-1)</f>
        <v/>
      </c>
      <c r="W3942" s="17">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7" t="n">
        <v>0</v>
      </c>
      <c r="U3943" s="17" t="n">
        <v>62</v>
      </c>
      <c r="V3943" s="17">
        <f>ROUNDUP((T3943+U3943+2*'Read Me'!$B$13)*(1+'Read Me'!$B$12),-1)</f>
        <v/>
      </c>
      <c r="W3943" s="17">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7" t="n">
        <v>0</v>
      </c>
      <c r="U3944" s="17" t="n">
        <v>62</v>
      </c>
      <c r="V3944" s="17">
        <f>ROUNDUP((T3944+U3944+2*'Read Me'!$B$13)*(1+'Read Me'!$B$12),-1)</f>
        <v/>
      </c>
      <c r="W3944" s="17">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7" t="n">
        <v>2496</v>
      </c>
      <c r="U3945" s="17" t="n">
        <v>36</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7" t="n">
        <v>2583</v>
      </c>
      <c r="U3946" s="17" t="n">
        <v>76</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7" t="n">
        <v>68</v>
      </c>
      <c r="U3947" s="17" t="n">
        <v>37</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7" t="n">
        <v>0</v>
      </c>
      <c r="U3948" s="17" t="n">
        <v>32</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7" t="n">
        <v>336</v>
      </c>
      <c r="U3949" s="17" t="n">
        <v>32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7" t="n">
        <v>300</v>
      </c>
      <c r="U3950" s="17" t="n">
        <v>89</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7" t="n">
        <v>160</v>
      </c>
      <c r="U3951" s="17" t="n">
        <v>169</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7" t="n">
        <v>160</v>
      </c>
      <c r="U3952" s="17" t="n">
        <v>109</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7" t="n">
        <v>70</v>
      </c>
      <c r="U3953" s="17" t="n">
        <v>139</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7" t="n">
        <v>30</v>
      </c>
      <c r="U3954" s="17" t="n">
        <v>93</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7" t="n">
        <v>0</v>
      </c>
      <c r="U3955" s="17" t="n">
        <v>83</v>
      </c>
      <c r="V3955" s="17">
        <f>ROUNDUP((T3955+U3955+2*'Read Me'!$B$13)*(1+'Read Me'!$B$12),-1)</f>
        <v/>
      </c>
      <c r="W3955" s="17">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7" t="n">
        <v>300</v>
      </c>
      <c r="U3956" s="17" t="n">
        <v>147</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7" t="n">
        <v>160</v>
      </c>
      <c r="U3957" s="17" t="n">
        <v>227</v>
      </c>
      <c r="V3957" s="17">
        <f>ROUNDUP((T3957+U3957+2*'Read Me'!$B$13)*(1+'Read Me'!$B$12),-1)</f>
        <v/>
      </c>
      <c r="W3957" s="17">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7" t="n">
        <v>160</v>
      </c>
      <c r="U3958" s="17" t="n">
        <v>167</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7" t="n">
        <v>30</v>
      </c>
      <c r="U3959" s="17" t="n">
        <v>211</v>
      </c>
      <c r="V3959" s="17">
        <f>ROUNDUP((T3959+U3959+2*'Read Me'!$B$13)*(1+'Read Me'!$B$12),-1)</f>
        <v/>
      </c>
      <c r="W3959" s="17">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7" t="n">
        <v>30</v>
      </c>
      <c r="U3960" s="17" t="n">
        <v>151</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Tray</t>
        </is>
      </c>
      <c r="T3961" s="17" t="n">
        <v>0</v>
      </c>
      <c r="U3961" s="17" t="n">
        <v>141</v>
      </c>
      <c r="V3961" s="17">
        <f>ROUNDUP((T3961+U3961+2*'Read Me'!$B$13)*(1+'Read Me'!$B$12),-1)</f>
        <v/>
      </c>
      <c r="W3961" s="17">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7" t="n">
        <v>300</v>
      </c>
      <c r="U3962" s="17" t="n">
        <v>205</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7" t="n">
        <v>300</v>
      </c>
      <c r="U3963" s="17" t="n">
        <v>205</v>
      </c>
      <c r="V3963" s="17">
        <f>ROUNDUP((T3963+U3963+2*'Read Me'!$B$13)*(1+'Read Me'!$B$12),-1)</f>
        <v/>
      </c>
      <c r="W3963" s="17">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7" t="n">
        <v>160</v>
      </c>
      <c r="U3964" s="17" t="n">
        <v>225</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7" t="n">
        <v>160</v>
      </c>
      <c r="U3965" s="17" t="n">
        <v>225</v>
      </c>
      <c r="V3965" s="17">
        <f>ROUNDUP((T3965+U3965+2*'Read Me'!$B$13)*(1+'Read Me'!$B$12),-1)</f>
        <v/>
      </c>
      <c r="W3965" s="17">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7" t="n">
        <v>30</v>
      </c>
      <c r="U3966" s="17" t="n">
        <v>209</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7" t="n">
        <v>336</v>
      </c>
      <c r="U3967" s="17" t="n">
        <v>173</v>
      </c>
      <c r="V3967" s="17">
        <f>ROUNDUP((T3967+U3967+2*'Read Me'!$B$13)*(1+'Read Me'!$B$12),-1)</f>
        <v/>
      </c>
      <c r="W3967" s="17">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7" t="n">
        <v>340</v>
      </c>
      <c r="U3968" s="17" t="n">
        <v>253</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7" t="n">
        <v>300</v>
      </c>
      <c r="U3969" s="17" t="n">
        <v>263</v>
      </c>
      <c r="V3969" s="17">
        <f>ROUNDUP((T3969+U3969+2*'Read Me'!$B$13)*(1+'Read Me'!$B$12),-1)</f>
        <v/>
      </c>
      <c r="W3969" s="17">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7" t="n">
        <v>160</v>
      </c>
      <c r="U3970" s="17" t="n">
        <v>283</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7" t="n">
        <v>160</v>
      </c>
      <c r="U3971" s="17" t="n">
        <v>283</v>
      </c>
      <c r="V3971" s="17">
        <f>ROUNDUP((T3971+U3971+2*'Read Me'!$B$13)*(1+'Read Me'!$B$12),-1)</f>
        <v/>
      </c>
      <c r="W3971" s="17">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7" t="n">
        <v>336</v>
      </c>
      <c r="U3972" s="17" t="n">
        <v>115</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7" t="n">
        <v>336</v>
      </c>
      <c r="U3973" s="17" t="n">
        <v>115</v>
      </c>
      <c r="V3973" s="17">
        <f>ROUNDUP((T3973+U3973+2*'Read Me'!$B$13)*(1+'Read Me'!$B$12),-1)</f>
        <v/>
      </c>
      <c r="W3973" s="17">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7" t="n">
        <v>602</v>
      </c>
      <c r="U3974" s="17" t="n">
        <v>57</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7" t="n">
        <v>482</v>
      </c>
      <c r="U3975" s="17" t="n">
        <v>117</v>
      </c>
      <c r="V3975" s="17">
        <f>ROUNDUP((T3975+U3975+2*'Read Me'!$B$13)*(1+'Read Me'!$B$12),-1)</f>
        <v/>
      </c>
      <c r="W3975" s="17">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7" t="n">
        <v>336</v>
      </c>
      <c r="U3976" s="17" t="n">
        <v>177</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7" t="n">
        <v>336</v>
      </c>
      <c r="U3977" s="17" t="n">
        <v>117</v>
      </c>
      <c r="V3977" s="17">
        <f>ROUNDUP((T3977+U3977+2*'Read Me'!$B$13)*(1+'Read Me'!$B$12),-1)</f>
        <v/>
      </c>
      <c r="W3977" s="17">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7" t="n">
        <v>336</v>
      </c>
      <c r="U3978" s="17" t="n">
        <v>57</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7" t="n">
        <v>336</v>
      </c>
      <c r="U3979" s="17" t="n">
        <v>57</v>
      </c>
      <c r="V3979" s="17">
        <f>ROUNDUP((T3979+U3979+2*'Read Me'!$B$13)*(1+'Read Me'!$B$12),-1)</f>
        <v/>
      </c>
      <c r="W3979" s="17">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7" t="n">
        <v>43</v>
      </c>
      <c r="U3980" s="17" t="n">
        <v>10</v>
      </c>
      <c r="V3980" s="17">
        <f>ROUNDUP((T3980+U3980+2*'Read Me'!$B$13)*(1+'Read Me'!$B$12),-1)</f>
        <v/>
      </c>
      <c r="W3980" s="17">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7" t="n">
        <v>300</v>
      </c>
      <c r="U3981" s="17" t="n">
        <v>103</v>
      </c>
      <c r="V3981" s="17">
        <f>ROUNDUP((T3981+U3981+2*'Read Me'!$B$13)*(1+'Read Me'!$B$12),-1)</f>
        <v/>
      </c>
      <c r="W3981" s="17">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7" t="n">
        <v>43</v>
      </c>
      <c r="U3982" s="17" t="n">
        <v>10</v>
      </c>
      <c r="V3982" s="17">
        <f>ROUNDUP((T3982+U3982+2*'Read Me'!$B$13)*(1+'Read Me'!$B$12),-1)</f>
        <v/>
      </c>
      <c r="W3982" s="17">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7" t="n">
        <v>300</v>
      </c>
      <c r="U3983" s="17" t="n">
        <v>103</v>
      </c>
      <c r="V3983" s="17">
        <f>ROUNDUP((T3983+U3983+2*'Read Me'!$B$13)*(1+'Read Me'!$B$12),-1)</f>
        <v/>
      </c>
      <c r="W3983" s="17">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7" t="n">
        <v>43</v>
      </c>
      <c r="U3984" s="17" t="n">
        <v>10</v>
      </c>
      <c r="V3984" s="17">
        <f>ROUNDUP((T3984+U3984+2*'Read Me'!$B$13)*(1+'Read Me'!$B$12),-1)</f>
        <v/>
      </c>
      <c r="W3984" s="17">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7" t="n">
        <v>160</v>
      </c>
      <c r="U3985" s="17" t="n">
        <v>123</v>
      </c>
      <c r="V3985" s="17">
        <f>ROUNDUP((T3985+U3985+2*'Read Me'!$B$13)*(1+'Read Me'!$B$12),-1)</f>
        <v/>
      </c>
      <c r="W3985" s="17">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7" t="n">
        <v>43</v>
      </c>
      <c r="U3986" s="17" t="n">
        <v>10</v>
      </c>
      <c r="V3986" s="17">
        <f>ROUNDUP((T3986+U3986+2*'Read Me'!$B$13)*(1+'Read Me'!$B$12),-1)</f>
        <v/>
      </c>
      <c r="W3986" s="17">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7" t="n">
        <v>160</v>
      </c>
      <c r="U3987" s="17" t="n">
        <v>123</v>
      </c>
      <c r="V3987" s="17">
        <f>ROUNDUP((T3987+U3987+2*'Read Me'!$B$13)*(1+'Read Me'!$B$12),-1)</f>
        <v/>
      </c>
      <c r="W3987" s="17">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7" t="n">
        <v>43</v>
      </c>
      <c r="U3988" s="17" t="n">
        <v>10</v>
      </c>
      <c r="V3988" s="17">
        <f>ROUNDUP((T3988+U3988+2*'Read Me'!$B$13)*(1+'Read Me'!$B$12),-1)</f>
        <v/>
      </c>
      <c r="W3988" s="17">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7" t="n">
        <v>30</v>
      </c>
      <c r="U3989" s="17" t="n">
        <v>107</v>
      </c>
      <c r="V3989" s="17">
        <f>ROUNDUP((T3989+U3989+2*'Read Me'!$B$13)*(1+'Read Me'!$B$12),-1)</f>
        <v/>
      </c>
      <c r="W3989" s="17">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7" t="n">
        <v>43</v>
      </c>
      <c r="U3990" s="17" t="n">
        <v>10</v>
      </c>
      <c r="V3990" s="17">
        <f>ROUNDUP((T3990+U3990+2*'Read Me'!$B$13)*(1+'Read Me'!$B$12),-1)</f>
        <v/>
      </c>
      <c r="W3990" s="17">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7" t="n">
        <v>30</v>
      </c>
      <c r="U3991" s="17" t="n">
        <v>107</v>
      </c>
      <c r="V3991" s="17">
        <f>ROUNDUP((T3991+U3991+2*'Read Me'!$B$13)*(1+'Read Me'!$B$12),-1)</f>
        <v/>
      </c>
      <c r="W3991" s="17">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7" t="n">
        <v>43</v>
      </c>
      <c r="U3992" s="17" t="n">
        <v>10</v>
      </c>
      <c r="V3992" s="17">
        <f>ROUNDUP((T3992+U3992+2*'Read Me'!$B$13)*(1+'Read Me'!$B$12),-1)</f>
        <v/>
      </c>
      <c r="W3992" s="17">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7" t="n">
        <v>300</v>
      </c>
      <c r="U3993" s="17" t="n">
        <v>161</v>
      </c>
      <c r="V3993" s="17">
        <f>ROUNDUP((T3993+U3993+2*'Read Me'!$B$13)*(1+'Read Me'!$B$12),-1)</f>
        <v/>
      </c>
      <c r="W3993" s="17">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7" t="n">
        <v>43</v>
      </c>
      <c r="U3994" s="17" t="n">
        <v>10</v>
      </c>
      <c r="V3994" s="17">
        <f>ROUNDUP((T3994+U3994+2*'Read Me'!$B$13)*(1+'Read Me'!$B$12),-1)</f>
        <v/>
      </c>
      <c r="W3994" s="17">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7" t="n">
        <v>300</v>
      </c>
      <c r="U3995" s="17" t="n">
        <v>161</v>
      </c>
      <c r="V3995" s="17">
        <f>ROUNDUP((T3995+U3995+2*'Read Me'!$B$13)*(1+'Read Me'!$B$12),-1)</f>
        <v/>
      </c>
      <c r="W3995" s="17">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7" t="n">
        <v>43</v>
      </c>
      <c r="U3996" s="17" t="n">
        <v>10</v>
      </c>
      <c r="V3996" s="17">
        <f>ROUNDUP((T3996+U3996+2*'Read Me'!$B$13)*(1+'Read Me'!$B$12),-1)</f>
        <v/>
      </c>
      <c r="W3996" s="17">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7" t="n">
        <v>160</v>
      </c>
      <c r="U3997" s="17" t="n">
        <v>181</v>
      </c>
      <c r="V3997" s="17">
        <f>ROUNDUP((T3997+U3997+2*'Read Me'!$B$13)*(1+'Read Me'!$B$12),-1)</f>
        <v/>
      </c>
      <c r="W3997" s="17">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7" t="n">
        <v>43</v>
      </c>
      <c r="U3998" s="17" t="n">
        <v>10</v>
      </c>
      <c r="V3998" s="17">
        <f>ROUNDUP((T3998+U3998+2*'Read Me'!$B$13)*(1+'Read Me'!$B$12),-1)</f>
        <v/>
      </c>
      <c r="W3998" s="17">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7" t="n">
        <v>160</v>
      </c>
      <c r="U3999" s="17" t="n">
        <v>181</v>
      </c>
      <c r="V3999" s="17">
        <f>ROUNDUP((T3999+U3999+2*'Read Me'!$B$13)*(1+'Read Me'!$B$12),-1)</f>
        <v/>
      </c>
      <c r="W3999" s="17">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7" t="n">
        <v>43</v>
      </c>
      <c r="U4000" s="17" t="n">
        <v>10</v>
      </c>
      <c r="V4000" s="17">
        <f>ROUNDUP((T4000+U4000+2*'Read Me'!$B$13)*(1+'Read Me'!$B$12),-1)</f>
        <v/>
      </c>
      <c r="W4000" s="17">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7" t="n">
        <v>30</v>
      </c>
      <c r="U4001" s="17" t="n">
        <v>165</v>
      </c>
      <c r="V4001" s="17">
        <f>ROUNDUP((T4001+U4001+2*'Read Me'!$B$13)*(1+'Read Me'!$B$12),-1)</f>
        <v/>
      </c>
      <c r="W4001" s="17">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7" t="n">
        <v>43</v>
      </c>
      <c r="U4002" s="17" t="n">
        <v>10</v>
      </c>
      <c r="V4002" s="17">
        <f>ROUNDUP((T4002+U4002+2*'Read Me'!$B$13)*(1+'Read Me'!$B$12),-1)</f>
        <v/>
      </c>
      <c r="W4002" s="17">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7" t="n">
        <v>30</v>
      </c>
      <c r="U4003" s="17" t="n">
        <v>165</v>
      </c>
      <c r="V4003" s="17">
        <f>ROUNDUP((T4003+U4003+2*'Read Me'!$B$13)*(1+'Read Me'!$B$12),-1)</f>
        <v/>
      </c>
      <c r="W4003" s="17">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7" t="n">
        <v>43</v>
      </c>
      <c r="U4004" s="17" t="n">
        <v>10</v>
      </c>
      <c r="V4004" s="17">
        <f>ROUNDUP((T4004+U4004+2*'Read Me'!$B$13)*(1+'Read Me'!$B$12),-1)</f>
        <v/>
      </c>
      <c r="W4004" s="17">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7" t="n">
        <v>300</v>
      </c>
      <c r="U4005" s="17" t="n">
        <v>219</v>
      </c>
      <c r="V4005" s="17">
        <f>ROUNDUP((T4005+U4005+2*'Read Me'!$B$13)*(1+'Read Me'!$B$12),-1)</f>
        <v/>
      </c>
      <c r="W4005" s="17">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7" t="n">
        <v>43</v>
      </c>
      <c r="U4006" s="17" t="n">
        <v>10</v>
      </c>
      <c r="V4006" s="17">
        <f>ROUNDUP((T4006+U4006+2*'Read Me'!$B$13)*(1+'Read Me'!$B$12),-1)</f>
        <v/>
      </c>
      <c r="W4006" s="17">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7" t="n">
        <v>300</v>
      </c>
      <c r="U4007" s="17" t="n">
        <v>219</v>
      </c>
      <c r="V4007" s="17">
        <f>ROUNDUP((T4007+U4007+2*'Read Me'!$B$13)*(1+'Read Me'!$B$12),-1)</f>
        <v/>
      </c>
      <c r="W4007" s="17">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7" t="n">
        <v>43</v>
      </c>
      <c r="U4008" s="17" t="n">
        <v>10</v>
      </c>
      <c r="V4008" s="17">
        <f>ROUNDUP((T4008+U4008+2*'Read Me'!$B$13)*(1+'Read Me'!$B$12),-1)</f>
        <v/>
      </c>
      <c r="W4008" s="17">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7" t="n">
        <v>160</v>
      </c>
      <c r="U4009" s="17" t="n">
        <v>239</v>
      </c>
      <c r="V4009" s="17">
        <f>ROUNDUP((T4009+U4009+2*'Read Me'!$B$13)*(1+'Read Me'!$B$12),-1)</f>
        <v/>
      </c>
      <c r="W4009" s="17">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7" t="n">
        <v>43</v>
      </c>
      <c r="U4010" s="17" t="n">
        <v>10</v>
      </c>
      <c r="V4010" s="17">
        <f>ROUNDUP((T4010+U4010+2*'Read Me'!$B$13)*(1+'Read Me'!$B$12),-1)</f>
        <v/>
      </c>
      <c r="W4010" s="17">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7" t="n">
        <v>160</v>
      </c>
      <c r="U4011" s="17" t="n">
        <v>239</v>
      </c>
      <c r="V4011" s="17">
        <f>ROUNDUP((T4011+U4011+2*'Read Me'!$B$13)*(1+'Read Me'!$B$12),-1)</f>
        <v/>
      </c>
      <c r="W4011" s="17">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7" t="n">
        <v>43</v>
      </c>
      <c r="U4012" s="17" t="n">
        <v>10</v>
      </c>
      <c r="V4012" s="17">
        <f>ROUNDUP((T4012+U4012+2*'Read Me'!$B$13)*(1+'Read Me'!$B$12),-1)</f>
        <v/>
      </c>
      <c r="W4012" s="17">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7" t="n">
        <v>336</v>
      </c>
      <c r="U4013" s="17" t="n">
        <v>149</v>
      </c>
      <c r="V4013" s="17">
        <f>ROUNDUP((T4013+U4013+2*'Read Me'!$B$13)*(1+'Read Me'!$B$12),-1)</f>
        <v/>
      </c>
      <c r="W4013" s="17">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7" t="n">
        <v>43</v>
      </c>
      <c r="U4014" s="17" t="n">
        <v>10</v>
      </c>
      <c r="V4014" s="17">
        <f>ROUNDUP((T4014+U4014+2*'Read Me'!$B$13)*(1+'Read Me'!$B$12),-1)</f>
        <v/>
      </c>
      <c r="W4014" s="17">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7" t="n">
        <v>336</v>
      </c>
      <c r="U4015" s="17" t="n">
        <v>149</v>
      </c>
      <c r="V4015" s="17">
        <f>ROUNDUP((T4015+U4015+2*'Read Me'!$B$13)*(1+'Read Me'!$B$12),-1)</f>
        <v/>
      </c>
      <c r="W4015" s="17">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7" t="n">
        <v>43</v>
      </c>
      <c r="U4016" s="17" t="n">
        <v>10</v>
      </c>
      <c r="V4016" s="17">
        <f>ROUNDUP((T4016+U4016+2*'Read Me'!$B$13)*(1+'Read Me'!$B$12),-1)</f>
        <v/>
      </c>
      <c r="W4016" s="17">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7" t="n">
        <v>602</v>
      </c>
      <c r="U4017" s="17" t="n">
        <v>91</v>
      </c>
      <c r="V4017" s="17">
        <f>ROUNDUP((T4017+U4017+2*'Read Me'!$B$13)*(1+'Read Me'!$B$12),-1)</f>
        <v/>
      </c>
      <c r="W4017" s="17">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7" t="n">
        <v>43</v>
      </c>
      <c r="U4018" s="17" t="n">
        <v>10</v>
      </c>
      <c r="V4018" s="17">
        <f>ROUNDUP((T4018+U4018+2*'Read Me'!$B$13)*(1+'Read Me'!$B$12),-1)</f>
        <v/>
      </c>
      <c r="W4018" s="17">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7" t="n">
        <v>602</v>
      </c>
      <c r="U4019" s="17" t="n">
        <v>91</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7" t="n">
        <v>43</v>
      </c>
      <c r="U4020" s="17" t="n">
        <v>10</v>
      </c>
      <c r="V4020" s="17">
        <f>ROUNDUP((T4020+U4020+2*'Read Me'!$B$13)*(1+'Read Me'!$B$12),-1)</f>
        <v/>
      </c>
      <c r="W4020" s="17">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7" t="n">
        <v>336</v>
      </c>
      <c r="U4021" s="17" t="n">
        <v>211</v>
      </c>
      <c r="V4021" s="17">
        <f>ROUNDUP((T4021+U4021+2*'Read Me'!$B$13)*(1+'Read Me'!$B$12),-1)</f>
        <v/>
      </c>
      <c r="W4021" s="17">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7" t="n">
        <v>43</v>
      </c>
      <c r="U4022" s="17" t="n">
        <v>10</v>
      </c>
      <c r="V4022" s="17">
        <f>ROUNDUP((T4022+U4022+2*'Read Me'!$B$13)*(1+'Read Me'!$B$12),-1)</f>
        <v/>
      </c>
      <c r="W4022" s="17">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7" t="n">
        <v>336</v>
      </c>
      <c r="U4023" s="17" t="n">
        <v>211</v>
      </c>
      <c r="V4023" s="17">
        <f>ROUNDUP((T4023+U4023+2*'Read Me'!$B$13)*(1+'Read Me'!$B$12),-1)</f>
        <v/>
      </c>
      <c r="W4023" s="17">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7" t="n">
        <v>43</v>
      </c>
      <c r="U4024" s="17" t="n">
        <v>10</v>
      </c>
      <c r="V4024" s="17">
        <f>ROUNDUP((T4024+U4024+2*'Read Me'!$B$13)*(1+'Read Me'!$B$12),-1)</f>
        <v/>
      </c>
      <c r="W4024" s="17">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7" t="n">
        <v>336</v>
      </c>
      <c r="U4025" s="17" t="n">
        <v>91</v>
      </c>
      <c r="V4025" s="17">
        <f>ROUNDUP((T4025+U4025+2*'Read Me'!$B$13)*(1+'Read Me'!$B$12),-1)</f>
        <v/>
      </c>
      <c r="W4025" s="17">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7" t="n">
        <v>43</v>
      </c>
      <c r="U4026" s="17" t="n">
        <v>10</v>
      </c>
      <c r="V4026" s="17">
        <f>ROUNDUP((T4026+U4026+2*'Read Me'!$B$13)*(1+'Read Me'!$B$12),-1)</f>
        <v/>
      </c>
      <c r="W4026" s="17">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7" t="n">
        <v>336</v>
      </c>
      <c r="U4027" s="17" t="n">
        <v>91</v>
      </c>
      <c r="V4027" s="17">
        <f>ROUNDUP((T4027+U4027+2*'Read Me'!$B$13)*(1+'Read Me'!$B$12),-1)</f>
        <v/>
      </c>
      <c r="W4027" s="17">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7" t="n">
        <v>43</v>
      </c>
      <c r="U4028" s="17" t="n">
        <v>10</v>
      </c>
      <c r="V4028" s="17">
        <f>ROUNDUP((T4028+U4028+2*'Read Me'!$B$13)*(1+'Read Me'!$B$12),-1)</f>
        <v/>
      </c>
      <c r="W4028" s="17">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7" t="n">
        <v>602</v>
      </c>
      <c r="U4029" s="17" t="n">
        <v>37</v>
      </c>
      <c r="V4029" s="17">
        <f>ROUNDUP((T4029+U4029+2*'Read Me'!$B$13)*(1+'Read Me'!$B$12),-1)</f>
        <v/>
      </c>
      <c r="W4029" s="17">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7" t="n">
        <v>43</v>
      </c>
      <c r="U4030" s="17" t="n">
        <v>10</v>
      </c>
      <c r="V4030" s="17">
        <f>ROUNDUP((T4030+U4030+2*'Read Me'!$B$13)*(1+'Read Me'!$B$12),-1)</f>
        <v/>
      </c>
      <c r="W4030" s="17">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7" t="n">
        <v>602</v>
      </c>
      <c r="U4031" s="17" t="n">
        <v>37</v>
      </c>
      <c r="V4031" s="17">
        <f>ROUNDUP((T4031+U4031+2*'Read Me'!$B$13)*(1+'Read Me'!$B$12),-1)</f>
        <v/>
      </c>
      <c r="W4031" s="17">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7" t="n">
        <v>43</v>
      </c>
      <c r="U4032" s="17" t="n">
        <v>10</v>
      </c>
      <c r="V4032" s="17">
        <f>ROUNDUP((T4032+U4032+2*'Read Me'!$B$13)*(1+'Read Me'!$B$12),-1)</f>
        <v/>
      </c>
      <c r="W4032" s="17">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7" t="n">
        <v>336</v>
      </c>
      <c r="U4033" s="17" t="n">
        <v>157</v>
      </c>
      <c r="V4033" s="17">
        <f>ROUNDUP((T4033+U4033+2*'Read Me'!$B$13)*(1+'Read Me'!$B$12),-1)</f>
        <v/>
      </c>
      <c r="W4033" s="17">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7" t="n">
        <v>43</v>
      </c>
      <c r="U4034" s="17" t="n">
        <v>10</v>
      </c>
      <c r="V4034" s="17">
        <f>ROUNDUP((T4034+U4034+2*'Read Me'!$B$13)*(1+'Read Me'!$B$12),-1)</f>
        <v/>
      </c>
      <c r="W4034" s="17">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7" t="n">
        <v>336</v>
      </c>
      <c r="U4035" s="17" t="n">
        <v>157</v>
      </c>
      <c r="V4035" s="17">
        <f>ROUNDUP((T4035+U4035+2*'Read Me'!$B$13)*(1+'Read Me'!$B$12),-1)</f>
        <v/>
      </c>
      <c r="W4035" s="17">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7" t="n">
        <v>43</v>
      </c>
      <c r="U4036" s="17" t="n">
        <v>10</v>
      </c>
      <c r="V4036" s="17">
        <f>ROUNDUP((T4036+U4036+2*'Read Me'!$B$13)*(1+'Read Me'!$B$12),-1)</f>
        <v/>
      </c>
      <c r="W4036" s="17">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7" t="n">
        <v>336</v>
      </c>
      <c r="U4037" s="17" t="n">
        <v>37</v>
      </c>
      <c r="V4037" s="17">
        <f>ROUNDUP((T4037+U4037+2*'Read Me'!$B$13)*(1+'Read Me'!$B$12),-1)</f>
        <v/>
      </c>
      <c r="W4037" s="17">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7" t="n">
        <v>43</v>
      </c>
      <c r="U4038" s="17" t="n">
        <v>10</v>
      </c>
      <c r="V4038" s="17">
        <f>ROUNDUP((T4038+U4038+2*'Read Me'!$B$13)*(1+'Read Me'!$B$12),-1)</f>
        <v/>
      </c>
      <c r="W4038" s="17">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7" t="n">
        <v>336</v>
      </c>
      <c r="U4039" s="17" t="n">
        <v>37</v>
      </c>
      <c r="V4039" s="17">
        <f>ROUNDUP((T4039+U4039+2*'Read Me'!$B$13)*(1+'Read Me'!$B$12),-1)</f>
        <v/>
      </c>
      <c r="W4039" s="17">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7" t="n">
        <v>38</v>
      </c>
      <c r="U4040" s="17" t="n">
        <v>32</v>
      </c>
      <c r="V4040" s="17">
        <f>ROUNDUP((T4040+U4040+2*'Read Me'!$B$13)*(1+'Read Me'!$B$12),-1)</f>
        <v/>
      </c>
      <c r="W4040" s="17">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7" t="n">
        <v>336</v>
      </c>
      <c r="U4041" s="17" t="n">
        <v>32</v>
      </c>
      <c r="V4041" s="17">
        <f>ROUNDUP((T4041+U4041+2*'Read Me'!$B$13)*(1+'Read Me'!$B$12),-1)</f>
        <v/>
      </c>
      <c r="W4041" s="17">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7" t="n">
        <v>336</v>
      </c>
      <c r="U4042" s="17" t="n">
        <v>32</v>
      </c>
      <c r="V4042" s="17">
        <f>ROUNDUP((T4042+U4042+2*'Read Me'!$B$13)*(1+'Read Me'!$B$12),-1)</f>
        <v/>
      </c>
      <c r="W4042" s="17">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7" t="n">
        <v>336</v>
      </c>
      <c r="U4043" s="17" t="n">
        <v>32</v>
      </c>
      <c r="V4043" s="17">
        <f>ROUNDUP((T4043+U4043+2*'Read Me'!$B$13)*(1+'Read Me'!$B$12),-1)</f>
        <v/>
      </c>
      <c r="W4043" s="17">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7" t="n">
        <v>336</v>
      </c>
      <c r="U4044" s="17" t="n">
        <v>32</v>
      </c>
      <c r="V4044" s="17">
        <f>ROUNDUP((T4044+U4044+2*'Read Me'!$B$13)*(1+'Read Me'!$B$12),-1)</f>
        <v/>
      </c>
      <c r="W4044" s="17">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7" t="n">
        <v>10</v>
      </c>
      <c r="U4045" s="17" t="n">
        <v>150</v>
      </c>
      <c r="V4045" s="17">
        <f>ROUNDUP((T4045+U4045+2*'Read Me'!$B$13)*(1+'Read Me'!$B$12),-1)</f>
        <v/>
      </c>
      <c r="W4045" s="17">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7" t="n">
        <v>0</v>
      </c>
      <c r="U4046" s="17" t="n">
        <v>160</v>
      </c>
      <c r="V4046" s="17">
        <f>ROUNDUP((T4046+U4046+2*'Read Me'!$B$13)*(1+'Read Me'!$B$12),-1)</f>
        <v/>
      </c>
      <c r="W4046" s="17">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7" t="n">
        <v>0</v>
      </c>
      <c r="U4047" s="17" t="n">
        <v>200</v>
      </c>
      <c r="V4047" s="17">
        <f>ROUNDUP((T4047+U4047+2*'Read Me'!$B$13)*(1+'Read Me'!$B$12),-1)</f>
        <v/>
      </c>
      <c r="W4047" s="17">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7" t="n">
        <v>0</v>
      </c>
      <c r="U4048" s="17" t="n">
        <v>200</v>
      </c>
      <c r="V4048" s="17">
        <f>ROUNDUP((T4048+U4048+2*'Read Me'!$B$13)*(1+'Read Me'!$B$12),-1)</f>
        <v/>
      </c>
      <c r="W4048" s="17">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7" t="n">
        <v>0</v>
      </c>
      <c r="U4049" s="17" t="n">
        <v>168</v>
      </c>
      <c r="V4049" s="17">
        <f>ROUNDUP((T4049+U4049+2*'Read Me'!$B$13)*(1+'Read Me'!$B$12),-1)</f>
        <v/>
      </c>
      <c r="W4049" s="17">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7" t="n">
        <v>0</v>
      </c>
      <c r="U4050" s="17" t="n">
        <v>168</v>
      </c>
      <c r="V4050" s="17">
        <f>ROUNDUP((T4050+U4050+2*'Read Me'!$B$13)*(1+'Read Me'!$B$12),-1)</f>
        <v/>
      </c>
      <c r="W4050" s="17">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7" t="n">
        <v>10</v>
      </c>
      <c r="U4051" s="17" t="n">
        <v>266</v>
      </c>
      <c r="V4051" s="17">
        <f>ROUNDUP((T4051+U4051+2*'Read Me'!$B$13)*(1+'Read Me'!$B$12),-1)</f>
        <v/>
      </c>
      <c r="W4051" s="17">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7" t="n">
        <v>0</v>
      </c>
      <c r="U4052" s="17" t="n">
        <v>276</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7" t="n">
        <v>0</v>
      </c>
      <c r="U4053" s="17" t="n">
        <v>316</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7" t="n">
        <v>0</v>
      </c>
      <c r="U4054" s="17" t="n">
        <v>316</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7" t="n">
        <v>0</v>
      </c>
      <c r="U4055" s="17" t="n">
        <v>284</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Tray</t>
        </is>
      </c>
      <c r="T4056" s="17" t="n">
        <v>0</v>
      </c>
      <c r="U4056" s="17" t="n">
        <v>284</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7" t="n">
        <v>0</v>
      </c>
      <c r="U4057" s="17" t="n">
        <v>290</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7" t="n">
        <v>0</v>
      </c>
      <c r="U4058" s="17" t="n">
        <v>290</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7" t="n">
        <v>0</v>
      </c>
      <c r="U4059" s="17" t="n">
        <v>290</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7" t="n">
        <v>0</v>
      </c>
      <c r="U4060" s="17" t="n">
        <v>290</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7" t="n">
        <v>0</v>
      </c>
      <c r="U4061" s="17" t="n">
        <v>290</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7" t="n">
        <v>0</v>
      </c>
      <c r="U4062" s="17" t="n">
        <v>290</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7" t="n">
        <v>0</v>
      </c>
      <c r="U4063" s="17" t="n">
        <v>174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7" t="n">
        <v>0</v>
      </c>
      <c r="U4064" s="17" t="n">
        <v>174</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7" t="n">
        <v>0</v>
      </c>
      <c r="U4065" s="17" t="n">
        <v>174</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7" t="n">
        <v>0</v>
      </c>
      <c r="U4066" s="17" t="n">
        <v>174</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7" t="n">
        <v>0</v>
      </c>
      <c r="U4067" s="17" t="n">
        <v>174</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7" t="n">
        <v>0</v>
      </c>
      <c r="U4068" s="17" t="n">
        <v>174</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7" t="n">
        <v>0</v>
      </c>
      <c r="U4069" s="17" t="n">
        <v>62</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7" t="n">
        <v>0</v>
      </c>
      <c r="U4070" s="17" t="n">
        <v>62</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7" t="n">
        <v>0</v>
      </c>
      <c r="U4071" s="17" t="n">
        <v>62</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7" t="n">
        <v>0</v>
      </c>
      <c r="U4072" s="17" t="n">
        <v>62</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7" t="n">
        <v>0</v>
      </c>
      <c r="U4073" s="17" t="n">
        <v>62</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7" t="n">
        <v>0</v>
      </c>
      <c r="U4074" s="17" t="n">
        <v>62</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7" t="n">
        <v>53</v>
      </c>
      <c r="U4075" s="17" t="n">
        <v>10</v>
      </c>
      <c r="V4075" s="17">
        <f>ROUNDUP((T4075+U4075+2*'Read Me'!$B$13)*(1+'Read Me'!$B$12),-1)</f>
        <v/>
      </c>
      <c r="W4075" s="17">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7" t="n">
        <v>300</v>
      </c>
      <c r="U4076" s="17" t="n">
        <v>89</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7" t="n">
        <v>53</v>
      </c>
      <c r="U4077" s="17" t="n">
        <v>10</v>
      </c>
      <c r="V4077" s="17">
        <f>ROUNDUP((T4077+U4077+2*'Read Me'!$B$13)*(1+'Read Me'!$B$12),-1)</f>
        <v/>
      </c>
      <c r="W4077" s="17">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7" t="n">
        <v>160</v>
      </c>
      <c r="U4078" s="17" t="n">
        <v>169</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7" t="n">
        <v>53</v>
      </c>
      <c r="U4079" s="17" t="n">
        <v>10</v>
      </c>
      <c r="V4079" s="17">
        <f>ROUNDUP((T4079+U4079+2*'Read Me'!$B$13)*(1+'Read Me'!$B$12),-1)</f>
        <v/>
      </c>
      <c r="W4079" s="17">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7" t="n">
        <v>160</v>
      </c>
      <c r="U4080" s="17" t="n">
        <v>109</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7" t="n">
        <v>53</v>
      </c>
      <c r="U4081" s="17" t="n">
        <v>10</v>
      </c>
      <c r="V4081" s="17">
        <f>ROUNDUP((T4081+U4081+2*'Read Me'!$B$13)*(1+'Read Me'!$B$12),-1)</f>
        <v/>
      </c>
      <c r="W4081" s="17">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7" t="n">
        <v>70</v>
      </c>
      <c r="U4082" s="17" t="n">
        <v>139</v>
      </c>
      <c r="V4082" s="17">
        <f>ROUNDUP((T4082+U4082+2*'Read Me'!$B$13)*(1+'Read Me'!$B$12),-1)</f>
        <v/>
      </c>
      <c r="W4082" s="17">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7" t="n">
        <v>53</v>
      </c>
      <c r="U4083" s="17" t="n">
        <v>10</v>
      </c>
      <c r="V4083" s="17">
        <f>ROUNDUP((T4083+U4083+2*'Read Me'!$B$13)*(1+'Read Me'!$B$12),-1)</f>
        <v/>
      </c>
      <c r="W4083" s="17">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7" t="n">
        <v>30</v>
      </c>
      <c r="U4084" s="17" t="n">
        <v>93</v>
      </c>
      <c r="V4084" s="17">
        <f>ROUNDUP((T4084+U4084+2*'Read Me'!$B$13)*(1+'Read Me'!$B$12),-1)</f>
        <v/>
      </c>
      <c r="W4084" s="17">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7" t="n">
        <v>53</v>
      </c>
      <c r="U4085" s="17" t="n">
        <v>10</v>
      </c>
      <c r="V4085" s="17">
        <f>ROUNDUP((T4085+U4085+2*'Read Me'!$B$13)*(1+'Read Me'!$B$12),-1)</f>
        <v/>
      </c>
      <c r="W4085" s="17">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7" t="n">
        <v>0</v>
      </c>
      <c r="U4086" s="17" t="n">
        <v>83</v>
      </c>
      <c r="V4086" s="17">
        <f>ROUNDUP((T4086+U4086+2*'Read Me'!$B$13)*(1+'Read Me'!$B$12),-1)</f>
        <v/>
      </c>
      <c r="W4086" s="17">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7" t="n">
        <v>53</v>
      </c>
      <c r="U4087" s="17" t="n">
        <v>10</v>
      </c>
      <c r="V4087" s="17">
        <f>ROUNDUP((T4087+U4087+2*'Read Me'!$B$13)*(1+'Read Me'!$B$12),-1)</f>
        <v/>
      </c>
      <c r="W4087" s="17">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7" t="n">
        <v>300</v>
      </c>
      <c r="U4088" s="17" t="n">
        <v>147</v>
      </c>
      <c r="V4088" s="17">
        <f>ROUNDUP((T4088+U4088+2*'Read Me'!$B$13)*(1+'Read Me'!$B$12),-1)</f>
        <v/>
      </c>
      <c r="W4088" s="17">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7" t="n">
        <v>53</v>
      </c>
      <c r="U4089" s="17" t="n">
        <v>10</v>
      </c>
      <c r="V4089" s="17">
        <f>ROUNDUP((T4089+U4089+2*'Read Me'!$B$13)*(1+'Read Me'!$B$12),-1)</f>
        <v/>
      </c>
      <c r="W4089" s="17">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7" t="n">
        <v>160</v>
      </c>
      <c r="U4090" s="17" t="n">
        <v>227</v>
      </c>
      <c r="V4090" s="17">
        <f>ROUNDUP((T4090+U4090+2*'Read Me'!$B$13)*(1+'Read Me'!$B$12),-1)</f>
        <v/>
      </c>
      <c r="W4090" s="17">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7" t="n">
        <v>53</v>
      </c>
      <c r="U4091" s="17" t="n">
        <v>10</v>
      </c>
      <c r="V4091" s="17">
        <f>ROUNDUP((T4091+U4091+2*'Read Me'!$B$13)*(1+'Read Me'!$B$12),-1)</f>
        <v/>
      </c>
      <c r="W4091" s="17">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7" t="n">
        <v>160</v>
      </c>
      <c r="U4092" s="17" t="n">
        <v>167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7" t="n">
        <v>53</v>
      </c>
      <c r="U4093" s="17" t="n">
        <v>10</v>
      </c>
      <c r="V4093" s="17">
        <f>ROUNDUP((T4093+U4093+2*'Read Me'!$B$13)*(1+'Read Me'!$B$12),-1)</f>
        <v/>
      </c>
      <c r="W4093" s="17">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7" t="n">
        <v>30</v>
      </c>
      <c r="U4094" s="17" t="n">
        <v>211</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7" t="n">
        <v>53</v>
      </c>
      <c r="U4095" s="17" t="n">
        <v>10</v>
      </c>
      <c r="V4095" s="17">
        <f>ROUNDUP((T4095+U4095+2*'Read Me'!$B$13)*(1+'Read Me'!$B$12),-1)</f>
        <v/>
      </c>
      <c r="W4095" s="17">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7" t="n">
        <v>30</v>
      </c>
      <c r="U4096" s="17" t="n">
        <v>151</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7" t="n">
        <v>53</v>
      </c>
      <c r="U4097" s="17" t="n">
        <v>10</v>
      </c>
      <c r="V4097" s="17">
        <f>ROUNDUP((T4097+U4097+2*'Read Me'!$B$13)*(1+'Read Me'!$B$12),-1)</f>
        <v/>
      </c>
      <c r="W4097" s="17">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Tray</t>
        </is>
      </c>
      <c r="T4098" s="17" t="n">
        <v>0</v>
      </c>
      <c r="U4098" s="17" t="n">
        <v>141</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7" t="n">
        <v>53</v>
      </c>
      <c r="U4099" s="17" t="n">
        <v>10</v>
      </c>
      <c r="V4099" s="17">
        <f>ROUNDUP((T4099+U4099+2*'Read Me'!$B$13)*(1+'Read Me'!$B$12),-1)</f>
        <v/>
      </c>
      <c r="W4099" s="17">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7" t="n">
        <v>300</v>
      </c>
      <c r="U4100" s="17" t="n">
        <v>205</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7" t="n">
        <v>53</v>
      </c>
      <c r="U4101" s="17" t="n">
        <v>10</v>
      </c>
      <c r="V4101" s="17">
        <f>ROUNDUP((T4101+U4101+2*'Read Me'!$B$13)*(1+'Read Me'!$B$12),-1)</f>
        <v/>
      </c>
      <c r="W4101" s="17">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7" t="n">
        <v>300</v>
      </c>
      <c r="U4102" s="17" t="n">
        <v>205</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7" t="n">
        <v>53</v>
      </c>
      <c r="U4103" s="17" t="n">
        <v>10</v>
      </c>
      <c r="V4103" s="17">
        <f>ROUNDUP((T4103+U4103+2*'Read Me'!$B$13)*(1+'Read Me'!$B$12),-1)</f>
        <v/>
      </c>
      <c r="W4103" s="17">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7" t="n">
        <v>160</v>
      </c>
      <c r="U4104" s="17" t="n">
        <v>225</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7" t="n">
        <v>53</v>
      </c>
      <c r="U4105" s="17" t="n">
        <v>10</v>
      </c>
      <c r="V4105" s="17">
        <f>ROUNDUP((T4105+U4105+2*'Read Me'!$B$13)*(1+'Read Me'!$B$12),-1)</f>
        <v/>
      </c>
      <c r="W4105" s="17">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7" t="n">
        <v>160</v>
      </c>
      <c r="U4106" s="17" t="n">
        <v>225</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7" t="n">
        <v>53</v>
      </c>
      <c r="U4107" s="17" t="n">
        <v>10</v>
      </c>
      <c r="V4107" s="17">
        <f>ROUNDUP((T4107+U4107+2*'Read Me'!$B$13)*(1+'Read Me'!$B$12),-1)</f>
        <v/>
      </c>
      <c r="W4107" s="17">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7" t="n">
        <v>30</v>
      </c>
      <c r="U4108" s="17" t="n">
        <v>209</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7" t="n">
        <v>53</v>
      </c>
      <c r="U4109" s="17" t="n">
        <v>10</v>
      </c>
      <c r="V4109" s="17">
        <f>ROUNDUP((T4109+U4109+2*'Read Me'!$B$13)*(1+'Read Me'!$B$12),-1)</f>
        <v/>
      </c>
      <c r="W4109" s="17">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7" t="n">
        <v>336</v>
      </c>
      <c r="U4110" s="17" t="n">
        <v>173</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7" t="n">
        <v>53</v>
      </c>
      <c r="U4111" s="17" t="n">
        <v>10</v>
      </c>
      <c r="V4111" s="17">
        <f>ROUNDUP((T4111+U4111+2*'Read Me'!$B$13)*(1+'Read Me'!$B$12),-1)</f>
        <v/>
      </c>
      <c r="W4111" s="17">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7" t="n">
        <v>340</v>
      </c>
      <c r="U4112" s="17" t="n">
        <v>253</v>
      </c>
      <c r="V4112" s="17">
        <f>ROUNDUP((T4112+U4112+2*'Read Me'!$B$13)*(1+'Read Me'!$B$12),-1)</f>
        <v/>
      </c>
      <c r="W4112" s="17">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7" t="n">
        <v>53</v>
      </c>
      <c r="U4113" s="17" t="n">
        <v>10</v>
      </c>
      <c r="V4113" s="17">
        <f>ROUNDUP((T4113+U4113+2*'Read Me'!$B$13)*(1+'Read Me'!$B$12),-1)</f>
        <v/>
      </c>
      <c r="W4113" s="17">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7" t="n">
        <v>300</v>
      </c>
      <c r="U4114" s="17" t="n">
        <v>263</v>
      </c>
      <c r="V4114" s="17">
        <f>ROUNDUP((T4114+U4114+2*'Read Me'!$B$13)*(1+'Read Me'!$B$12),-1)</f>
        <v/>
      </c>
      <c r="W4114" s="17">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7" t="n">
        <v>53</v>
      </c>
      <c r="U4115" s="17" t="n">
        <v>10</v>
      </c>
      <c r="V4115" s="17">
        <f>ROUNDUP((T4115+U4115+2*'Read Me'!$B$13)*(1+'Read Me'!$B$12),-1)</f>
        <v/>
      </c>
      <c r="W4115" s="17">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7" t="n">
        <v>160</v>
      </c>
      <c r="U4116" s="17" t="n">
        <v>283</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7" t="n">
        <v>53</v>
      </c>
      <c r="U4117" s="17" t="n">
        <v>10</v>
      </c>
      <c r="V4117" s="17">
        <f>ROUNDUP((T4117+U4117+2*'Read Me'!$B$13)*(1+'Read Me'!$B$12),-1)</f>
        <v/>
      </c>
      <c r="W4117" s="17">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7" t="n">
        <v>160</v>
      </c>
      <c r="U4118" s="17" t="n">
        <v>283</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7" t="n">
        <v>53</v>
      </c>
      <c r="U4119" s="17" t="n">
        <v>10</v>
      </c>
      <c r="V4119" s="17">
        <f>ROUNDUP((T4119+U4119+2*'Read Me'!$B$13)*(1+'Read Me'!$B$12),-1)</f>
        <v/>
      </c>
      <c r="W4119" s="17">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7" t="n">
        <v>336</v>
      </c>
      <c r="U4120" s="17" t="n">
        <v>115</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7" t="n">
        <v>53</v>
      </c>
      <c r="U4121" s="17" t="n">
        <v>10</v>
      </c>
      <c r="V4121" s="17">
        <f>ROUNDUP((T4121+U4121+2*'Read Me'!$B$13)*(1+'Read Me'!$B$12),-1)</f>
        <v/>
      </c>
      <c r="W4121" s="17">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7" t="n">
        <v>336</v>
      </c>
      <c r="U4122" s="17" t="n">
        <v>115</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7" t="n">
        <v>53</v>
      </c>
      <c r="U4123" s="17" t="n">
        <v>10</v>
      </c>
      <c r="V4123" s="17">
        <f>ROUNDUP((T4123+U4123+2*'Read Me'!$B$13)*(1+'Read Me'!$B$12),-1)</f>
        <v/>
      </c>
      <c r="W4123" s="17">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7" t="n">
        <v>602</v>
      </c>
      <c r="U4124" s="17" t="n">
        <v>57</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7" t="n">
        <v>53</v>
      </c>
      <c r="U4125" s="17" t="n">
        <v>10</v>
      </c>
      <c r="V4125" s="17">
        <f>ROUNDUP((T4125+U4125+2*'Read Me'!$B$13)*(1+'Read Me'!$B$12),-1)</f>
        <v/>
      </c>
      <c r="W4125" s="17">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7" t="n">
        <v>482</v>
      </c>
      <c r="U4126" s="17" t="n">
        <v>117</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7" t="n">
        <v>53</v>
      </c>
      <c r="U4127" s="17" t="n">
        <v>10</v>
      </c>
      <c r="V4127" s="17">
        <f>ROUNDUP((T4127+U4127+2*'Read Me'!$B$13)*(1+'Read Me'!$B$12),-1)</f>
        <v/>
      </c>
      <c r="W4127" s="17">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7" t="n">
        <v>336</v>
      </c>
      <c r="U4128" s="17" t="n">
        <v>177</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7" t="n">
        <v>53</v>
      </c>
      <c r="U4129" s="17" t="n">
        <v>10</v>
      </c>
      <c r="V4129" s="17">
        <f>ROUNDUP((T4129+U4129+2*'Read Me'!$B$13)*(1+'Read Me'!$B$12),-1)</f>
        <v/>
      </c>
      <c r="W4129" s="17">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7" t="n">
        <v>336</v>
      </c>
      <c r="U4130" s="17" t="n">
        <v>117</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7" t="n">
        <v>53</v>
      </c>
      <c r="U4131" s="17" t="n">
        <v>10</v>
      </c>
      <c r="V4131" s="17">
        <f>ROUNDUP((T4131+U4131+2*'Read Me'!$B$13)*(1+'Read Me'!$B$12),-1)</f>
        <v/>
      </c>
      <c r="W4131" s="17">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7" t="n">
        <v>336</v>
      </c>
      <c r="U4132" s="17" t="n">
        <v>57</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7" t="n">
        <v>53</v>
      </c>
      <c r="U4133" s="17" t="n">
        <v>10</v>
      </c>
      <c r="V4133" s="17">
        <f>ROUNDUP((T4133+U4133+2*'Read Me'!$B$13)*(1+'Read Me'!$B$12),-1)</f>
        <v/>
      </c>
      <c r="W4133" s="17">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7" t="n">
        <v>336</v>
      </c>
      <c r="U4134" s="17" t="n">
        <v>57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7" t="n">
        <v>77</v>
      </c>
      <c r="U4135" s="17" t="n">
        <v>10</v>
      </c>
      <c r="V4135" s="17">
        <f>ROUNDUP((T4135+U4135+2*'Read Me'!$B$13)*(1+'Read Me'!$B$12),-1)</f>
        <v/>
      </c>
      <c r="W4135" s="17">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7" t="n">
        <v>162</v>
      </c>
      <c r="U4136" s="17" t="n">
        <v>32</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7" t="n">
        <v>77</v>
      </c>
      <c r="U4137" s="17" t="n">
        <v>10</v>
      </c>
      <c r="V4137" s="17">
        <f>ROUNDUP((T4137+U4137+2*'Read Me'!$B$13)*(1+'Read Me'!$B$12),-1)</f>
        <v/>
      </c>
      <c r="W4137" s="17">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7" t="n">
        <v>162</v>
      </c>
      <c r="U4138" s="17" t="n">
        <v>32</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7" t="n">
        <v>280</v>
      </c>
      <c r="U4139" s="17" t="n">
        <v>87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7" t="n">
        <v>30</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7" t="n">
        <v>0</v>
      </c>
      <c r="U4141" s="17" t="n">
        <v>70</v>
      </c>
      <c r="V4141" s="17">
        <f>ROUNDUP((T4141+U4141+2*'Read Me'!$B$13)*(1+'Read Me'!$B$12),-1)</f>
        <v/>
      </c>
      <c r="W4141" s="17">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7" t="n">
        <v>318</v>
      </c>
      <c r="U4142" s="17" t="n">
        <v>103</v>
      </c>
      <c r="V4142" s="17">
        <f>ROUNDUP((T4142+U4142+2*'Read Me'!$B$13)*(1+'Read Me'!$B$12),-1)</f>
        <v/>
      </c>
      <c r="W4142" s="17">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7" t="n">
        <v>318</v>
      </c>
      <c r="U4143" s="17" t="n">
        <v>103</v>
      </c>
      <c r="V4143" s="17">
        <f>ROUNDUP((T4143+U4143+2*'Read Me'!$B$13)*(1+'Read Me'!$B$12),-1)</f>
        <v/>
      </c>
      <c r="W4143" s="17">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7" t="n">
        <v>178</v>
      </c>
      <c r="U4144" s="17" t="n">
        <v>123</v>
      </c>
      <c r="V4144" s="17">
        <f>ROUNDUP((T4144+U4144+2*'Read Me'!$B$13)*(1+'Read Me'!$B$12),-1)</f>
        <v/>
      </c>
      <c r="W4144" s="17">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7" t="n">
        <v>178</v>
      </c>
      <c r="U4145" s="17" t="n">
        <v>123</v>
      </c>
      <c r="V4145" s="17">
        <f>ROUNDUP((T4145+U4145+2*'Read Me'!$B$13)*(1+'Read Me'!$B$12),-1)</f>
        <v/>
      </c>
      <c r="W4145" s="17">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7" t="n">
        <v>74</v>
      </c>
      <c r="U4146" s="17" t="n">
        <v>107</v>
      </c>
      <c r="V4146" s="17">
        <f>ROUNDUP((T4146+U4146+2*'Read Me'!$B$13)*(1+'Read Me'!$B$12),-1)</f>
        <v/>
      </c>
      <c r="W4146" s="17">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7" t="n">
        <v>74</v>
      </c>
      <c r="U4147" s="17" t="n">
        <v>107</v>
      </c>
      <c r="V4147" s="17">
        <f>ROUNDUP((T4147+U4147+2*'Read Me'!$B$13)*(1+'Read Me'!$B$12),-1)</f>
        <v/>
      </c>
      <c r="W4147" s="17">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7" t="n">
        <v>318</v>
      </c>
      <c r="U4148" s="17" t="n">
        <v>161</v>
      </c>
      <c r="V4148" s="17">
        <f>ROUNDUP((T4148+U4148+2*'Read Me'!$B$13)*(1+'Read Me'!$B$12),-1)</f>
        <v/>
      </c>
      <c r="W4148" s="17">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7" t="n">
        <v>318</v>
      </c>
      <c r="U4149" s="17" t="n">
        <v>161</v>
      </c>
      <c r="V4149" s="17">
        <f>ROUNDUP((T4149+U4149+2*'Read Me'!$B$13)*(1+'Read Me'!$B$12),-1)</f>
        <v/>
      </c>
      <c r="W4149" s="17">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7" t="n">
        <v>178</v>
      </c>
      <c r="U4150" s="17" t="n">
        <v>181</v>
      </c>
      <c r="V4150" s="17">
        <f>ROUNDUP((T4150+U4150+2*'Read Me'!$B$13)*(1+'Read Me'!$B$12),-1)</f>
        <v/>
      </c>
      <c r="W4150" s="17">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7" t="n">
        <v>178</v>
      </c>
      <c r="U4151" s="17" t="n">
        <v>181</v>
      </c>
      <c r="V4151" s="17">
        <f>ROUNDUP((T4151+U4151+2*'Read Me'!$B$13)*(1+'Read Me'!$B$12),-1)</f>
        <v/>
      </c>
      <c r="W4151" s="17">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7" t="n">
        <v>74</v>
      </c>
      <c r="U4152" s="17" t="n">
        <v>165</v>
      </c>
      <c r="V4152" s="17">
        <f>ROUNDUP((T4152+U4152+2*'Read Me'!$B$13)*(1+'Read Me'!$B$12),-1)</f>
        <v/>
      </c>
      <c r="W4152" s="17">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7" t="n">
        <v>74</v>
      </c>
      <c r="U4153" s="17" t="n">
        <v>165</v>
      </c>
      <c r="V4153" s="17">
        <f>ROUNDUP((T4153+U4153+2*'Read Me'!$B$13)*(1+'Read Me'!$B$12),-1)</f>
        <v/>
      </c>
      <c r="W4153" s="17">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7" t="n">
        <v>318</v>
      </c>
      <c r="U4154" s="17" t="n">
        <v>219</v>
      </c>
      <c r="V4154" s="17">
        <f>ROUNDUP((T4154+U4154+2*'Read Me'!$B$13)*(1+'Read Me'!$B$12),-1)</f>
        <v/>
      </c>
      <c r="W4154" s="17">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7" t="n">
        <v>318</v>
      </c>
      <c r="U4155" s="17" t="n">
        <v>219</v>
      </c>
      <c r="V4155" s="17">
        <f>ROUNDUP((T4155+U4155+2*'Read Me'!$B$13)*(1+'Read Me'!$B$12),-1)</f>
        <v/>
      </c>
      <c r="W4155" s="17">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7" t="n">
        <v>178</v>
      </c>
      <c r="U4156" s="17" t="n">
        <v>239</v>
      </c>
      <c r="V4156" s="17">
        <f>ROUNDUP((T4156+U4156+2*'Read Me'!$B$13)*(1+'Read Me'!$B$12),-1)</f>
        <v/>
      </c>
      <c r="W4156" s="17">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7" t="n">
        <v>178</v>
      </c>
      <c r="U4157" s="17" t="n">
        <v>239</v>
      </c>
      <c r="V4157" s="17">
        <f>ROUNDUP((T4157+U4157+2*'Read Me'!$B$13)*(1+'Read Me'!$B$12),-1)</f>
        <v/>
      </c>
      <c r="W4157" s="17">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7" t="n">
        <v>380</v>
      </c>
      <c r="U4158" s="17" t="n">
        <v>149</v>
      </c>
      <c r="V4158" s="17">
        <f>ROUNDUP((T4158+U4158+2*'Read Me'!$B$13)*(1+'Read Me'!$B$12),-1)</f>
        <v/>
      </c>
      <c r="W4158" s="17">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7" t="n">
        <v>380</v>
      </c>
      <c r="U4159" s="17" t="n">
        <v>149</v>
      </c>
      <c r="V4159" s="17">
        <f>ROUNDUP((T4159+U4159+2*'Read Me'!$B$13)*(1+'Read Me'!$B$12),-1)</f>
        <v/>
      </c>
      <c r="W4159" s="17">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7" t="n">
        <v>620</v>
      </c>
      <c r="U4160" s="17" t="n">
        <v>91</v>
      </c>
      <c r="V4160" s="17">
        <f>ROUNDUP((T4160+U4160+2*'Read Me'!$B$13)*(1+'Read Me'!$B$12),-1)</f>
        <v/>
      </c>
      <c r="W4160" s="17">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7" t="n">
        <v>620</v>
      </c>
      <c r="U4161" s="17" t="n">
        <v>91</v>
      </c>
      <c r="V4161" s="17">
        <f>ROUNDUP((T4161+U4161+2*'Read Me'!$B$13)*(1+'Read Me'!$B$12),-1)</f>
        <v/>
      </c>
      <c r="W4161" s="17">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7" t="n">
        <v>500</v>
      </c>
      <c r="U4162" s="17" t="n">
        <v>91</v>
      </c>
      <c r="V4162" s="17">
        <f>ROUNDUP((T4162+U4162+2*'Read Me'!$B$13)*(1+'Read Me'!$B$12),-1)</f>
        <v/>
      </c>
      <c r="W4162" s="17">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7" t="n">
        <v>500</v>
      </c>
      <c r="U4163" s="17" t="n">
        <v>91</v>
      </c>
      <c r="V4163" s="17">
        <f>ROUNDUP((T4163+U4163+2*'Read Me'!$B$13)*(1+'Read Me'!$B$12),-1)</f>
        <v/>
      </c>
      <c r="W4163" s="17">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7" t="n">
        <v>380</v>
      </c>
      <c r="U4164" s="17" t="n">
        <v>91</v>
      </c>
      <c r="V4164" s="17">
        <f>ROUNDUP((T4164+U4164+2*'Read Me'!$B$13)*(1+'Read Me'!$B$12),-1)</f>
        <v/>
      </c>
      <c r="W4164" s="17">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7" t="n">
        <v>380</v>
      </c>
      <c r="U4165" s="17" t="n">
        <v>91</v>
      </c>
      <c r="V4165" s="17">
        <f>ROUNDUP((T4165+U4165+2*'Read Me'!$B$13)*(1+'Read Me'!$B$12),-1)</f>
        <v/>
      </c>
      <c r="W4165" s="17">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7" t="n">
        <v>620</v>
      </c>
      <c r="U4166" s="17" t="n">
        <v>37</v>
      </c>
      <c r="V4166" s="17">
        <f>ROUNDUP((T4166+U4166+2*'Read Me'!$B$13)*(1+'Read Me'!$B$12),-1)</f>
        <v/>
      </c>
      <c r="W4166" s="17">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7" t="n">
        <v>620</v>
      </c>
      <c r="U4167" s="17" t="n">
        <v>37</v>
      </c>
      <c r="V4167" s="17">
        <f>ROUNDUP((T4167+U4167+2*'Read Me'!$B$13)*(1+'Read Me'!$B$12),-1)</f>
        <v/>
      </c>
      <c r="W4167" s="17">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7" t="n">
        <v>500</v>
      </c>
      <c r="U4168" s="17" t="n">
        <v>37</v>
      </c>
      <c r="V4168" s="17">
        <f>ROUNDUP((T4168+U4168+2*'Read Me'!$B$13)*(1+'Read Me'!$B$12),-1)</f>
        <v/>
      </c>
      <c r="W4168" s="17">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7" t="n">
        <v>500</v>
      </c>
      <c r="U4169" s="17" t="n">
        <v>37</v>
      </c>
      <c r="V4169" s="17">
        <f>ROUNDUP((T4169+U4169+2*'Read Me'!$B$13)*(1+'Read Me'!$B$12),-1)</f>
        <v/>
      </c>
      <c r="W4169" s="17">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7" t="n">
        <v>380</v>
      </c>
      <c r="U4170" s="17" t="n">
        <v>37</v>
      </c>
      <c r="V4170" s="17">
        <f>ROUNDUP((T4170+U4170+2*'Read Me'!$B$13)*(1+'Read Me'!$B$12),-1)</f>
        <v/>
      </c>
      <c r="W4170" s="17">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7" t="n">
        <v>380</v>
      </c>
      <c r="U4171" s="17" t="n">
        <v>37</v>
      </c>
      <c r="V4171" s="17">
        <f>ROUNDUP((T4171+U4171+2*'Read Me'!$B$13)*(1+'Read Me'!$B$12),-1)</f>
        <v/>
      </c>
      <c r="W4171" s="17">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7" t="n">
        <v>10</v>
      </c>
      <c r="U4172" s="17" t="n">
        <v>150</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7" t="n">
        <v>0</v>
      </c>
      <c r="U4173" s="17" t="n">
        <v>160</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7" t="n">
        <v>0</v>
      </c>
      <c r="U4174" s="17" t="n">
        <v>200</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7" t="n">
        <v>0</v>
      </c>
      <c r="U4175" s="17" t="n">
        <v>200</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7" t="n">
        <v>0</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7" t="n">
        <v>0</v>
      </c>
      <c r="U4177" s="17" t="n">
        <v>168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7" t="n">
        <v>10</v>
      </c>
      <c r="U4178" s="17" t="n">
        <v>266</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7" t="n">
        <v>0</v>
      </c>
      <c r="U4179" s="17" t="n">
        <v>276</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7" t="n">
        <v>0</v>
      </c>
      <c r="U4180" s="17" t="n">
        <v>316</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7" t="n">
        <v>0</v>
      </c>
      <c r="U4181" s="17" t="n">
        <v>316</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7" t="n">
        <v>0</v>
      </c>
      <c r="U4182" s="17" t="n">
        <v>284</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Tray</t>
        </is>
      </c>
      <c r="T4183" s="17" t="n">
        <v>0</v>
      </c>
      <c r="U4183" s="17" t="n">
        <v>284</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7" t="n">
        <v>0</v>
      </c>
      <c r="U4184" s="17" t="n">
        <v>290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7" t="n">
        <v>0</v>
      </c>
      <c r="U4185" s="17" t="n">
        <v>290</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7" t="n">
        <v>0</v>
      </c>
      <c r="U4186" s="17" t="n">
        <v>290</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7" t="n">
        <v>0</v>
      </c>
      <c r="U4187" s="17" t="n">
        <v>290</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7" t="n">
        <v>0</v>
      </c>
      <c r="U4188" s="17" t="n">
        <v>290</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7" t="n">
        <v>0</v>
      </c>
      <c r="U4189" s="17" t="n">
        <v>290</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7" t="n">
        <v>0</v>
      </c>
      <c r="U4190" s="17" t="n">
        <v>174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7" t="n">
        <v>0</v>
      </c>
      <c r="U4191" s="17" t="n">
        <v>174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7" t="n">
        <v>0</v>
      </c>
      <c r="U4192" s="17" t="n">
        <v>174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7" t="n">
        <v>0</v>
      </c>
      <c r="U4193" s="17" t="n">
        <v>174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7" t="n">
        <v>0</v>
      </c>
      <c r="U4194" s="17" t="n">
        <v>174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7" t="n">
        <v>0</v>
      </c>
      <c r="U4195" s="17" t="n">
        <v>174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7" t="n">
        <v>0</v>
      </c>
      <c r="U4196" s="17" t="n">
        <v>62</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7" t="n">
        <v>0</v>
      </c>
      <c r="U4197" s="17" t="n">
        <v>62</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7" t="n">
        <v>0</v>
      </c>
      <c r="U4198" s="17" t="n">
        <v>62</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7" t="n">
        <v>0</v>
      </c>
      <c r="U4199" s="17" t="n">
        <v>62</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7" t="n">
        <v>0</v>
      </c>
      <c r="U4200" s="17" t="n">
        <v>62</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7" t="n">
        <v>0</v>
      </c>
      <c r="U4201" s="17" t="n">
        <v>62</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7" t="n">
        <v>180</v>
      </c>
      <c r="U4202" s="17" t="n">
        <v>32</v>
      </c>
      <c r="V4202" s="17">
        <f>ROUNDUP((T4202+U4202+2*'Read Me'!$B$13)*(1+'Read Me'!$B$12),-1)</f>
        <v/>
      </c>
      <c r="W4202" s="17">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7" t="n">
        <v>180</v>
      </c>
      <c r="U4203" s="17" t="n">
        <v>32</v>
      </c>
      <c r="V4203" s="17">
        <f>ROUNDUP((T4203+U4203+2*'Read Me'!$B$13)*(1+'Read Me'!$B$12),-1)</f>
        <v/>
      </c>
      <c r="W4203" s="17">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7" t="n">
        <v>180</v>
      </c>
      <c r="U4204" s="17" t="n">
        <v>32</v>
      </c>
      <c r="V4204" s="17">
        <f>ROUNDUP((T4204+U4204+2*'Read Me'!$B$13)*(1+'Read Me'!$B$12),-1)</f>
        <v/>
      </c>
      <c r="W4204" s="17">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7" t="n">
        <v>180</v>
      </c>
      <c r="U4205" s="17" t="n">
        <v>32</v>
      </c>
      <c r="V4205" s="17">
        <f>ROUNDUP((T4205+U4205+2*'Read Me'!$B$13)*(1+'Read Me'!$B$12),-1)</f>
        <v/>
      </c>
      <c r="W4205" s="17">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7" t="n">
        <v>180</v>
      </c>
      <c r="U4206" s="17" t="n">
        <v>32</v>
      </c>
      <c r="V4206" s="17">
        <f>ROUNDUP((T4206+U4206+2*'Read Me'!$B$13)*(1+'Read Me'!$B$12),-1)</f>
        <v/>
      </c>
      <c r="W4206" s="17">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7" t="n">
        <v>180</v>
      </c>
      <c r="U4207" s="17" t="n">
        <v>32</v>
      </c>
      <c r="V4207" s="17">
        <f>ROUNDUP((T4207+U4207+2*'Read Me'!$B$13)*(1+'Read Me'!$B$12),-1)</f>
        <v/>
      </c>
      <c r="W4207" s="17">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7" t="n">
        <v>900</v>
      </c>
      <c r="U4208" s="17" t="n">
        <v>30</v>
      </c>
      <c r="V4208" s="17">
        <f>ROUNDUP((T4208+U4208+2*'Read Me'!$B$13)*(1+'Read Me'!$B$12),-1)</f>
        <v/>
      </c>
      <c r="W4208" s="17">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7" t="n">
        <v>900</v>
      </c>
      <c r="U4209" s="17" t="n">
        <v>30</v>
      </c>
      <c r="V4209" s="17">
        <f>ROUNDUP((T4209+U4209+2*'Read Me'!$B$13)*(1+'Read Me'!$B$12),-1)</f>
        <v/>
      </c>
      <c r="W4209" s="17">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7" t="n">
        <v>900</v>
      </c>
      <c r="U4210" s="17" t="n">
        <v>30</v>
      </c>
      <c r="V4210" s="17">
        <f>ROUNDUP((T4210+U4210+2*'Read Me'!$B$13)*(1+'Read Me'!$B$12),-1)</f>
        <v/>
      </c>
      <c r="W4210" s="17">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7" t="n">
        <v>556</v>
      </c>
      <c r="U4211" s="17" t="n">
        <v>37</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7" t="n">
        <v>436</v>
      </c>
      <c r="U4212" s="17" t="n">
        <v>37</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7" t="n">
        <v>350</v>
      </c>
      <c r="U4213" s="17" t="n">
        <v>42</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7" t="n">
        <v>254</v>
      </c>
      <c r="U4214" s="17" t="n">
        <v>103</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7" t="n">
        <v>0</v>
      </c>
      <c r="U4215" s="17" t="n">
        <v>232</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7" t="n">
        <v>0</v>
      </c>
      <c r="U4216" s="17" t="n">
        <v>348</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7" t="n">
        <v>0</v>
      </c>
      <c r="U4217" s="17" t="n">
        <v>208</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7" t="n">
        <v>0</v>
      </c>
      <c r="U4218" s="17" t="n">
        <v>96</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7" t="n">
        <v>35</v>
      </c>
      <c r="U4219" s="17" t="n">
        <v>185</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7" t="n">
        <v>0</v>
      </c>
      <c r="U4220" s="17" t="n">
        <v>272</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7" t="n">
        <v>0</v>
      </c>
      <c r="U4221" s="17" t="n">
        <v>388</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7" t="n">
        <v>0</v>
      </c>
      <c r="U4222" s="17" t="n">
        <v>208</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7" t="n">
        <v>0</v>
      </c>
      <c r="U4223" s="17" t="n">
        <v>96</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7" t="n">
        <v>24</v>
      </c>
      <c r="U4224" s="17" t="n">
        <v>123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7" t="n">
        <v>0</v>
      </c>
      <c r="U4225" s="17" t="n">
        <v>240</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7" t="n">
        <v>306</v>
      </c>
      <c r="U4226" s="17" t="n">
        <v>282</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7" t="n">
        <v>0</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7" t="n">
        <v>0</v>
      </c>
      <c r="U4228" s="17" t="n">
        <v>96</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7" t="n">
        <v>35</v>
      </c>
      <c r="U4229" s="17" t="n">
        <v>32</v>
      </c>
      <c r="V4229" s="17">
        <f>ROUNDUP((T4229+U4229+2*'Read Me'!$B$13)*(1+'Read Me'!$B$12),-1)</f>
        <v/>
      </c>
      <c r="W4229" s="17">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7" t="n">
        <v>234</v>
      </c>
      <c r="U4230" s="17" t="n">
        <v>87</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7" t="n">
        <v>10560</v>
      </c>
      <c r="U4231" s="17" t="n">
        <v>0</v>
      </c>
      <c r="V4231" s="17">
        <f>ROUNDUP((T4231+U4231+2*'Read Me'!$B$13)*(1+'Read Me'!$B$12),-1)</f>
        <v/>
      </c>
      <c r="W4231" s="17">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7" t="n">
        <v>2560</v>
      </c>
      <c r="U4232" s="17" t="n">
        <v>0</v>
      </c>
      <c r="V4232" s="17">
        <f>ROUNDUP((T4232+U4232+2*'Read Me'!$B$13)*(1+'Read Me'!$B$12),-1)</f>
        <v/>
      </c>
      <c r="W4232" s="17">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7" t="n">
        <v>5120</v>
      </c>
      <c r="U4233" s="17" t="n">
        <v>0</v>
      </c>
      <c r="V4233" s="17">
        <f>ROUNDUP((T4233+U4233+2*'Read Me'!$B$13)*(1+'Read Me'!$B$12),-1)</f>
        <v/>
      </c>
      <c r="W4233" s="17">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7" t="n">
        <v>256</v>
      </c>
      <c r="U4234" s="17" t="n">
        <v>0</v>
      </c>
      <c r="V4234" s="17">
        <f>ROUNDUP((T4234+U4234+2*'Read Me'!$B$13)*(1+'Read Me'!$B$12),-1)</f>
        <v/>
      </c>
      <c r="W4234" s="17">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7" t="n">
        <v>0</v>
      </c>
      <c r="U4235" s="17" t="n">
        <v>98</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7" t="n">
        <v>0</v>
      </c>
      <c r="U4236" s="17" t="n">
        <v>98</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562</v>
      </c>
      <c r="U4237" s="17" t="n">
        <v>64</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Control</t>
        </is>
      </c>
      <c r="E4238" s="12" t="inlineStr"/>
      <c r="F4238" s="12" t="inlineStr">
        <is>
          <t>PCM: power control module</t>
        </is>
      </c>
      <c r="G4238" s="12" t="inlineStr"/>
      <c r="H4238" s="12" t="inlineStr">
        <is>
          <t>CONDITIONAL: BESS black-start alternative</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550</v>
      </c>
      <c r="U4238" s="17" t="n">
        <v>32</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Control</t>
        </is>
      </c>
      <c r="E4239" s="12" t="inlineStr"/>
      <c r="F4239" s="12" t="inlineStr">
        <is>
          <t>SC-1 PCM + 15 kV GCB</t>
        </is>
      </c>
      <c r="G4239" s="12" t="inlineStr"/>
      <c r="H4239" s="12" t="inlineStr">
        <is>
          <t>CONDITIONAL: SC-1 inlet chiller / evaporative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7" t="n">
        <v>0</v>
      </c>
      <c r="U4239" s="17" t="n">
        <v>114</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Control</t>
        </is>
      </c>
      <c r="E4240" s="12" t="inlineStr"/>
      <c r="F4240" s="12" t="inlineStr">
        <is>
          <t>SC-2 PCM + 15 kV GCB</t>
        </is>
      </c>
      <c r="G4240" s="12" t="inlineStr"/>
      <c r="H4240" s="12" t="inlineStr">
        <is>
          <t>CONDITIONAL: SC-2 inlet chiller / evaporative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75</v>
      </c>
      <c r="U4240" s="17" t="n">
        <v>32</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FC-5..12 inverter / AC cabinet / desulfurizer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7" t="n">
        <v>202</v>
      </c>
      <c r="U4241" s="17" t="n">
        <v>37</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Motor 1 of 6: control / local station</t>
        </is>
      </c>
      <c r="E4242" s="12" t="inlineStr"/>
      <c r="F4242" s="12" t="inlineStr">
        <is>
          <t>SC-2 PCM + 15 kV GCB</t>
        </is>
      </c>
      <c r="G4242" s="12" t="inlineStr"/>
      <c r="H4242" s="12" t="inlineStr">
        <is>
          <t>Fuel-gas compressors 3 x 100% electric</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Duct bank</t>
        </is>
      </c>
      <c r="T4242" s="17" t="n">
        <v>8</v>
      </c>
      <c r="U4242" s="17" t="n">
        <v>108</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Motor 2 of 6: control / local station</t>
        </is>
      </c>
      <c r="E4243" s="12" t="inlineStr"/>
      <c r="F4243" s="12" t="inlineStr">
        <is>
          <t>SC-2 PCM + 15 kV GCB</t>
        </is>
      </c>
      <c r="G4243" s="12" t="inlineStr"/>
      <c r="H4243" s="12" t="inlineStr">
        <is>
          <t>Fuel-gas compressors 3 x 100% electric</t>
        </is>
      </c>
      <c r="I4243" s="12" t="inlineStr">
        <is>
          <t>Control</t>
        </is>
      </c>
      <c r="J4243" s="12" t="inlineStr">
        <is>
          <t>ARMOR-X MC-HL 600 V control, Cu #14 AWG (Class I Div 2)</t>
        </is>
      </c>
      <c r="K4243" s="12" t="inlineStr">
        <is>
          <t>CTAX|7/C|14</t>
        </is>
      </c>
      <c r="L4243" s="12" t="inlineStr">
        <is>
          <t>7/C</t>
        </is>
      </c>
      <c r="M4243" s="12" t="inlineStr">
        <is>
          <t>14</t>
        </is>
      </c>
      <c r="N4243" s="12" t="n">
        <v>1</v>
      </c>
      <c r="O4243" s="12" t="n">
        <v>1</v>
      </c>
      <c r="P4243" s="12" t="n"/>
      <c r="Q4243" s="12" t="n"/>
      <c r="R4243" s="12" t="n"/>
      <c r="S4243" s="12" t="inlineStr">
        <is>
          <t>Duct bank</t>
        </is>
      </c>
      <c r="T4243" s="17" t="n">
        <v>8</v>
      </c>
      <c r="U4243" s="17" t="n">
        <v>108</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Motor 3 of 6: control / local station</t>
        </is>
      </c>
      <c r="E4244" s="12" t="inlineStr"/>
      <c r="F4244" s="12" t="inlineStr">
        <is>
          <t>SC-2 PCM + 15 kV GCB</t>
        </is>
      </c>
      <c r="G4244" s="12" t="inlineStr"/>
      <c r="H4244" s="12" t="inlineStr">
        <is>
          <t>Fuel-gas compressors 3 x 100% electric</t>
        </is>
      </c>
      <c r="I4244" s="12" t="inlineStr">
        <is>
          <t>Control</t>
        </is>
      </c>
      <c r="J4244" s="12" t="inlineStr">
        <is>
          <t>ARMOR-X MC-HL 600 V control, Cu #14 AWG (Class I Div 2)</t>
        </is>
      </c>
      <c r="K4244" s="12" t="inlineStr">
        <is>
          <t>CTAX|7/C|14</t>
        </is>
      </c>
      <c r="L4244" s="12" t="inlineStr">
        <is>
          <t>7/C</t>
        </is>
      </c>
      <c r="M4244" s="12" t="inlineStr">
        <is>
          <t>14</t>
        </is>
      </c>
      <c r="N4244" s="12" t="n">
        <v>1</v>
      </c>
      <c r="O4244" s="12" t="n">
        <v>1</v>
      </c>
      <c r="P4244" s="12" t="n"/>
      <c r="Q4244" s="12" t="n"/>
      <c r="R4244" s="12" t="n"/>
      <c r="S4244" s="12" t="inlineStr">
        <is>
          <t>Duct bank</t>
        </is>
      </c>
      <c r="T4244" s="17" t="n">
        <v>8</v>
      </c>
      <c r="U4244" s="17" t="n">
        <v>108</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Motor 4 of 6: control / local station</t>
        </is>
      </c>
      <c r="E4245" s="12" t="inlineStr"/>
      <c r="F4245" s="12" t="inlineStr">
        <is>
          <t>SC-2 PCM + 15 kV GCB</t>
        </is>
      </c>
      <c r="G4245" s="12" t="inlineStr"/>
      <c r="H4245" s="12" t="inlineStr">
        <is>
          <t>Fuel-gas compressors 3 x 100% electric</t>
        </is>
      </c>
      <c r="I4245" s="12" t="inlineStr">
        <is>
          <t>Control</t>
        </is>
      </c>
      <c r="J4245" s="12" t="inlineStr">
        <is>
          <t>ARMOR-X MC-HL 600 V control, Cu #14 AWG (Class I Div 2)</t>
        </is>
      </c>
      <c r="K4245" s="12" t="inlineStr">
        <is>
          <t>CTAX|7/C|14</t>
        </is>
      </c>
      <c r="L4245" s="12" t="inlineStr">
        <is>
          <t>7/C</t>
        </is>
      </c>
      <c r="M4245" s="12" t="inlineStr">
        <is>
          <t>14</t>
        </is>
      </c>
      <c r="N4245" s="12" t="n">
        <v>1</v>
      </c>
      <c r="O4245" s="12" t="n">
        <v>1</v>
      </c>
      <c r="P4245" s="12" t="n"/>
      <c r="Q4245" s="12" t="n"/>
      <c r="R4245" s="12" t="n"/>
      <c r="S4245" s="12" t="inlineStr">
        <is>
          <t>Duct bank</t>
        </is>
      </c>
      <c r="T4245" s="17" t="n">
        <v>8</v>
      </c>
      <c r="U4245" s="17" t="n">
        <v>108</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Motor 5 of 6: control / local station</t>
        </is>
      </c>
      <c r="E4246" s="12" t="inlineStr"/>
      <c r="F4246" s="12" t="inlineStr">
        <is>
          <t>SC-2 PCM + 15 kV GCB</t>
        </is>
      </c>
      <c r="G4246" s="12" t="inlineStr"/>
      <c r="H4246" s="12" t="inlineStr">
        <is>
          <t>Fuel-gas compressors 3 x 100% electric</t>
        </is>
      </c>
      <c r="I4246" s="12" t="inlineStr">
        <is>
          <t>Control</t>
        </is>
      </c>
      <c r="J4246" s="12" t="inlineStr">
        <is>
          <t>ARMOR-X MC-HL 600 V control, Cu #14 AWG (Class I Div 2)</t>
        </is>
      </c>
      <c r="K4246" s="12" t="inlineStr">
        <is>
          <t>CTAX|7/C|14</t>
        </is>
      </c>
      <c r="L4246" s="12" t="inlineStr">
        <is>
          <t>7/C</t>
        </is>
      </c>
      <c r="M4246" s="12" t="inlineStr">
        <is>
          <t>14</t>
        </is>
      </c>
      <c r="N4246" s="12" t="n">
        <v>1</v>
      </c>
      <c r="O4246" s="12" t="n">
        <v>1</v>
      </c>
      <c r="P4246" s="12" t="n"/>
      <c r="Q4246" s="12" t="n"/>
      <c r="R4246" s="12" t="n"/>
      <c r="S4246" s="12" t="inlineStr">
        <is>
          <t>Duct bank</t>
        </is>
      </c>
      <c r="T4246" s="17" t="n">
        <v>8</v>
      </c>
      <c r="U4246" s="17" t="n">
        <v>108</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Motor 6 of 6: control / local station</t>
        </is>
      </c>
      <c r="E4247" s="12" t="inlineStr"/>
      <c r="F4247" s="12" t="inlineStr">
        <is>
          <t>SC-2 PCM + 15 kV GCB</t>
        </is>
      </c>
      <c r="G4247" s="12" t="inlineStr"/>
      <c r="H4247" s="12" t="inlineStr">
        <is>
          <t>Fuel-gas compressors 3 x 100% electric</t>
        </is>
      </c>
      <c r="I4247" s="12" t="inlineStr">
        <is>
          <t>Control</t>
        </is>
      </c>
      <c r="J4247" s="12" t="inlineStr">
        <is>
          <t>ARMOR-X MC-HL 600 V control, Cu #14 AWG (Class I Div 2)</t>
        </is>
      </c>
      <c r="K4247" s="12" t="inlineStr">
        <is>
          <t>CTAX|7/C|14</t>
        </is>
      </c>
      <c r="L4247" s="12" t="inlineStr">
        <is>
          <t>7/C</t>
        </is>
      </c>
      <c r="M4247" s="12" t="inlineStr">
        <is>
          <t>14</t>
        </is>
      </c>
      <c r="N4247" s="12" t="n">
        <v>1</v>
      </c>
      <c r="O4247" s="12" t="n">
        <v>1</v>
      </c>
      <c r="P4247" s="12" t="n"/>
      <c r="Q4247" s="12" t="n"/>
      <c r="R4247" s="12" t="n"/>
      <c r="S4247" s="12" t="inlineStr">
        <is>
          <t>Duct bank</t>
        </is>
      </c>
      <c r="T4247" s="17" t="n">
        <v>8</v>
      </c>
      <c r="U4247" s="17" t="n">
        <v>108</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GB-1.1 control / sync / protection</t>
        </is>
      </c>
      <c r="E4248" s="12" t="inlineStr">
        <is>
          <t>GBS-1</t>
        </is>
      </c>
      <c r="F4248" s="12" t="inlineStr">
        <is>
          <t>GBS-1: block 1 480 V paralleling switchgear (4 gensets)</t>
        </is>
      </c>
      <c r="G4248" s="12" t="inlineStr">
        <is>
          <t>GB-1.1</t>
        </is>
      </c>
      <c r="H4248" s="12" t="inlineStr">
        <is>
          <t>GB-1.1: modular gas genset ~450 kW, 480 V (block 1)</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Riser</t>
        </is>
      </c>
      <c r="T4248" s="17" t="n">
        <v>6</v>
      </c>
      <c r="U4248" s="17" t="n">
        <v>27</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Control</t>
        </is>
      </c>
      <c r="E4249" s="12" t="inlineStr">
        <is>
          <t>PAD-EH</t>
        </is>
      </c>
      <c r="F4249" s="12" t="inlineStr">
        <is>
          <t>PAD-EH 13.8 kV switchgear e-house</t>
        </is>
      </c>
      <c r="G4249" s="12" t="inlineStr">
        <is>
          <t>GB-1.1</t>
        </is>
      </c>
      <c r="H4249" s="12" t="inlineStr">
        <is>
          <t>GB-1.1: modular gas genset ~450 kW, 480 V (block 1)</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Surface</t>
        </is>
      </c>
      <c r="T4249" s="17" t="n">
        <v>160</v>
      </c>
      <c r="U4249" s="17" t="n">
        <v>37</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GB-1.2 control / sync / protection</t>
        </is>
      </c>
      <c r="E4250" s="12" t="inlineStr">
        <is>
          <t>GBS-1</t>
        </is>
      </c>
      <c r="F4250" s="12" t="inlineStr">
        <is>
          <t>GBS-1: block 1 480 V paralleling switchgear (4 gensets)</t>
        </is>
      </c>
      <c r="G4250" s="12" t="inlineStr">
        <is>
          <t>GB-1.2</t>
        </is>
      </c>
      <c r="H4250" s="12" t="inlineStr">
        <is>
          <t>GB-1.2: modular gas genset ~450 kW, 480 V (block 1)</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Riser</t>
        </is>
      </c>
      <c r="T4250" s="17" t="n">
        <v>3</v>
      </c>
      <c r="U4250" s="17" t="n">
        <v>31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Control</t>
        </is>
      </c>
      <c r="E4251" s="12" t="inlineStr">
        <is>
          <t>PAD-EH</t>
        </is>
      </c>
      <c r="F4251" s="12" t="inlineStr">
        <is>
          <t>PAD-EH 13.8 kV switchgear e-house</t>
        </is>
      </c>
      <c r="G4251" s="12" t="inlineStr">
        <is>
          <t>GB-1.2</t>
        </is>
      </c>
      <c r="H4251" s="12" t="inlineStr">
        <is>
          <t>GB-1.2: modular gas genset ~450 kW, 480 V (block 1)</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Surface</t>
        </is>
      </c>
      <c r="T4251" s="17" t="n">
        <v>158</v>
      </c>
      <c r="U4251" s="17" t="n">
        <v>32</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GB-1.3 control / sync / protection</t>
        </is>
      </c>
      <c r="E4252" s="12" t="inlineStr">
        <is>
          <t>GBS-1</t>
        </is>
      </c>
      <c r="F4252" s="12" t="inlineStr">
        <is>
          <t>GBS-1: block 1 480 V paralleling switchgear (4 gensets)</t>
        </is>
      </c>
      <c r="G4252" s="12" t="inlineStr">
        <is>
          <t>GB-1.3</t>
        </is>
      </c>
      <c r="H4252" s="12" t="inlineStr">
        <is>
          <t>GB-1.3: modular gas genset ~450 kW, 480 V (block 1)</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7" t="n">
        <v>12</v>
      </c>
      <c r="U4252" s="17" t="n">
        <v>35</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Control</t>
        </is>
      </c>
      <c r="E4253" s="12" t="inlineStr">
        <is>
          <t>PAD-EH</t>
        </is>
      </c>
      <c r="F4253" s="12" t="inlineStr">
        <is>
          <t>PAD-EH 13.8 kV switchgear e-house</t>
        </is>
      </c>
      <c r="G4253" s="12" t="inlineStr">
        <is>
          <t>GB-1.3</t>
        </is>
      </c>
      <c r="H4253" s="12" t="inlineStr">
        <is>
          <t>GB-1.3: modular gas genset ~450 kW, 480 V (block 1)</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Surface</t>
        </is>
      </c>
      <c r="T4253" s="17" t="n">
        <v>145</v>
      </c>
      <c r="U4253" s="17" t="n">
        <v>35</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GB-1.4 control / sync / protection</t>
        </is>
      </c>
      <c r="E4254" s="12" t="inlineStr">
        <is>
          <t>GBS-1</t>
        </is>
      </c>
      <c r="F4254" s="12" t="inlineStr">
        <is>
          <t>GBS-1: block 1 480 V paralleling switchgear (4 gensets)</t>
        </is>
      </c>
      <c r="G4254" s="12" t="inlineStr">
        <is>
          <t>GB-1.4</t>
        </is>
      </c>
      <c r="H4254" s="12" t="inlineStr">
        <is>
          <t>GB-1.4: modular gas genset ~450 kW, 480 V (block 1)</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7" t="n">
        <v>15</v>
      </c>
      <c r="U4254" s="17" t="n">
        <v>39</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Control</t>
        </is>
      </c>
      <c r="E4255" s="12" t="inlineStr">
        <is>
          <t>PAD-EH</t>
        </is>
      </c>
      <c r="F4255" s="12" t="inlineStr">
        <is>
          <t>PAD-EH 13.8 kV switchgear e-house</t>
        </is>
      </c>
      <c r="G4255" s="12" t="inlineStr">
        <is>
          <t>GB-1.4</t>
        </is>
      </c>
      <c r="H4255" s="12" t="inlineStr">
        <is>
          <t>GB-1.4: modular gas genset ~450 kW, 480 V (block 1)</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Surface</t>
        </is>
      </c>
      <c r="T4255" s="17" t="n">
        <v>148</v>
      </c>
      <c r="U4255" s="17" t="n">
        <v>39</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GB-2.1 control / sync / protection</t>
        </is>
      </c>
      <c r="E4256" s="12" t="inlineStr">
        <is>
          <t>GBS-2</t>
        </is>
      </c>
      <c r="F4256" s="12" t="inlineStr">
        <is>
          <t>GBS-2: block 2 480 V paralleling switchgear (4 gensets)</t>
        </is>
      </c>
      <c r="G4256" s="12" t="inlineStr">
        <is>
          <t>GB-2.1</t>
        </is>
      </c>
      <c r="H4256" s="12" t="inlineStr">
        <is>
          <t>GB-2.1: modular gas genset ~450 kW, 480 V (block 2)</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Riser</t>
        </is>
      </c>
      <c r="T4256" s="17" t="n">
        <v>6</v>
      </c>
      <c r="U4256" s="17" t="n">
        <v>27</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Control</t>
        </is>
      </c>
      <c r="E4257" s="12" t="inlineStr">
        <is>
          <t>PAD-EH</t>
        </is>
      </c>
      <c r="F4257" s="12" t="inlineStr">
        <is>
          <t>PAD-EH 13.8 kV switchgear e-house</t>
        </is>
      </c>
      <c r="G4257" s="12" t="inlineStr">
        <is>
          <t>GB-2.1</t>
        </is>
      </c>
      <c r="H4257" s="12" t="inlineStr">
        <is>
          <t>GB-2.1: modular gas genset ~450 kW, 480 V (block 2)</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Surface</t>
        </is>
      </c>
      <c r="T4257" s="17" t="n">
        <v>206</v>
      </c>
      <c r="U4257" s="17" t="n">
        <v>37</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GB-2.2 control / sync / protection</t>
        </is>
      </c>
      <c r="E4258" s="12" t="inlineStr">
        <is>
          <t>GBS-2</t>
        </is>
      </c>
      <c r="F4258" s="12" t="inlineStr">
        <is>
          <t>GBS-2: block 2 480 V paralleling switchgear (4 gensets)</t>
        </is>
      </c>
      <c r="G4258" s="12" t="inlineStr">
        <is>
          <t>GB-2.2</t>
        </is>
      </c>
      <c r="H4258" s="12" t="inlineStr">
        <is>
          <t>GB-2.2: modular gas genset ~450 kW, 480 V (block 2)</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Riser</t>
        </is>
      </c>
      <c r="T4258" s="17" t="n">
        <v>3</v>
      </c>
      <c r="U4258" s="17" t="n">
        <v>31</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Control</t>
        </is>
      </c>
      <c r="E4259" s="12" t="inlineStr">
        <is>
          <t>PAD-EH</t>
        </is>
      </c>
      <c r="F4259" s="12" t="inlineStr">
        <is>
          <t>PAD-EH 13.8 kV switchgear e-house</t>
        </is>
      </c>
      <c r="G4259" s="12" t="inlineStr">
        <is>
          <t>GB-2.2</t>
        </is>
      </c>
      <c r="H4259" s="12" t="inlineStr">
        <is>
          <t>GB-2.2: modular gas genset ~450 kW, 480 V (block 2)</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Surface</t>
        </is>
      </c>
      <c r="T4259" s="17" t="n">
        <v>204</v>
      </c>
      <c r="U4259" s="17" t="n">
        <v>32</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GB-2.3 control / sync / protection</t>
        </is>
      </c>
      <c r="E4260" s="12" t="inlineStr">
        <is>
          <t>GBS-2</t>
        </is>
      </c>
      <c r="F4260" s="12" t="inlineStr">
        <is>
          <t>GBS-2: block 2 480 V paralleling switchgear (4 gensets)</t>
        </is>
      </c>
      <c r="G4260" s="12" t="inlineStr">
        <is>
          <t>GB-2.3</t>
        </is>
      </c>
      <c r="H4260" s="12" t="inlineStr">
        <is>
          <t>GB-2.3: modular gas genset ~450 kW, 480 V (block 2)</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Duct bank</t>
        </is>
      </c>
      <c r="T4260" s="17" t="n">
        <v>15</v>
      </c>
      <c r="U4260" s="17" t="n">
        <v>32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Control</t>
        </is>
      </c>
      <c r="E4261" s="12" t="inlineStr">
        <is>
          <t>PAD-EH</t>
        </is>
      </c>
      <c r="F4261" s="12" t="inlineStr">
        <is>
          <t>PAD-EH 13.8 kV switchgear e-house</t>
        </is>
      </c>
      <c r="G4261" s="12" t="inlineStr">
        <is>
          <t>GB-2.3</t>
        </is>
      </c>
      <c r="H4261" s="12" t="inlineStr">
        <is>
          <t>GB-2.3: modular gas genset ~450 kW, 480 V (block 2)</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Surface</t>
        </is>
      </c>
      <c r="T4261" s="17" t="n">
        <v>194</v>
      </c>
      <c r="U4261" s="17" t="n">
        <v>32</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GB-2.4 control / sync / protection</t>
        </is>
      </c>
      <c r="E4262" s="12" t="inlineStr">
        <is>
          <t>GBS-2</t>
        </is>
      </c>
      <c r="F4262" s="12" t="inlineStr">
        <is>
          <t>GBS-2: block 2 480 V paralleling switchgear (4 gensets)</t>
        </is>
      </c>
      <c r="G4262" s="12" t="inlineStr">
        <is>
          <t>GB-2.4</t>
        </is>
      </c>
      <c r="H4262" s="12" t="inlineStr">
        <is>
          <t>GB-2.4: modular gas genset ~450 kW, 480 V (block 2)</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Duct bank</t>
        </is>
      </c>
      <c r="T4262" s="17" t="n">
        <v>15</v>
      </c>
      <c r="U4262" s="17" t="n">
        <v>39</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Control</t>
        </is>
      </c>
      <c r="E4263" s="12" t="inlineStr">
        <is>
          <t>PAD-EH</t>
        </is>
      </c>
      <c r="F4263" s="12" t="inlineStr">
        <is>
          <t>PAD-EH 13.8 kV switchgear e-house</t>
        </is>
      </c>
      <c r="G4263" s="12" t="inlineStr">
        <is>
          <t>GB-2.4</t>
        </is>
      </c>
      <c r="H4263" s="12" t="inlineStr">
        <is>
          <t>GB-2.4: modular gas genset ~450 kW, 480 V (block 2)</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Surface</t>
        </is>
      </c>
      <c r="T4263" s="17" t="n">
        <v>194</v>
      </c>
      <c r="U4263" s="17" t="n">
        <v>39</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GB-3.1 control / sync / protection</t>
        </is>
      </c>
      <c r="E4264" s="12" t="inlineStr">
        <is>
          <t>GBS-3</t>
        </is>
      </c>
      <c r="F4264" s="12" t="inlineStr">
        <is>
          <t>GBS-3: block 3 480 V paralleling switchgear (4 gensets)</t>
        </is>
      </c>
      <c r="G4264" s="12" t="inlineStr">
        <is>
          <t>GB-3.1</t>
        </is>
      </c>
      <c r="H4264" s="12" t="inlineStr">
        <is>
          <t>GB-3.1: modular gas genset ~450 kW, 480 V (block 3)</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Riser</t>
        </is>
      </c>
      <c r="T4264" s="17" t="n">
        <v>6</v>
      </c>
      <c r="U4264" s="17" t="n">
        <v>27</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Control</t>
        </is>
      </c>
      <c r="E4265" s="12" t="inlineStr">
        <is>
          <t>PAD-EH</t>
        </is>
      </c>
      <c r="F4265" s="12" t="inlineStr">
        <is>
          <t>PAD-EH 13.8 kV switchgear e-house</t>
        </is>
      </c>
      <c r="G4265" s="12" t="inlineStr">
        <is>
          <t>GB-3.1</t>
        </is>
      </c>
      <c r="H4265" s="12" t="inlineStr">
        <is>
          <t>GB-3.1: modular gas genset ~450 kW, 480 V (block 3)</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Surface</t>
        </is>
      </c>
      <c r="T4265" s="17" t="n">
        <v>140</v>
      </c>
      <c r="U4265" s="17" t="n">
        <v>37</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GB-3.2 control / sync / protection</t>
        </is>
      </c>
      <c r="E4266" s="12" t="inlineStr">
        <is>
          <t>GBS-3</t>
        </is>
      </c>
      <c r="F4266" s="12" t="inlineStr">
        <is>
          <t>GBS-3: block 3 480 V paralleling switchgear (4 gensets)</t>
        </is>
      </c>
      <c r="G4266" s="12" t="inlineStr">
        <is>
          <t>GB-3.2</t>
        </is>
      </c>
      <c r="H4266" s="12" t="inlineStr">
        <is>
          <t>GB-3.2: modular gas genset ~450 kW, 480 V (block 3)</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Riser</t>
        </is>
      </c>
      <c r="T4266" s="17" t="n">
        <v>3</v>
      </c>
      <c r="U4266" s="17" t="n">
        <v>31</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Control</t>
        </is>
      </c>
      <c r="E4267" s="12" t="inlineStr">
        <is>
          <t>PAD-EH</t>
        </is>
      </c>
      <c r="F4267" s="12" t="inlineStr">
        <is>
          <t>PAD-EH 13.8 kV switchgear e-house</t>
        </is>
      </c>
      <c r="G4267" s="12" t="inlineStr">
        <is>
          <t>GB-3.2</t>
        </is>
      </c>
      <c r="H4267" s="12" t="inlineStr">
        <is>
          <t>GB-3.2: modular gas genset ~450 kW, 480 V (block 3)</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Surface</t>
        </is>
      </c>
      <c r="T4267" s="17" t="n">
        <v>138</v>
      </c>
      <c r="U4267" s="17" t="n">
        <v>32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GB-3.3 control / sync / protection</t>
        </is>
      </c>
      <c r="E4268" s="12" t="inlineStr">
        <is>
          <t>GBS-3</t>
        </is>
      </c>
      <c r="F4268" s="12" t="inlineStr">
        <is>
          <t>GBS-3: block 3 480 V paralleling switchgear (4 gensets)</t>
        </is>
      </c>
      <c r="G4268" s="12" t="inlineStr">
        <is>
          <t>GB-3.3</t>
        </is>
      </c>
      <c r="H4268" s="12" t="inlineStr">
        <is>
          <t>GB-3.3: modular gas genset ~450 kW, 480 V (block 3)</t>
        </is>
      </c>
      <c r="I4268" s="12" t="inlineStr">
        <is>
          <t>Control</t>
        </is>
      </c>
      <c r="J4268" s="12" t="inlineStr">
        <is>
          <t>ARMOR-X MC-HL 600 V control, Cu #14 AWG (Class I Div 2)</t>
        </is>
      </c>
      <c r="K4268" s="12" t="inlineStr">
        <is>
          <t>CTAX|12/C|14</t>
        </is>
      </c>
      <c r="L4268" s="12" t="inlineStr">
        <is>
          <t>12/C</t>
        </is>
      </c>
      <c r="M4268" s="12" t="inlineStr">
        <is>
          <t>14</t>
        </is>
      </c>
      <c r="N4268" s="12" t="n">
        <v>1</v>
      </c>
      <c r="O4268" s="12" t="n">
        <v>1</v>
      </c>
      <c r="P4268" s="12" t="n"/>
      <c r="Q4268" s="12" t="n"/>
      <c r="R4268" s="12" t="n"/>
      <c r="S4268" s="12" t="inlineStr">
        <is>
          <t>Duct bank</t>
        </is>
      </c>
      <c r="T4268" s="17" t="n">
        <v>12</v>
      </c>
      <c r="U4268" s="17" t="n">
        <v>35</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Control</t>
        </is>
      </c>
      <c r="E4269" s="12" t="inlineStr">
        <is>
          <t>PAD-EH</t>
        </is>
      </c>
      <c r="F4269" s="12" t="inlineStr">
        <is>
          <t>PAD-EH 13.8 kV switchgear e-house</t>
        </is>
      </c>
      <c r="G4269" s="12" t="inlineStr">
        <is>
          <t>GB-3.3</t>
        </is>
      </c>
      <c r="H4269" s="12" t="inlineStr">
        <is>
          <t>GB-3.3: modular gas genset ~450 kW, 480 V (block 3)</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Surface</t>
        </is>
      </c>
      <c r="T4269" s="17" t="n">
        <v>125</v>
      </c>
      <c r="U4269" s="17" t="n">
        <v>35</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GB-3.4 control / sync / protection</t>
        </is>
      </c>
      <c r="E4270" s="12" t="inlineStr">
        <is>
          <t>GBS-3</t>
        </is>
      </c>
      <c r="F4270" s="12" t="inlineStr">
        <is>
          <t>GBS-3: block 3 480 V paralleling switchgear (4 gensets)</t>
        </is>
      </c>
      <c r="G4270" s="12" t="inlineStr">
        <is>
          <t>GB-3.4</t>
        </is>
      </c>
      <c r="H4270" s="12" t="inlineStr">
        <is>
          <t>GB-3.4: modular gas genset ~450 kW, 480 V (block 3)</t>
        </is>
      </c>
      <c r="I4270" s="12" t="inlineStr">
        <is>
          <t>Control</t>
        </is>
      </c>
      <c r="J4270" s="12" t="inlineStr">
        <is>
          <t>ARMOR-X MC-HL 600 V control, Cu #14 AWG (Class I Div 2)</t>
        </is>
      </c>
      <c r="K4270" s="12" t="inlineStr">
        <is>
          <t>CTAX|12/C|14</t>
        </is>
      </c>
      <c r="L4270" s="12" t="inlineStr">
        <is>
          <t>12/C</t>
        </is>
      </c>
      <c r="M4270" s="12" t="inlineStr">
        <is>
          <t>14</t>
        </is>
      </c>
      <c r="N4270" s="12" t="n">
        <v>1</v>
      </c>
      <c r="O4270" s="12" t="n">
        <v>1</v>
      </c>
      <c r="P4270" s="12" t="n"/>
      <c r="Q4270" s="12" t="n"/>
      <c r="R4270" s="12" t="n"/>
      <c r="S4270" s="12" t="inlineStr">
        <is>
          <t>Duct bank</t>
        </is>
      </c>
      <c r="T4270" s="17" t="n">
        <v>15</v>
      </c>
      <c r="U4270" s="17" t="n">
        <v>39</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Control</t>
        </is>
      </c>
      <c r="E4271" s="12" t="inlineStr">
        <is>
          <t>PAD-EH</t>
        </is>
      </c>
      <c r="F4271" s="12" t="inlineStr">
        <is>
          <t>PAD-EH 13.8 kV switchgear e-house</t>
        </is>
      </c>
      <c r="G4271" s="12" t="inlineStr">
        <is>
          <t>GB-3.4</t>
        </is>
      </c>
      <c r="H4271" s="12" t="inlineStr">
        <is>
          <t>GB-3.4: modular gas genset ~450 kW, 480 V (block 3)</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Surface</t>
        </is>
      </c>
      <c r="T4271" s="17" t="n">
        <v>128</v>
      </c>
      <c r="U4271" s="17" t="n">
        <v>39</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GB-4.1 control / sync / protection</t>
        </is>
      </c>
      <c r="E4272" s="12" t="inlineStr">
        <is>
          <t>GBS-4</t>
        </is>
      </c>
      <c r="F4272" s="12" t="inlineStr">
        <is>
          <t>GBS-4: block 4 480 V paralleling switchgear (4 gensets)</t>
        </is>
      </c>
      <c r="G4272" s="12" t="inlineStr">
        <is>
          <t>GB-4.1</t>
        </is>
      </c>
      <c r="H4272" s="12" t="inlineStr">
        <is>
          <t>GB-4.1: modular gas genset ~450 kW, 480 V (block 4)</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Riser</t>
        </is>
      </c>
      <c r="T4272" s="17" t="n">
        <v>6</v>
      </c>
      <c r="U4272" s="17" t="n">
        <v>27</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Control</t>
        </is>
      </c>
      <c r="E4273" s="12" t="inlineStr">
        <is>
          <t>PAD-EH</t>
        </is>
      </c>
      <c r="F4273" s="12" t="inlineStr">
        <is>
          <t>PAD-EH 13.8 kV switchgear e-house</t>
        </is>
      </c>
      <c r="G4273" s="12" t="inlineStr">
        <is>
          <t>GB-4.1</t>
        </is>
      </c>
      <c r="H4273" s="12" t="inlineStr">
        <is>
          <t>GB-4.1: modular gas genset ~450 kW, 480 V (block 4)</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Surface</t>
        </is>
      </c>
      <c r="T4273" s="17" t="n">
        <v>186</v>
      </c>
      <c r="U4273" s="17" t="n">
        <v>37</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GB-4.2 control / sync / protection</t>
        </is>
      </c>
      <c r="E4274" s="12" t="inlineStr">
        <is>
          <t>GBS-4</t>
        </is>
      </c>
      <c r="F4274" s="12" t="inlineStr">
        <is>
          <t>GBS-4: block 4 480 V paralleling switchgear (4 gensets)</t>
        </is>
      </c>
      <c r="G4274" s="12" t="inlineStr">
        <is>
          <t>GB-4.2</t>
        </is>
      </c>
      <c r="H4274" s="12" t="inlineStr">
        <is>
          <t>GB-4.2: modular gas genset ~450 kW, 480 V (block 4)</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Riser</t>
        </is>
      </c>
      <c r="T4274" s="17" t="n">
        <v>3</v>
      </c>
      <c r="U4274" s="17" t="n">
        <v>31</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Control</t>
        </is>
      </c>
      <c r="E4275" s="12" t="inlineStr">
        <is>
          <t>PAD-EH</t>
        </is>
      </c>
      <c r="F4275" s="12" t="inlineStr">
        <is>
          <t>PAD-EH 13.8 kV switchgear e-house</t>
        </is>
      </c>
      <c r="G4275" s="12" t="inlineStr">
        <is>
          <t>GB-4.2</t>
        </is>
      </c>
      <c r="H4275" s="12" t="inlineStr">
        <is>
          <t>GB-4.2: modular gas genset ~450 kW, 480 V (block 4)</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Surface</t>
        </is>
      </c>
      <c r="T4275" s="17" t="n">
        <v>184</v>
      </c>
      <c r="U4275" s="17" t="n">
        <v>32</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GB-4.3 control / sync / protection</t>
        </is>
      </c>
      <c r="E4276" s="12" t="inlineStr">
        <is>
          <t>GBS-4</t>
        </is>
      </c>
      <c r="F4276" s="12" t="inlineStr">
        <is>
          <t>GBS-4: block 4 480 V paralleling switchgear (4 gensets)</t>
        </is>
      </c>
      <c r="G4276" s="12" t="inlineStr">
        <is>
          <t>GB-4.3</t>
        </is>
      </c>
      <c r="H4276" s="12" t="inlineStr">
        <is>
          <t>GB-4.3: modular gas genset ~450 kW, 480 V (block 4)</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Duct bank</t>
        </is>
      </c>
      <c r="T4276" s="17" t="n">
        <v>12</v>
      </c>
      <c r="U4276" s="17" t="n">
        <v>35</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Control</t>
        </is>
      </c>
      <c r="E4277" s="12" t="inlineStr">
        <is>
          <t>PAD-EH</t>
        </is>
      </c>
      <c r="F4277" s="12" t="inlineStr">
        <is>
          <t>PAD-EH 13.8 kV switchgear e-house</t>
        </is>
      </c>
      <c r="G4277" s="12" t="inlineStr">
        <is>
          <t>GB-4.3</t>
        </is>
      </c>
      <c r="H4277" s="12" t="inlineStr">
        <is>
          <t>GB-4.3: modular gas genset ~450 kW, 480 V (block 4)</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Surface</t>
        </is>
      </c>
      <c r="T4277" s="17" t="n">
        <v>171</v>
      </c>
      <c r="U4277" s="17" t="n">
        <v>35</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GB-4.4 control / sync / protection</t>
        </is>
      </c>
      <c r="E4278" s="12" t="inlineStr">
        <is>
          <t>GBS-4</t>
        </is>
      </c>
      <c r="F4278" s="12" t="inlineStr">
        <is>
          <t>GBS-4: block 4 480 V paralleling switchgear (4 gensets)</t>
        </is>
      </c>
      <c r="G4278" s="12" t="inlineStr">
        <is>
          <t>GB-4.4</t>
        </is>
      </c>
      <c r="H4278" s="12" t="inlineStr">
        <is>
          <t>GB-4.4: modular gas genset ~450 kW, 480 V (block 4)</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Duct bank</t>
        </is>
      </c>
      <c r="T4278" s="17" t="n">
        <v>15</v>
      </c>
      <c r="U4278" s="17" t="n">
        <v>39</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Control</t>
        </is>
      </c>
      <c r="E4279" s="12" t="inlineStr">
        <is>
          <t>PAD-EH</t>
        </is>
      </c>
      <c r="F4279" s="12" t="inlineStr">
        <is>
          <t>PAD-EH 13.8 kV switchgear e-house</t>
        </is>
      </c>
      <c r="G4279" s="12" t="inlineStr">
        <is>
          <t>GB-4.4</t>
        </is>
      </c>
      <c r="H4279" s="12" t="inlineStr">
        <is>
          <t>GB-4.4: modular gas genset ~450 kW, 480 V (block 4)</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Surface</t>
        </is>
      </c>
      <c r="T4279" s="17" t="n">
        <v>174</v>
      </c>
      <c r="U4279" s="17" t="n">
        <v>39</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GB-5.1 control / sync / protection</t>
        </is>
      </c>
      <c r="E4280" s="12" t="inlineStr">
        <is>
          <t>GBS-5</t>
        </is>
      </c>
      <c r="F4280" s="12" t="inlineStr">
        <is>
          <t>GBS-5: block 5 480 V paralleling switchgear (4 gensets)</t>
        </is>
      </c>
      <c r="G4280" s="12" t="inlineStr">
        <is>
          <t>GB-5.1</t>
        </is>
      </c>
      <c r="H4280" s="12" t="inlineStr">
        <is>
          <t>GB-5.1: modular gas genset ~450 kW, 480 V (block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Riser</t>
        </is>
      </c>
      <c r="T4280" s="17" t="n">
        <v>6</v>
      </c>
      <c r="U4280" s="17" t="n">
        <v>27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Control</t>
        </is>
      </c>
      <c r="E4281" s="12" t="inlineStr">
        <is>
          <t>PAD-EH</t>
        </is>
      </c>
      <c r="F4281" s="12" t="inlineStr">
        <is>
          <t>PAD-EH 13.8 kV switchgear e-house</t>
        </is>
      </c>
      <c r="G4281" s="12" t="inlineStr">
        <is>
          <t>GB-5.1</t>
        </is>
      </c>
      <c r="H4281" s="12" t="inlineStr">
        <is>
          <t>GB-5.1: modular gas genset ~450 kW, 480 V (block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Surface</t>
        </is>
      </c>
      <c r="T4281" s="17" t="n">
        <v>284</v>
      </c>
      <c r="U4281" s="17" t="n">
        <v>37</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GB-5.2 control / sync / protection</t>
        </is>
      </c>
      <c r="E4282" s="12" t="inlineStr">
        <is>
          <t>GBS-5</t>
        </is>
      </c>
      <c r="F4282" s="12" t="inlineStr">
        <is>
          <t>GBS-5: block 5 480 V paralleling switchgear (4 gensets)</t>
        </is>
      </c>
      <c r="G4282" s="12" t="inlineStr">
        <is>
          <t>GB-5.2</t>
        </is>
      </c>
      <c r="H4282" s="12" t="inlineStr">
        <is>
          <t>GB-5.2: modular gas genset ~450 kW, 480 V (block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Riser</t>
        </is>
      </c>
      <c r="T4282" s="17" t="n">
        <v>3</v>
      </c>
      <c r="U4282" s="17" t="n">
        <v>31</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Control</t>
        </is>
      </c>
      <c r="E4283" s="12" t="inlineStr">
        <is>
          <t>PAD-EH</t>
        </is>
      </c>
      <c r="F4283" s="12" t="inlineStr">
        <is>
          <t>PAD-EH 13.8 kV switchgear e-house</t>
        </is>
      </c>
      <c r="G4283" s="12" t="inlineStr">
        <is>
          <t>GB-5.2</t>
        </is>
      </c>
      <c r="H4283" s="12" t="inlineStr">
        <is>
          <t>GB-5.2: modular gas genset ~450 kW, 480 V (block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Surface</t>
        </is>
      </c>
      <c r="T4283" s="17" t="n">
        <v>282</v>
      </c>
      <c r="U4283" s="17" t="n">
        <v>32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GB-5.3 control / sync / protection</t>
        </is>
      </c>
      <c r="E4284" s="12" t="inlineStr">
        <is>
          <t>GBS-5</t>
        </is>
      </c>
      <c r="F4284" s="12" t="inlineStr">
        <is>
          <t>GBS-5: block 5 480 V paralleling switchgear (4 gensets)</t>
        </is>
      </c>
      <c r="G4284" s="12" t="inlineStr">
        <is>
          <t>GB-5.3</t>
        </is>
      </c>
      <c r="H4284" s="12" t="inlineStr">
        <is>
          <t>GB-5.3: modular gas genset ~450 kW, 480 V (block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Duct bank</t>
        </is>
      </c>
      <c r="T4284" s="17" t="n">
        <v>12</v>
      </c>
      <c r="U4284" s="17" t="n">
        <v>35</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Control</t>
        </is>
      </c>
      <c r="E4285" s="12" t="inlineStr">
        <is>
          <t>PAD-EH</t>
        </is>
      </c>
      <c r="F4285" s="12" t="inlineStr">
        <is>
          <t>PAD-EH 13.8 kV switchgear e-house</t>
        </is>
      </c>
      <c r="G4285" s="12" t="inlineStr">
        <is>
          <t>GB-5.3</t>
        </is>
      </c>
      <c r="H4285" s="12" t="inlineStr">
        <is>
          <t>GB-5.3: modular gas genset ~450 kW, 480 V (block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Surface</t>
        </is>
      </c>
      <c r="T4285" s="17" t="n">
        <v>269</v>
      </c>
      <c r="U4285" s="17" t="n">
        <v>35</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GB-5.4 control / sync / protection</t>
        </is>
      </c>
      <c r="E4286" s="12" t="inlineStr">
        <is>
          <t>GBS-5</t>
        </is>
      </c>
      <c r="F4286" s="12" t="inlineStr">
        <is>
          <t>GBS-5: block 5 480 V paralleling switchgear (4 gensets)</t>
        </is>
      </c>
      <c r="G4286" s="12" t="inlineStr">
        <is>
          <t>GB-5.4</t>
        </is>
      </c>
      <c r="H4286" s="12" t="inlineStr">
        <is>
          <t>GB-5.4: modular gas genset ~450 kW, 480 V (block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Duct bank</t>
        </is>
      </c>
      <c r="T4286" s="17" t="n">
        <v>15</v>
      </c>
      <c r="U4286" s="17" t="n">
        <v>39</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Control</t>
        </is>
      </c>
      <c r="E4287" s="12" t="inlineStr">
        <is>
          <t>PAD-EH</t>
        </is>
      </c>
      <c r="F4287" s="12" t="inlineStr">
        <is>
          <t>PAD-EH 13.8 kV switchgear e-house</t>
        </is>
      </c>
      <c r="G4287" s="12" t="inlineStr">
        <is>
          <t>GB-5.4</t>
        </is>
      </c>
      <c r="H4287" s="12" t="inlineStr">
        <is>
          <t>GB-5.4: modular gas genset ~450 kW, 480 V (block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Surface</t>
        </is>
      </c>
      <c r="T4287" s="17" t="n">
        <v>272</v>
      </c>
      <c r="U4287" s="17" t="n">
        <v>39</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GB-6.1 control / sync / protection</t>
        </is>
      </c>
      <c r="E4288" s="12" t="inlineStr">
        <is>
          <t>GBS-6</t>
        </is>
      </c>
      <c r="F4288" s="12" t="inlineStr">
        <is>
          <t>GBS-6: block 6 480 V paralleling switchgear (4 gensets)</t>
        </is>
      </c>
      <c r="G4288" s="12" t="inlineStr">
        <is>
          <t>GB-6.1</t>
        </is>
      </c>
      <c r="H4288" s="12" t="inlineStr">
        <is>
          <t>GB-6.1: modular gas genset ~450 kW, 480 V (block 6)</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Riser</t>
        </is>
      </c>
      <c r="T4288" s="17" t="n">
        <v>6</v>
      </c>
      <c r="U4288" s="17" t="n">
        <v>27</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Control</t>
        </is>
      </c>
      <c r="E4289" s="12" t="inlineStr">
        <is>
          <t>PAD-EH</t>
        </is>
      </c>
      <c r="F4289" s="12" t="inlineStr">
        <is>
          <t>PAD-EH 13.8 kV switchgear e-house</t>
        </is>
      </c>
      <c r="G4289" s="12" t="inlineStr">
        <is>
          <t>GB-6.1</t>
        </is>
      </c>
      <c r="H4289" s="12" t="inlineStr">
        <is>
          <t>GB-6.1: modular gas genset ~450 kW, 480 V (block 6)</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Surface</t>
        </is>
      </c>
      <c r="T4289" s="17" t="n">
        <v>330</v>
      </c>
      <c r="U4289" s="17" t="n">
        <v>37</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GB-6.2 control / sync / protection</t>
        </is>
      </c>
      <c r="E4290" s="12" t="inlineStr">
        <is>
          <t>GBS-6</t>
        </is>
      </c>
      <c r="F4290" s="12" t="inlineStr">
        <is>
          <t>GBS-6: block 6 480 V paralleling switchgear (4 gensets)</t>
        </is>
      </c>
      <c r="G4290" s="12" t="inlineStr">
        <is>
          <t>GB-6.2</t>
        </is>
      </c>
      <c r="H4290" s="12" t="inlineStr">
        <is>
          <t>GB-6.2: modular gas genset ~450 kW, 480 V (block 6)</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Riser</t>
        </is>
      </c>
      <c r="T4290" s="17" t="n">
        <v>3</v>
      </c>
      <c r="U4290" s="17" t="n">
        <v>31</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Control</t>
        </is>
      </c>
      <c r="E4291" s="12" t="inlineStr">
        <is>
          <t>PAD-EH</t>
        </is>
      </c>
      <c r="F4291" s="12" t="inlineStr">
        <is>
          <t>PAD-EH 13.8 kV switchgear e-house</t>
        </is>
      </c>
      <c r="G4291" s="12" t="inlineStr">
        <is>
          <t>GB-6.2</t>
        </is>
      </c>
      <c r="H4291" s="12" t="inlineStr">
        <is>
          <t>GB-6.2: modular gas genset ~450 kW, 480 V (block 6)</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Surface</t>
        </is>
      </c>
      <c r="T4291" s="17" t="n">
        <v>328</v>
      </c>
      <c r="U4291" s="17" t="n">
        <v>32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GB-6.3 control / sync / protection</t>
        </is>
      </c>
      <c r="E4292" s="12" t="inlineStr">
        <is>
          <t>GBS-6</t>
        </is>
      </c>
      <c r="F4292" s="12" t="inlineStr">
        <is>
          <t>GBS-6: block 6 480 V paralleling switchgear (4 gensets)</t>
        </is>
      </c>
      <c r="G4292" s="12" t="inlineStr">
        <is>
          <t>GB-6.3</t>
        </is>
      </c>
      <c r="H4292" s="12" t="inlineStr">
        <is>
          <t>GB-6.3: modular gas genset ~450 kW, 480 V (block 6)</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7" t="n">
        <v>12</v>
      </c>
      <c r="U4292" s="17" t="n">
        <v>35</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Control</t>
        </is>
      </c>
      <c r="E4293" s="12" t="inlineStr">
        <is>
          <t>PAD-EH</t>
        </is>
      </c>
      <c r="F4293" s="12" t="inlineStr">
        <is>
          <t>PAD-EH 13.8 kV switchgear e-house</t>
        </is>
      </c>
      <c r="G4293" s="12" t="inlineStr">
        <is>
          <t>GB-6.3</t>
        </is>
      </c>
      <c r="H4293" s="12" t="inlineStr">
        <is>
          <t>GB-6.3: modular gas genset ~450 kW, 480 V (block 6)</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Surface</t>
        </is>
      </c>
      <c r="T4293" s="17" t="n">
        <v>315</v>
      </c>
      <c r="U4293" s="17" t="n">
        <v>35</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GB-6.4 control / sync / protection</t>
        </is>
      </c>
      <c r="E4294" s="12" t="inlineStr">
        <is>
          <t>GBS-6</t>
        </is>
      </c>
      <c r="F4294" s="12" t="inlineStr">
        <is>
          <t>GBS-6: block 6 480 V paralleling switchgear (4 gensets)</t>
        </is>
      </c>
      <c r="G4294" s="12" t="inlineStr">
        <is>
          <t>GB-6.4</t>
        </is>
      </c>
      <c r="H4294" s="12" t="inlineStr">
        <is>
          <t>GB-6.4: modular gas genset ~450 kW, 480 V (block 6)</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Duct bank</t>
        </is>
      </c>
      <c r="T4294" s="17" t="n">
        <v>15</v>
      </c>
      <c r="U4294" s="17" t="n">
        <v>39</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Control</t>
        </is>
      </c>
      <c r="E4295" s="12" t="inlineStr">
        <is>
          <t>PAD-EH</t>
        </is>
      </c>
      <c r="F4295" s="12" t="inlineStr">
        <is>
          <t>PAD-EH 13.8 kV switchgear e-house</t>
        </is>
      </c>
      <c r="G4295" s="12" t="inlineStr">
        <is>
          <t>GB-6.4</t>
        </is>
      </c>
      <c r="H4295" s="12" t="inlineStr">
        <is>
          <t>GB-6.4: modular gas genset ~450 kW, 480 V (block 6)</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Surface</t>
        </is>
      </c>
      <c r="T4295" s="17" t="n">
        <v>318</v>
      </c>
      <c r="U4295" s="17" t="n">
        <v>39</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Control</t>
        </is>
      </c>
      <c r="E4296" s="12" t="inlineStr">
        <is>
          <t>PAD-EH</t>
        </is>
      </c>
      <c r="F4296" s="12" t="inlineStr">
        <is>
          <t>PAD-EH 13.8 kV switchgear e-house</t>
        </is>
      </c>
      <c r="G4296" s="12" t="inlineStr">
        <is>
          <t>GBS-1</t>
        </is>
      </c>
      <c r="H4296" s="12" t="inlineStr">
        <is>
          <t>GBS-1: block 1 480 V paralleling switchgear (4 gensets)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Surface</t>
        </is>
      </c>
      <c r="T4296" s="17" t="n">
        <v>145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Control</t>
        </is>
      </c>
      <c r="E4297" s="12" t="inlineStr">
        <is>
          <t>PAD-EH</t>
        </is>
      </c>
      <c r="F4297" s="12" t="inlineStr">
        <is>
          <t>PAD-EH 13.8 kV switchgear e-house</t>
        </is>
      </c>
      <c r="G4297" s="12" t="inlineStr">
        <is>
          <t>GBS-2</t>
        </is>
      </c>
      <c r="H4297" s="12" t="inlineStr">
        <is>
          <t>GBS-2: block 2 480 V paralleling switchgear (4 gensets)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Surface</t>
        </is>
      </c>
      <c r="T4297" s="17" t="n">
        <v>191</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Control</t>
        </is>
      </c>
      <c r="E4298" s="12" t="inlineStr">
        <is>
          <t>PAD-EH</t>
        </is>
      </c>
      <c r="F4298" s="12" t="inlineStr">
        <is>
          <t>PAD-EH 13.8 kV switchgear e-house</t>
        </is>
      </c>
      <c r="G4298" s="12" t="inlineStr">
        <is>
          <t>GBS-3</t>
        </is>
      </c>
      <c r="H4298" s="12" t="inlineStr">
        <is>
          <t>GBS-3: block 3 480 V paralleling switchgear (4 gensets)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Surface</t>
        </is>
      </c>
      <c r="T4298" s="17" t="n">
        <v>125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Control</t>
        </is>
      </c>
      <c r="E4299" s="12" t="inlineStr">
        <is>
          <t>PAD-EH</t>
        </is>
      </c>
      <c r="F4299" s="12" t="inlineStr">
        <is>
          <t>PAD-EH 13.8 kV switchgear e-house</t>
        </is>
      </c>
      <c r="G4299" s="12" t="inlineStr">
        <is>
          <t>GBS-4</t>
        </is>
      </c>
      <c r="H4299" s="12" t="inlineStr">
        <is>
          <t>GBS-4: block 4 480 V paralleling switchgear (4 gensets)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Surface</t>
        </is>
      </c>
      <c r="T4299" s="17" t="n">
        <v>171</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Control</t>
        </is>
      </c>
      <c r="E4300" s="12" t="inlineStr">
        <is>
          <t>PAD-EH</t>
        </is>
      </c>
      <c r="F4300" s="12" t="inlineStr">
        <is>
          <t>PAD-EH 13.8 kV switchgear e-house</t>
        </is>
      </c>
      <c r="G4300" s="12" t="inlineStr">
        <is>
          <t>GBS-5</t>
        </is>
      </c>
      <c r="H4300" s="12" t="inlineStr">
        <is>
          <t>GBS-5: block 5 480 V paralleling switchgear (4 gensets)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Surface</t>
        </is>
      </c>
      <c r="T4300" s="17" t="n">
        <v>269</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Control</t>
        </is>
      </c>
      <c r="E4301" s="12" t="inlineStr">
        <is>
          <t>PAD-EH</t>
        </is>
      </c>
      <c r="F4301" s="12" t="inlineStr">
        <is>
          <t>PAD-EH 13.8 kV switchgear e-house</t>
        </is>
      </c>
      <c r="G4301" s="12" t="inlineStr">
        <is>
          <t>GBS-6</t>
        </is>
      </c>
      <c r="H4301" s="12" t="inlineStr">
        <is>
          <t>GBS-6: block 6 480 V paralleling switchgear (4 gensets)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Surface</t>
        </is>
      </c>
      <c r="T4301" s="17" t="n">
        <v>315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Control</t>
        </is>
      </c>
      <c r="E4302" s="12" t="inlineStr">
        <is>
          <t>PAD-EH</t>
        </is>
      </c>
      <c r="F4302" s="12" t="inlineStr">
        <is>
          <t>PAD-EH 13.8 kV switchgear e-house</t>
        </is>
      </c>
      <c r="G4302" s="12" t="inlineStr">
        <is>
          <t>GSP-1</t>
        </is>
      </c>
      <c r="H4302" s="12" t="inlineStr">
        <is>
          <t>GSP-1: generator breaker / protection</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Surface</t>
        </is>
      </c>
      <c r="T4302" s="17" t="n">
        <v>269</v>
      </c>
      <c r="U4302" s="17" t="n">
        <v>66</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Control</t>
        </is>
      </c>
      <c r="E4303" s="12" t="inlineStr">
        <is>
          <t>PAD-EH</t>
        </is>
      </c>
      <c r="F4303" s="12" t="inlineStr">
        <is>
          <t>PAD-EH 13.8 kV switchgear e-house</t>
        </is>
      </c>
      <c r="G4303" s="12" t="inlineStr">
        <is>
          <t>GSP-1</t>
        </is>
      </c>
      <c r="H4303" s="12" t="inlineStr">
        <is>
          <t>GSP-1: generator breaker / protection</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Surface</t>
        </is>
      </c>
      <c r="T4303" s="17" t="n">
        <v>269</v>
      </c>
      <c r="U4303" s="17" t="n">
        <v>66</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Control</t>
        </is>
      </c>
      <c r="E4304" s="12" t="inlineStr">
        <is>
          <t>PAD-EH</t>
        </is>
      </c>
      <c r="F4304" s="12" t="inlineStr">
        <is>
          <t>PAD-EH 13.8 kV switchgear e-house</t>
        </is>
      </c>
      <c r="G4304" s="12" t="inlineStr">
        <is>
          <t>GSP-1</t>
        </is>
      </c>
      <c r="H4304" s="12" t="inlineStr">
        <is>
          <t>GSP-1: generator breaker / protection</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Surface</t>
        </is>
      </c>
      <c r="T4304" s="17" t="n">
        <v>269</v>
      </c>
      <c r="U4304" s="17" t="n">
        <v>66</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CT / VT</t>
        </is>
      </c>
      <c r="E4305" s="12" t="inlineStr">
        <is>
          <t>PAD-EH</t>
        </is>
      </c>
      <c r="F4305" s="12" t="inlineStr">
        <is>
          <t>PAD-EH 13.8 kV switchgear e-house</t>
        </is>
      </c>
      <c r="G4305" s="12" t="inlineStr">
        <is>
          <t>GSP-1</t>
        </is>
      </c>
      <c r="H4305" s="12" t="inlineStr">
        <is>
          <t>GSP-1: generator breaker / protection</t>
        </is>
      </c>
      <c r="I4305" s="12" t="inlineStr">
        <is>
          <t>Control</t>
        </is>
      </c>
      <c r="J4305" s="12" t="inlineStr">
        <is>
          <t>Control cable 600 V Type TC-ER, Cu #10 AWG (CT / VT circuits)</t>
        </is>
      </c>
      <c r="K4305" s="12" t="inlineStr">
        <is>
          <t>CTCT|4/C|10</t>
        </is>
      </c>
      <c r="L4305" s="12" t="inlineStr">
        <is>
          <t>4/C</t>
        </is>
      </c>
      <c r="M4305" s="12" t="inlineStr">
        <is>
          <t>10</t>
        </is>
      </c>
      <c r="N4305" s="12" t="n">
        <v>1</v>
      </c>
      <c r="O4305" s="12" t="n">
        <v>1</v>
      </c>
      <c r="P4305" s="12" t="n"/>
      <c r="Q4305" s="12" t="n"/>
      <c r="R4305" s="12" t="n"/>
      <c r="S4305" s="12" t="inlineStr">
        <is>
          <t>Surface</t>
        </is>
      </c>
      <c r="T4305" s="17" t="n">
        <v>269</v>
      </c>
      <c r="U4305" s="17" t="n">
        <v>66</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CT / VT</t>
        </is>
      </c>
      <c r="E4306" s="12" t="inlineStr">
        <is>
          <t>PAD-EH</t>
        </is>
      </c>
      <c r="F4306" s="12" t="inlineStr">
        <is>
          <t>PAD-EH 13.8 kV switchgear e-house</t>
        </is>
      </c>
      <c r="G4306" s="12" t="inlineStr">
        <is>
          <t>GSP-1</t>
        </is>
      </c>
      <c r="H4306" s="12" t="inlineStr">
        <is>
          <t>GSP-1: generator breaker / protection</t>
        </is>
      </c>
      <c r="I4306" s="12" t="inlineStr">
        <is>
          <t>Control</t>
        </is>
      </c>
      <c r="J4306" s="12" t="inlineStr">
        <is>
          <t>Control cable 600 V Type TC-ER, Cu #10 AWG (CT / VT circuits)</t>
        </is>
      </c>
      <c r="K4306" s="12" t="inlineStr">
        <is>
          <t>CTCT|4/C|10</t>
        </is>
      </c>
      <c r="L4306" s="12" t="inlineStr">
        <is>
          <t>4/C</t>
        </is>
      </c>
      <c r="M4306" s="12" t="inlineStr">
        <is>
          <t>10</t>
        </is>
      </c>
      <c r="N4306" s="12" t="n">
        <v>1</v>
      </c>
      <c r="O4306" s="12" t="n">
        <v>1</v>
      </c>
      <c r="P4306" s="12" t="n"/>
      <c r="Q4306" s="12" t="n"/>
      <c r="R4306" s="12" t="n"/>
      <c r="S4306" s="12" t="inlineStr">
        <is>
          <t>Surface</t>
        </is>
      </c>
      <c r="T4306" s="17" t="n">
        <v>269</v>
      </c>
      <c r="U4306" s="17" t="n">
        <v>66</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CT / VT</t>
        </is>
      </c>
      <c r="E4307" s="12" t="inlineStr">
        <is>
          <t>PAD-EH</t>
        </is>
      </c>
      <c r="F4307" s="12" t="inlineStr">
        <is>
          <t>PAD-EH 13.8 kV switchgear e-house</t>
        </is>
      </c>
      <c r="G4307" s="12" t="inlineStr">
        <is>
          <t>GSP-1</t>
        </is>
      </c>
      <c r="H4307" s="12" t="inlineStr">
        <is>
          <t>GSP-1: generator breaker / protection</t>
        </is>
      </c>
      <c r="I4307" s="12" t="inlineStr">
        <is>
          <t>Control</t>
        </is>
      </c>
      <c r="J4307" s="12" t="inlineStr">
        <is>
          <t>Control cable 600 V Type TC-ER, Cu #10 AWG (CT / VT circuits)</t>
        </is>
      </c>
      <c r="K4307" s="12" t="inlineStr">
        <is>
          <t>CTCT|4/C|10</t>
        </is>
      </c>
      <c r="L4307" s="12" t="inlineStr">
        <is>
          <t>4/C</t>
        </is>
      </c>
      <c r="M4307" s="12" t="inlineStr">
        <is>
          <t>10</t>
        </is>
      </c>
      <c r="N4307" s="12" t="n">
        <v>1</v>
      </c>
      <c r="O4307" s="12" t="n">
        <v>1</v>
      </c>
      <c r="P4307" s="12" t="n"/>
      <c r="Q4307" s="12" t="n"/>
      <c r="R4307" s="12" t="n"/>
      <c r="S4307" s="12" t="inlineStr">
        <is>
          <t>Surface</t>
        </is>
      </c>
      <c r="T4307" s="17" t="n">
        <v>269</v>
      </c>
      <c r="U4307" s="17" t="n">
        <v>66</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CT / VT</t>
        </is>
      </c>
      <c r="E4308" s="12" t="inlineStr">
        <is>
          <t>PAD-EH</t>
        </is>
      </c>
      <c r="F4308" s="12" t="inlineStr">
        <is>
          <t>PAD-EH 13.8 kV switchgear e-house</t>
        </is>
      </c>
      <c r="G4308" s="12" t="inlineStr">
        <is>
          <t>GSP-1</t>
        </is>
      </c>
      <c r="H4308" s="12" t="inlineStr">
        <is>
          <t>GSP-1: generator breaker / protection</t>
        </is>
      </c>
      <c r="I4308" s="12" t="inlineStr">
        <is>
          <t>Control</t>
        </is>
      </c>
      <c r="J4308" s="12" t="inlineStr">
        <is>
          <t>Control cable 600 V Type TC-ER, Cu #10 AWG (CT / VT circuits)</t>
        </is>
      </c>
      <c r="K4308" s="12" t="inlineStr">
        <is>
          <t>CTCT|4/C|10</t>
        </is>
      </c>
      <c r="L4308" s="12" t="inlineStr">
        <is>
          <t>4/C</t>
        </is>
      </c>
      <c r="M4308" s="12" t="inlineStr">
        <is>
          <t>10</t>
        </is>
      </c>
      <c r="N4308" s="12" t="n">
        <v>1</v>
      </c>
      <c r="O4308" s="12" t="n">
        <v>1</v>
      </c>
      <c r="P4308" s="12" t="n"/>
      <c r="Q4308" s="12" t="n"/>
      <c r="R4308" s="12" t="n"/>
      <c r="S4308" s="12" t="inlineStr">
        <is>
          <t>Surface</t>
        </is>
      </c>
      <c r="T4308" s="17" t="n">
        <v>269</v>
      </c>
      <c r="U4308" s="17" t="n">
        <v>66</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Control</t>
        </is>
      </c>
      <c r="E4309" s="12" t="inlineStr">
        <is>
          <t>PAD-EH</t>
        </is>
      </c>
      <c r="F4309" s="12" t="inlineStr">
        <is>
          <t>PAD-EH 13.8 kV switchgear e-house</t>
        </is>
      </c>
      <c r="G4309" s="12" t="inlineStr">
        <is>
          <t>GSP-2</t>
        </is>
      </c>
      <c r="H4309" s="12" t="inlineStr">
        <is>
          <t>GSP-2: generator breaker / protection</t>
        </is>
      </c>
      <c r="I4309" s="12" t="inlineStr">
        <is>
          <t>Control</t>
        </is>
      </c>
      <c r="J4309" s="12" t="inlineStr">
        <is>
          <t>Control cable 600 V Type TC-ER, Cu #14 AWG, PVC jacket</t>
        </is>
      </c>
      <c r="K4309" s="12" t="inlineStr">
        <is>
          <t>CT|12/C|14</t>
        </is>
      </c>
      <c r="L4309" s="12" t="inlineStr">
        <is>
          <t>12/C</t>
        </is>
      </c>
      <c r="M4309" s="12" t="inlineStr">
        <is>
          <t>14</t>
        </is>
      </c>
      <c r="N4309" s="12" t="n">
        <v>1</v>
      </c>
      <c r="O4309" s="12" t="n">
        <v>1</v>
      </c>
      <c r="P4309" s="12" t="n"/>
      <c r="Q4309" s="12" t="n"/>
      <c r="R4309" s="12" t="n"/>
      <c r="S4309" s="12" t="inlineStr">
        <is>
          <t>Surface</t>
        </is>
      </c>
      <c r="T4309" s="17" t="n">
        <v>269</v>
      </c>
      <c r="U4309" s="17" t="n">
        <v>37</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Control</t>
        </is>
      </c>
      <c r="E4310" s="12" t="inlineStr">
        <is>
          <t>PAD-EH</t>
        </is>
      </c>
      <c r="F4310" s="12" t="inlineStr">
        <is>
          <t>PAD-EH 13.8 kV switchgear e-house</t>
        </is>
      </c>
      <c r="G4310" s="12" t="inlineStr">
        <is>
          <t>GSP-2</t>
        </is>
      </c>
      <c r="H4310" s="12" t="inlineStr">
        <is>
          <t>GSP-2: generator breaker / protection</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Surface</t>
        </is>
      </c>
      <c r="T4310" s="17" t="n">
        <v>269</v>
      </c>
      <c r="U4310" s="17" t="n">
        <v>37</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Control</t>
        </is>
      </c>
      <c r="E4311" s="12" t="inlineStr">
        <is>
          <t>PAD-EH</t>
        </is>
      </c>
      <c r="F4311" s="12" t="inlineStr">
        <is>
          <t>PAD-EH 13.8 kV switchgear e-house</t>
        </is>
      </c>
      <c r="G4311" s="12" t="inlineStr">
        <is>
          <t>GSP-2</t>
        </is>
      </c>
      <c r="H4311" s="12" t="inlineStr">
        <is>
          <t>GSP-2: generator breaker / protection</t>
        </is>
      </c>
      <c r="I4311" s="12" t="inlineStr">
        <is>
          <t>Control</t>
        </is>
      </c>
      <c r="J4311" s="12" t="inlineStr">
        <is>
          <t>Control cable 600 V Type TC-ER, Cu #14 AWG, PVC jacket</t>
        </is>
      </c>
      <c r="K4311" s="12" t="inlineStr">
        <is>
          <t>CT|12/C|14</t>
        </is>
      </c>
      <c r="L4311" s="12" t="inlineStr">
        <is>
          <t>12/C</t>
        </is>
      </c>
      <c r="M4311" s="12" t="inlineStr">
        <is>
          <t>14</t>
        </is>
      </c>
      <c r="N4311" s="12" t="n">
        <v>1</v>
      </c>
      <c r="O4311" s="12" t="n">
        <v>1</v>
      </c>
      <c r="P4311" s="12" t="n"/>
      <c r="Q4311" s="12" t="n"/>
      <c r="R4311" s="12" t="n"/>
      <c r="S4311" s="12" t="inlineStr">
        <is>
          <t>Surface</t>
        </is>
      </c>
      <c r="T4311" s="17" t="n">
        <v>269</v>
      </c>
      <c r="U4311" s="17" t="n">
        <v>37</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CT / VT</t>
        </is>
      </c>
      <c r="E4312" s="12" t="inlineStr">
        <is>
          <t>PAD-EH</t>
        </is>
      </c>
      <c r="F4312" s="12" t="inlineStr">
        <is>
          <t>PAD-EH 13.8 kV switchgear e-house</t>
        </is>
      </c>
      <c r="G4312" s="12" t="inlineStr">
        <is>
          <t>GSP-2</t>
        </is>
      </c>
      <c r="H4312" s="12" t="inlineStr">
        <is>
          <t>GSP-2: generator breaker / protection</t>
        </is>
      </c>
      <c r="I4312" s="12" t="inlineStr">
        <is>
          <t>Control</t>
        </is>
      </c>
      <c r="J4312" s="12" t="inlineStr">
        <is>
          <t>Control cable 600 V Type TC-ER, Cu #10 AWG (CT / VT circuits)</t>
        </is>
      </c>
      <c r="K4312" s="12" t="inlineStr">
        <is>
          <t>CTCT|4/C|10</t>
        </is>
      </c>
      <c r="L4312" s="12" t="inlineStr">
        <is>
          <t>4/C</t>
        </is>
      </c>
      <c r="M4312" s="12" t="inlineStr">
        <is>
          <t>10</t>
        </is>
      </c>
      <c r="N4312" s="12" t="n">
        <v>1</v>
      </c>
      <c r="O4312" s="12" t="n">
        <v>1</v>
      </c>
      <c r="P4312" s="12" t="n"/>
      <c r="Q4312" s="12" t="n"/>
      <c r="R4312" s="12" t="n"/>
      <c r="S4312" s="12" t="inlineStr">
        <is>
          <t>Surface</t>
        </is>
      </c>
      <c r="T4312" s="17" t="n">
        <v>269</v>
      </c>
      <c r="U4312" s="17" t="n">
        <v>37</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CT / VT</t>
        </is>
      </c>
      <c r="E4313" s="12" t="inlineStr">
        <is>
          <t>PAD-EH</t>
        </is>
      </c>
      <c r="F4313" s="12" t="inlineStr">
        <is>
          <t>PAD-EH 13.8 kV switchgear e-house</t>
        </is>
      </c>
      <c r="G4313" s="12" t="inlineStr">
        <is>
          <t>GSP-2</t>
        </is>
      </c>
      <c r="H4313" s="12" t="inlineStr">
        <is>
          <t>GSP-2: generator breaker / protection</t>
        </is>
      </c>
      <c r="I4313" s="12" t="inlineStr">
        <is>
          <t>Control</t>
        </is>
      </c>
      <c r="J4313" s="12" t="inlineStr">
        <is>
          <t>Control cable 600 V Type TC-ER, Cu #10 AWG (CT / VT circuits)</t>
        </is>
      </c>
      <c r="K4313" s="12" t="inlineStr">
        <is>
          <t>CTCT|4/C|10</t>
        </is>
      </c>
      <c r="L4313" s="12" t="inlineStr">
        <is>
          <t>4/C</t>
        </is>
      </c>
      <c r="M4313" s="12" t="inlineStr">
        <is>
          <t>10</t>
        </is>
      </c>
      <c r="N4313" s="12" t="n">
        <v>1</v>
      </c>
      <c r="O4313" s="12" t="n">
        <v>1</v>
      </c>
      <c r="P4313" s="12" t="n"/>
      <c r="Q4313" s="12" t="n"/>
      <c r="R4313" s="12" t="n"/>
      <c r="S4313" s="12" t="inlineStr">
        <is>
          <t>Surface</t>
        </is>
      </c>
      <c r="T4313" s="17" t="n">
        <v>269</v>
      </c>
      <c r="U4313" s="17" t="n">
        <v>37</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CT / VT</t>
        </is>
      </c>
      <c r="E4314" s="12" t="inlineStr">
        <is>
          <t>PAD-EH</t>
        </is>
      </c>
      <c r="F4314" s="12" t="inlineStr">
        <is>
          <t>PAD-EH 13.8 kV switchgear e-house</t>
        </is>
      </c>
      <c r="G4314" s="12" t="inlineStr">
        <is>
          <t>GSP-2</t>
        </is>
      </c>
      <c r="H4314" s="12" t="inlineStr">
        <is>
          <t>GSP-2: generator breaker / protection</t>
        </is>
      </c>
      <c r="I4314" s="12" t="inlineStr">
        <is>
          <t>Control</t>
        </is>
      </c>
      <c r="J4314" s="12" t="inlineStr">
        <is>
          <t>Control cable 600 V Type TC-ER, Cu #10 AWG (CT / VT circuits)</t>
        </is>
      </c>
      <c r="K4314" s="12" t="inlineStr">
        <is>
          <t>CTCT|4/C|10</t>
        </is>
      </c>
      <c r="L4314" s="12" t="inlineStr">
        <is>
          <t>4/C</t>
        </is>
      </c>
      <c r="M4314" s="12" t="inlineStr">
        <is>
          <t>10</t>
        </is>
      </c>
      <c r="N4314" s="12" t="n">
        <v>1</v>
      </c>
      <c r="O4314" s="12" t="n">
        <v>1</v>
      </c>
      <c r="P4314" s="12" t="n"/>
      <c r="Q4314" s="12" t="n"/>
      <c r="R4314" s="12" t="n"/>
      <c r="S4314" s="12" t="inlineStr">
        <is>
          <t>Surface</t>
        </is>
      </c>
      <c r="T4314" s="17" t="n">
        <v>269</v>
      </c>
      <c r="U4314" s="17" t="n">
        <v>37</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CT / VT</t>
        </is>
      </c>
      <c r="E4315" s="12" t="inlineStr">
        <is>
          <t>PAD-EH</t>
        </is>
      </c>
      <c r="F4315" s="12" t="inlineStr">
        <is>
          <t>PAD-EH 13.8 kV switchgear e-house</t>
        </is>
      </c>
      <c r="G4315" s="12" t="inlineStr">
        <is>
          <t>GSP-2</t>
        </is>
      </c>
      <c r="H4315" s="12" t="inlineStr">
        <is>
          <t>GSP-2: generator breaker / protection</t>
        </is>
      </c>
      <c r="I4315" s="12" t="inlineStr">
        <is>
          <t>Control</t>
        </is>
      </c>
      <c r="J4315" s="12" t="inlineStr">
        <is>
          <t>Control cable 600 V Type TC-ER, Cu #10 AWG (CT / VT circuits)</t>
        </is>
      </c>
      <c r="K4315" s="12" t="inlineStr">
        <is>
          <t>CTCT|4/C|10</t>
        </is>
      </c>
      <c r="L4315" s="12" t="inlineStr">
        <is>
          <t>4/C</t>
        </is>
      </c>
      <c r="M4315" s="12" t="inlineStr">
        <is>
          <t>10</t>
        </is>
      </c>
      <c r="N4315" s="12" t="n">
        <v>1</v>
      </c>
      <c r="O4315" s="12" t="n">
        <v>1</v>
      </c>
      <c r="P4315" s="12" t="n"/>
      <c r="Q4315" s="12" t="n"/>
      <c r="R4315" s="12" t="n"/>
      <c r="S4315" s="12" t="inlineStr">
        <is>
          <t>Surface</t>
        </is>
      </c>
      <c r="T4315" s="17" t="n">
        <v>269</v>
      </c>
      <c r="U4315" s="17" t="n">
        <v>37</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Control</t>
        </is>
      </c>
      <c r="E4316" s="12" t="inlineStr"/>
      <c r="F4316" s="12" t="inlineStr">
        <is>
          <t>PCM: power control module</t>
        </is>
      </c>
      <c r="G4316" s="12" t="inlineStr"/>
      <c r="H4316" s="12" t="inlineStr">
        <is>
          <t>Gas conditioning skid</t>
        </is>
      </c>
      <c r="I4316" s="12" t="inlineStr">
        <is>
          <t>Control</t>
        </is>
      </c>
      <c r="J4316" s="12" t="inlineStr">
        <is>
          <t>ARMOR-X MC-HL 600 V control, Cu #14 AWG (Class I Div 2)</t>
        </is>
      </c>
      <c r="K4316" s="12" t="inlineStr">
        <is>
          <t>CTAX|7/C|14</t>
        </is>
      </c>
      <c r="L4316" s="12" t="inlineStr">
        <is>
          <t>7/C</t>
        </is>
      </c>
      <c r="M4316" s="12" t="inlineStr">
        <is>
          <t>14</t>
        </is>
      </c>
      <c r="N4316" s="12" t="n">
        <v>1</v>
      </c>
      <c r="O4316" s="12" t="n">
        <v>1</v>
      </c>
      <c r="P4316" s="12" t="n"/>
      <c r="Q4316" s="12" t="n"/>
      <c r="R4316" s="12" t="n"/>
      <c r="S4316" s="12" t="inlineStr">
        <is>
          <t>Tray</t>
        </is>
      </c>
      <c r="T4316" s="17" t="n">
        <v>40</v>
      </c>
      <c r="U4316" s="17" t="n">
        <v>94</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Control</t>
        </is>
      </c>
      <c r="E4317" s="12" t="inlineStr">
        <is>
          <t>PAD-EH</t>
        </is>
      </c>
      <c r="F4317" s="12" t="inlineStr">
        <is>
          <t>PAD-EH 13.8 kV switchgear e-house</t>
        </is>
      </c>
      <c r="G4317" s="12" t="inlineStr">
        <is>
          <t>LB</t>
        </is>
      </c>
      <c r="H4317" s="12" t="inlineStr">
        <is>
          <t>LB: commissioning load bank (trailer)</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Surface</t>
        </is>
      </c>
      <c r="T4317" s="17" t="n">
        <v>209</v>
      </c>
      <c r="U4317" s="17" t="n">
        <v>73</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Control</t>
        </is>
      </c>
      <c r="E4318" s="12" t="inlineStr"/>
      <c r="F4318" s="12" t="inlineStr">
        <is>
          <t>PCM: power control module</t>
        </is>
      </c>
      <c r="G4318" s="12" t="inlineStr"/>
      <c r="H4318" s="12" t="inlineStr">
        <is>
          <t>Lube oil / starting air / oily water building</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7" t="n">
        <v>40</v>
      </c>
      <c r="U4318" s="17" t="n">
        <v>164</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Control</t>
        </is>
      </c>
      <c r="E4319" s="12" t="inlineStr"/>
      <c r="F4319" s="12" t="inlineStr">
        <is>
          <t>PCM: power control module</t>
        </is>
      </c>
      <c r="G4319" s="12" t="inlineStr">
        <is>
          <t>MOD-EH</t>
        </is>
      </c>
      <c r="H4319" s="12" t="inlineStr">
        <is>
          <t>MOD-EH: 13.8 kV modular collector e-house</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355</v>
      </c>
      <c r="U4319" s="17" t="n">
        <v>32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Control</t>
        </is>
      </c>
      <c r="E4320" s="12" t="inlineStr"/>
      <c r="F4320" s="12" t="inlineStr">
        <is>
          <t>PCM: power control module</t>
        </is>
      </c>
      <c r="G4320" s="12" t="inlineStr"/>
      <c r="H4320" s="12" t="inlineStr">
        <is>
          <t>MOD-LV 480 V board + 480 V : 13.8 kV step-up</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757</v>
      </c>
      <c r="U4320" s="17" t="n">
        <v>32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Control</t>
        </is>
      </c>
      <c r="E4321" s="12" t="inlineStr"/>
      <c r="F4321" s="12" t="inlineStr">
        <is>
          <t>PCM: power control module</t>
        </is>
      </c>
      <c r="G4321" s="12" t="inlineStr"/>
      <c r="H4321" s="12" t="inlineStr">
        <is>
          <t>PCM: power control module</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7" t="n">
        <v>0</v>
      </c>
      <c r="U4321" s="17" t="n">
        <v>32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1 of 1: control / local station</t>
        </is>
      </c>
      <c r="E4322" s="12" t="inlineStr"/>
      <c r="F4322" s="12" t="inlineStr">
        <is>
          <t>PCM: power control module</t>
        </is>
      </c>
      <c r="G4322" s="12" t="inlineStr"/>
      <c r="H4322" s="12" t="inlineStr">
        <is>
          <t>RICE 1 SCR + oxidation catalyst and stack</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470</v>
      </c>
      <c r="U4322" s="17" t="n">
        <v>160</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1 of 5: control / local station</t>
        </is>
      </c>
      <c r="E4323" s="12" t="inlineStr"/>
      <c r="F4323" s="12" t="inlineStr">
        <is>
          <t>PCM: power control module</t>
        </is>
      </c>
      <c r="G4323" s="12" t="inlineStr"/>
      <c r="H4323" s="12" t="inlineStr">
        <is>
          <t>RICE 1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745</v>
      </c>
      <c r="U4323" s="17" t="n">
        <v>139</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2 of 5: control / local station</t>
        </is>
      </c>
      <c r="E4324" s="12" t="inlineStr"/>
      <c r="F4324" s="12" t="inlineStr">
        <is>
          <t>PCM: power control module</t>
        </is>
      </c>
      <c r="G4324" s="12" t="inlineStr"/>
      <c r="H4324" s="12" t="inlineStr">
        <is>
          <t>RICE 1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745</v>
      </c>
      <c r="U4324" s="17" t="n">
        <v>139</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3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745</v>
      </c>
      <c r="U4325" s="17" t="n">
        <v>139</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4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745</v>
      </c>
      <c r="U4326" s="17" t="n">
        <v>139</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5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745</v>
      </c>
      <c r="U4327" s="17" t="n">
        <v>139</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1 of 1: control / local station</t>
        </is>
      </c>
      <c r="E4328" s="12" t="inlineStr"/>
      <c r="F4328" s="12" t="inlineStr">
        <is>
          <t>PCM: power control module</t>
        </is>
      </c>
      <c r="G4328" s="12" t="inlineStr"/>
      <c r="H4328" s="12" t="inlineStr">
        <is>
          <t>RICE 2 SCR + oxidation catalyst and stack</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470</v>
      </c>
      <c r="U4328" s="17" t="n">
        <v>132</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Motor 1 of 5: control / local station</t>
        </is>
      </c>
      <c r="E4329" s="12" t="inlineStr"/>
      <c r="F4329" s="12" t="inlineStr">
        <is>
          <t>PCM: power control module</t>
        </is>
      </c>
      <c r="G4329" s="12" t="inlineStr"/>
      <c r="H4329" s="12" t="inlineStr">
        <is>
          <t>RICE 2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550</v>
      </c>
      <c r="U4329" s="17" t="n">
        <v>192</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Motor 2 of 5: control / local station</t>
        </is>
      </c>
      <c r="E4330" s="12" t="inlineStr"/>
      <c r="F4330" s="12" t="inlineStr">
        <is>
          <t>PCM: power control module</t>
        </is>
      </c>
      <c r="G4330" s="12" t="inlineStr"/>
      <c r="H4330" s="12" t="inlineStr">
        <is>
          <t>RICE 2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550</v>
      </c>
      <c r="U4330" s="17" t="n">
        <v>192</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Motor 3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550</v>
      </c>
      <c r="U4331" s="17" t="n">
        <v>192</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Motor 4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550</v>
      </c>
      <c r="U4332" s="17" t="n">
        <v>192</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Motor 5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550</v>
      </c>
      <c r="U4333" s="17" t="n">
        <v>192</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Motor 1 of 1: control / local station</t>
        </is>
      </c>
      <c r="E4334" s="12" t="inlineStr"/>
      <c r="F4334" s="12" t="inlineStr">
        <is>
          <t>PCM: power control module</t>
        </is>
      </c>
      <c r="G4334" s="12" t="inlineStr"/>
      <c r="H4334" s="12" t="inlineStr">
        <is>
          <t>RICE 3 SCR + oxidation catalyst and stack</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470</v>
      </c>
      <c r="U4334" s="17" t="n">
        <v>104</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Motor 1 of 5: control / local station</t>
        </is>
      </c>
      <c r="E4335" s="12" t="inlineStr"/>
      <c r="F4335" s="12" t="inlineStr">
        <is>
          <t>PCM: power control module</t>
        </is>
      </c>
      <c r="G4335" s="12" t="inlineStr"/>
      <c r="H4335" s="12" t="inlineStr">
        <is>
          <t>RICE 3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7" t="n">
        <v>40</v>
      </c>
      <c r="U4335" s="17" t="n">
        <v>240</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Motor 2 of 5: control / local station</t>
        </is>
      </c>
      <c r="E4336" s="12" t="inlineStr"/>
      <c r="F4336" s="12" t="inlineStr">
        <is>
          <t>PCM: power control module</t>
        </is>
      </c>
      <c r="G4336" s="12" t="inlineStr"/>
      <c r="H4336" s="12" t="inlineStr">
        <is>
          <t>RICE 3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7" t="n">
        <v>40</v>
      </c>
      <c r="U4336" s="17" t="n">
        <v>240</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Motor 3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7" t="n">
        <v>40</v>
      </c>
      <c r="U4337" s="17" t="n">
        <v>240</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Motor 4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7" t="n">
        <v>40</v>
      </c>
      <c r="U4338" s="17" t="n">
        <v>240</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Motor 5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7" t="n">
        <v>40</v>
      </c>
      <c r="U4339" s="17" t="n">
        <v>240</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Motor 1 of 1: control / local station</t>
        </is>
      </c>
      <c r="E4340" s="12" t="inlineStr"/>
      <c r="F4340" s="12" t="inlineStr">
        <is>
          <t>PCM: power control module</t>
        </is>
      </c>
      <c r="G4340" s="12" t="inlineStr"/>
      <c r="H4340" s="12" t="inlineStr">
        <is>
          <t>RICE 4 SCR + oxidation catalyst and stack</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470</v>
      </c>
      <c r="U4340" s="17" t="n">
        <v>76</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Motor 1 of 5: control / local station</t>
        </is>
      </c>
      <c r="E4341" s="12" t="inlineStr"/>
      <c r="F4341" s="12" t="inlineStr">
        <is>
          <t>PCM: power control module</t>
        </is>
      </c>
      <c r="G4341" s="12" t="inlineStr"/>
      <c r="H4341" s="12" t="inlineStr">
        <is>
          <t>RICE 4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7" t="n">
        <v>0</v>
      </c>
      <c r="U4341" s="17" t="n">
        <v>206</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Motor 2 of 5: control / local station</t>
        </is>
      </c>
      <c r="E4342" s="12" t="inlineStr"/>
      <c r="F4342" s="12" t="inlineStr">
        <is>
          <t>PCM: power control module</t>
        </is>
      </c>
      <c r="G4342" s="12" t="inlineStr"/>
      <c r="H4342" s="12" t="inlineStr">
        <is>
          <t>RICE 4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206</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Motor 3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206</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Motor 4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7" t="n">
        <v>0</v>
      </c>
      <c r="U4344" s="17" t="n">
        <v>206</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Motor 5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7" t="n">
        <v>0</v>
      </c>
      <c r="U4345" s="17" t="n">
        <v>206</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Motor 1 of 1: control / local station</t>
        </is>
      </c>
      <c r="E4346" s="12" t="inlineStr"/>
      <c r="F4346" s="12" t="inlineStr">
        <is>
          <t>PCM: power control module</t>
        </is>
      </c>
      <c r="G4346" s="12" t="inlineStr"/>
      <c r="H4346" s="12" t="inlineStr">
        <is>
          <t>RICE 5 SCR + oxidation catalyst and stack</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7" t="n">
        <v>322</v>
      </c>
      <c r="U4346" s="17" t="n">
        <v>196</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Motor 1 of 5: control / local station</t>
        </is>
      </c>
      <c r="E4347" s="12" t="inlineStr"/>
      <c r="F4347" s="12" t="inlineStr">
        <is>
          <t>PCM: power control module</t>
        </is>
      </c>
      <c r="G4347" s="12" t="inlineStr"/>
      <c r="H4347" s="12" t="inlineStr">
        <is>
          <t>RICE 5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7" t="n">
        <v>0</v>
      </c>
      <c r="U4347" s="17" t="n">
        <v>178</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Motor 2 of 5: control / local station</t>
        </is>
      </c>
      <c r="E4348" s="12" t="inlineStr"/>
      <c r="F4348" s="12" t="inlineStr">
        <is>
          <t>PCM: power control module</t>
        </is>
      </c>
      <c r="G4348" s="12" t="inlineStr"/>
      <c r="H4348" s="12" t="inlineStr">
        <is>
          <t>RICE 5 radiators (5)</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7" t="n">
        <v>0</v>
      </c>
      <c r="U4348" s="17" t="n">
        <v>178</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Motor 3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7" t="n">
        <v>0</v>
      </c>
      <c r="U4349" s="17" t="n">
        <v>178</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Motor 4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7" t="n">
        <v>0</v>
      </c>
      <c r="U4350" s="17" t="n">
        <v>178</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Motor 5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7" t="n">
        <v>0</v>
      </c>
      <c r="U4351" s="17" t="n">
        <v>178</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Motor 1 of 1: control / local station</t>
        </is>
      </c>
      <c r="E4352" s="12" t="inlineStr"/>
      <c r="F4352" s="12" t="inlineStr">
        <is>
          <t>PCM: power control module</t>
        </is>
      </c>
      <c r="G4352" s="12" t="inlineStr"/>
      <c r="H4352" s="12" t="inlineStr">
        <is>
          <t>RICE 6 SCR + oxidation catalyst and stack</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7" t="n">
        <v>322</v>
      </c>
      <c r="U4352" s="17" t="n">
        <v>168</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Motor 1 of 5: control / local station</t>
        </is>
      </c>
      <c r="E4353" s="12" t="inlineStr"/>
      <c r="F4353" s="12" t="inlineStr">
        <is>
          <t>PCM: power control module</t>
        </is>
      </c>
      <c r="G4353" s="12" t="inlineStr"/>
      <c r="H4353" s="12" t="inlineStr">
        <is>
          <t>RICE 6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7" t="n">
        <v>0</v>
      </c>
      <c r="U4353" s="17" t="n">
        <v>150</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Motor 2 of 5: control / local station</t>
        </is>
      </c>
      <c r="E4354" s="12" t="inlineStr"/>
      <c r="F4354" s="12" t="inlineStr">
        <is>
          <t>PCM: power control module</t>
        </is>
      </c>
      <c r="G4354" s="12" t="inlineStr"/>
      <c r="H4354" s="12" t="inlineStr">
        <is>
          <t>RICE 6 radiators (5)</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7" t="n">
        <v>0</v>
      </c>
      <c r="U4354" s="17" t="n">
        <v>150</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3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7" t="n">
        <v>0</v>
      </c>
      <c r="U4355" s="17" t="n">
        <v>150</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4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7" t="n">
        <v>0</v>
      </c>
      <c r="U4356" s="17" t="n">
        <v>150</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5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7" t="n">
        <v>0</v>
      </c>
      <c r="U4357" s="17" t="n">
        <v>150</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1 of 1: control / local station</t>
        </is>
      </c>
      <c r="E4358" s="12" t="inlineStr"/>
      <c r="F4358" s="12" t="inlineStr">
        <is>
          <t>PCM: power control module</t>
        </is>
      </c>
      <c r="G4358" s="12" t="inlineStr"/>
      <c r="H4358" s="12" t="inlineStr">
        <is>
          <t>RICE 7 SCR + oxidation catalyst and stack</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7" t="n">
        <v>322</v>
      </c>
      <c r="U4358" s="17" t="n">
        <v>140</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1 of 5: control / local station</t>
        </is>
      </c>
      <c r="E4359" s="12" t="inlineStr"/>
      <c r="F4359" s="12" t="inlineStr">
        <is>
          <t>PCM: power control module</t>
        </is>
      </c>
      <c r="G4359" s="12" t="inlineStr"/>
      <c r="H4359" s="12" t="inlineStr">
        <is>
          <t>RICE 7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7" t="n">
        <v>0</v>
      </c>
      <c r="U4359" s="17" t="n">
        <v>122</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2 of 5: control / local station</t>
        </is>
      </c>
      <c r="E4360" s="12" t="inlineStr"/>
      <c r="F4360" s="12" t="inlineStr">
        <is>
          <t>PCM: power control module</t>
        </is>
      </c>
      <c r="G4360" s="12" t="inlineStr"/>
      <c r="H4360" s="12" t="inlineStr">
        <is>
          <t>RICE 7 radiators (5)</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7" t="n">
        <v>0</v>
      </c>
      <c r="U4360" s="17" t="n">
        <v>122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3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7" t="n">
        <v>0</v>
      </c>
      <c r="U4361" s="17" t="n">
        <v>122</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4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7" t="n">
        <v>0</v>
      </c>
      <c r="U4362" s="17" t="n">
        <v>122</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5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7" t="n">
        <v>0</v>
      </c>
      <c r="U4363" s="17" t="n">
        <v>122</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1 of 1: control / local station</t>
        </is>
      </c>
      <c r="E4364" s="12" t="inlineStr"/>
      <c r="F4364" s="12" t="inlineStr">
        <is>
          <t>PCM: power control module</t>
        </is>
      </c>
      <c r="G4364" s="12" t="inlineStr"/>
      <c r="H4364" s="12" t="inlineStr">
        <is>
          <t>RICE 8 SCR + oxidation catalyst and stack</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7" t="n">
        <v>322</v>
      </c>
      <c r="U4364" s="17" t="n">
        <v>112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1 of 5: control / local station</t>
        </is>
      </c>
      <c r="E4365" s="12" t="inlineStr"/>
      <c r="F4365" s="12" t="inlineStr">
        <is>
          <t>PCM: power control module</t>
        </is>
      </c>
      <c r="G4365" s="12" t="inlineStr"/>
      <c r="H4365" s="12" t="inlineStr">
        <is>
          <t>RICE 8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7" t="n">
        <v>0</v>
      </c>
      <c r="U4365" s="17" t="n">
        <v>94</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2 of 5: control / local station</t>
        </is>
      </c>
      <c r="E4366" s="12" t="inlineStr"/>
      <c r="F4366" s="12" t="inlineStr">
        <is>
          <t>PCM: power control module</t>
        </is>
      </c>
      <c r="G4366" s="12" t="inlineStr"/>
      <c r="H4366" s="12" t="inlineStr">
        <is>
          <t>RICE 8 radiators (5)</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7" t="n">
        <v>0</v>
      </c>
      <c r="U4366" s="17" t="n">
        <v>94</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3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7" t="n">
        <v>0</v>
      </c>
      <c r="U4367" s="17" t="n">
        <v>94</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4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7" t="n">
        <v>0</v>
      </c>
      <c r="U4368" s="17" t="n">
        <v>94</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5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7" t="n">
        <v>0</v>
      </c>
      <c r="U4369" s="17" t="n">
        <v>94</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Control</t>
        </is>
      </c>
      <c r="E4370" s="12" t="inlineStr"/>
      <c r="F4370" s="12" t="inlineStr">
        <is>
          <t>PCM: power control module</t>
        </is>
      </c>
      <c r="G4370" s="12" t="inlineStr"/>
      <c r="H4370" s="12" t="inlineStr">
        <is>
          <t>RICE CEMS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7" t="n">
        <v>260</v>
      </c>
      <c r="U4370" s="17" t="n">
        <v>131</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Control</t>
        </is>
      </c>
      <c r="E4371" s="12" t="inlineStr"/>
      <c r="F4371" s="12" t="inlineStr">
        <is>
          <t>PCM: power control module</t>
        </is>
      </c>
      <c r="G4371" s="12" t="inlineStr">
        <is>
          <t>RICE</t>
        </is>
      </c>
      <c r="H4371" s="12" t="inlineStr">
        <is>
          <t>RICE engine hall (8 engines)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7" t="n">
        <v>367</v>
      </c>
      <c r="U4371" s="17" t="n">
        <v>95</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Control</t>
        </is>
      </c>
      <c r="E4372" s="12" t="inlineStr"/>
      <c r="F4372" s="12" t="inlineStr">
        <is>
          <t>PCM: power control module</t>
        </is>
      </c>
      <c r="G4372" s="12" t="inlineStr">
        <is>
          <t>RICE</t>
        </is>
      </c>
      <c r="H4372" s="12" t="inlineStr">
        <is>
          <t>RICE engine hall (8 engines)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7" t="n">
        <v>367</v>
      </c>
      <c r="U4372" s="17" t="n">
        <v>95</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CT|12/C|14</t>
        </is>
      </c>
      <c r="L4373" s="12" t="inlineStr">
        <is>
          <t>12/C</t>
        </is>
      </c>
      <c r="M4373" s="12" t="inlineStr">
        <is>
          <t>14</t>
        </is>
      </c>
      <c r="N4373" s="12" t="n">
        <v>1</v>
      </c>
      <c r="O4373" s="12" t="n">
        <v>1</v>
      </c>
      <c r="P4373" s="12" t="n"/>
      <c r="Q4373" s="12" t="n"/>
      <c r="R4373" s="12" t="n"/>
      <c r="S4373" s="12" t="inlineStr">
        <is>
          <t>Duct bank</t>
        </is>
      </c>
      <c r="T4373" s="17" t="n">
        <v>367</v>
      </c>
      <c r="U4373" s="17" t="n">
        <v>95</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CT|12/C|14</t>
        </is>
      </c>
      <c r="L4374" s="12" t="inlineStr">
        <is>
          <t>12/C</t>
        </is>
      </c>
      <c r="M4374" s="12" t="inlineStr">
        <is>
          <t>14</t>
        </is>
      </c>
      <c r="N4374" s="12" t="n">
        <v>1</v>
      </c>
      <c r="O4374" s="12" t="n">
        <v>1</v>
      </c>
      <c r="P4374" s="12" t="n"/>
      <c r="Q4374" s="12" t="n"/>
      <c r="R4374" s="12" t="n"/>
      <c r="S4374" s="12" t="inlineStr">
        <is>
          <t>Duct bank</t>
        </is>
      </c>
      <c r="T4374" s="17" t="n">
        <v>367</v>
      </c>
      <c r="U4374" s="17" t="n">
        <v>95</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7" t="n">
        <v>367</v>
      </c>
      <c r="U4375" s="17" t="n">
        <v>95</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7" t="n">
        <v>367</v>
      </c>
      <c r="U4376" s="17" t="n">
        <v>95</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7" t="n">
        <v>367</v>
      </c>
      <c r="U4377" s="17" t="n">
        <v>95</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7" t="n">
        <v>367</v>
      </c>
      <c r="U4378" s="17" t="n">
        <v>95</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1 of 6: control / local station</t>
        </is>
      </c>
      <c r="E4379" s="12" t="inlineStr"/>
      <c r="F4379" s="12" t="inlineStr">
        <is>
          <t>PCM: power control module</t>
        </is>
      </c>
      <c r="G4379" s="12" t="inlineStr">
        <is>
          <t>RICE-1</t>
        </is>
      </c>
      <c r="H4379" s="12" t="inlineStr">
        <is>
          <t>RICE engine-generator 1</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7" t="n">
        <v>550</v>
      </c>
      <c r="U4379" s="17" t="n">
        <v>137</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2 of 6: control / local station</t>
        </is>
      </c>
      <c r="E4380" s="12" t="inlineStr"/>
      <c r="F4380" s="12" t="inlineStr">
        <is>
          <t>PCM: power control module</t>
        </is>
      </c>
      <c r="G4380" s="12" t="inlineStr">
        <is>
          <t>RICE-1</t>
        </is>
      </c>
      <c r="H4380" s="12" t="inlineStr">
        <is>
          <t>RICE engine-generator 1</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7" t="n">
        <v>550</v>
      </c>
      <c r="U4380" s="17" t="n">
        <v>137</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3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7" t="n">
        <v>550</v>
      </c>
      <c r="U4381" s="17" t="n">
        <v>137</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4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7" t="n">
        <v>550</v>
      </c>
      <c r="U4382" s="17" t="n">
        <v>137</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5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7" t="n">
        <v>550</v>
      </c>
      <c r="U4383" s="17" t="n">
        <v>137</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6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7" t="n">
        <v>550</v>
      </c>
      <c r="U4384" s="17" t="n">
        <v>137</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1 of 6: control / local station</t>
        </is>
      </c>
      <c r="E4385" s="12" t="inlineStr"/>
      <c r="F4385" s="12" t="inlineStr">
        <is>
          <t>PCM: power control module</t>
        </is>
      </c>
      <c r="G4385" s="12" t="inlineStr">
        <is>
          <t>RICE-2</t>
        </is>
      </c>
      <c r="H4385" s="12" t="inlineStr">
        <is>
          <t>RICE engine-generator 2</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7" t="n">
        <v>550</v>
      </c>
      <c r="U4385" s="17" t="n">
        <v>109</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Motor 2 of 6: control / local station</t>
        </is>
      </c>
      <c r="E4386" s="12" t="inlineStr"/>
      <c r="F4386" s="12" t="inlineStr">
        <is>
          <t>PCM: power control module</t>
        </is>
      </c>
      <c r="G4386" s="12" t="inlineStr">
        <is>
          <t>RICE-2</t>
        </is>
      </c>
      <c r="H4386" s="12" t="inlineStr">
        <is>
          <t>RICE engine-generator 2</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7" t="n">
        <v>550</v>
      </c>
      <c r="U4386" s="17" t="n">
        <v>109</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3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7" t="n">
        <v>550</v>
      </c>
      <c r="U4387" s="17" t="n">
        <v>109</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4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7" t="n">
        <v>550</v>
      </c>
      <c r="U4388" s="17" t="n">
        <v>109</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Motor 5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7" t="n">
        <v>550</v>
      </c>
      <c r="U4389" s="17" t="n">
        <v>109</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I-C-0156</t>
        </is>
      </c>
      <c r="B4390" s="12" t="inlineStr">
        <is>
          <t>I</t>
        </is>
      </c>
      <c r="C4390" s="12" t="inlineStr">
        <is>
          <t>Modular / portable power</t>
        </is>
      </c>
      <c r="D4390" s="12" t="inlineStr">
        <is>
          <t>Motor 6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7" t="n">
        <v>550</v>
      </c>
      <c r="U4390" s="17" t="n">
        <v>109</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1 of 6: control / local station</t>
        </is>
      </c>
      <c r="E4391" s="12" t="inlineStr"/>
      <c r="F4391" s="12" t="inlineStr">
        <is>
          <t>PCM: power control module</t>
        </is>
      </c>
      <c r="G4391" s="12" t="inlineStr">
        <is>
          <t>RICE-3</t>
        </is>
      </c>
      <c r="H4391" s="12" t="inlineStr">
        <is>
          <t>RICE engine-generator 3</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7" t="n">
        <v>550</v>
      </c>
      <c r="U4391" s="17" t="n">
        <v>81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Motor 2 of 6: control / local station</t>
        </is>
      </c>
      <c r="E4392" s="12" t="inlineStr"/>
      <c r="F4392" s="12" t="inlineStr">
        <is>
          <t>PCM: power control module</t>
        </is>
      </c>
      <c r="G4392" s="12" t="inlineStr">
        <is>
          <t>RICE-3</t>
        </is>
      </c>
      <c r="H4392" s="12" t="inlineStr">
        <is>
          <t>RICE engine-generator 3</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7" t="n">
        <v>550</v>
      </c>
      <c r="U4392" s="17" t="n">
        <v>81</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I-C-0159</t>
        </is>
      </c>
      <c r="B4393" s="12" t="inlineStr">
        <is>
          <t>I</t>
        </is>
      </c>
      <c r="C4393" s="12" t="inlineStr">
        <is>
          <t>Modular / portable power</t>
        </is>
      </c>
      <c r="D4393" s="12" t="inlineStr">
        <is>
          <t>Motor 3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7" t="n">
        <v>550</v>
      </c>
      <c r="U4393" s="17" t="n">
        <v>81</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4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7" t="n">
        <v>550</v>
      </c>
      <c r="U4394" s="17" t="n">
        <v>81</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Motor 5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7" t="n">
        <v>550</v>
      </c>
      <c r="U4395" s="17" t="n">
        <v>81</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I-C-0162</t>
        </is>
      </c>
      <c r="B4396" s="12" t="inlineStr">
        <is>
          <t>I</t>
        </is>
      </c>
      <c r="C4396" s="12" t="inlineStr">
        <is>
          <t>Modular / portable power</t>
        </is>
      </c>
      <c r="D4396" s="12" t="inlineStr">
        <is>
          <t>Motor 6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7" t="n">
        <v>550</v>
      </c>
      <c r="U4396" s="17" t="n">
        <v>81</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I-C-0163</t>
        </is>
      </c>
      <c r="B4397" s="12" t="inlineStr">
        <is>
          <t>I</t>
        </is>
      </c>
      <c r="C4397" s="12" t="inlineStr">
        <is>
          <t>Modular / portable power</t>
        </is>
      </c>
      <c r="D4397" s="12" t="inlineStr">
        <is>
          <t>Motor 1 of 6: control / local station</t>
        </is>
      </c>
      <c r="E4397" s="12" t="inlineStr"/>
      <c r="F4397" s="12" t="inlineStr">
        <is>
          <t>PCM: power control module</t>
        </is>
      </c>
      <c r="G4397" s="12" t="inlineStr">
        <is>
          <t>RICE-4</t>
        </is>
      </c>
      <c r="H4397" s="12" t="inlineStr">
        <is>
          <t>RICE engine-generator 4</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7" t="n">
        <v>550</v>
      </c>
      <c r="U4397" s="17" t="n">
        <v>53</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Motor 2 of 6: control / local station</t>
        </is>
      </c>
      <c r="E4398" s="12" t="inlineStr"/>
      <c r="F4398" s="12" t="inlineStr">
        <is>
          <t>PCM: power control module</t>
        </is>
      </c>
      <c r="G4398" s="12" t="inlineStr">
        <is>
          <t>RICE-4</t>
        </is>
      </c>
      <c r="H4398" s="12" t="inlineStr">
        <is>
          <t>RICE engine-generator 4</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7" t="n">
        <v>550</v>
      </c>
      <c r="U4398" s="17" t="n">
        <v>53</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I-C-0165</t>
        </is>
      </c>
      <c r="B4399" s="12" t="inlineStr">
        <is>
          <t>I</t>
        </is>
      </c>
      <c r="C4399" s="12" t="inlineStr">
        <is>
          <t>Modular / portable power</t>
        </is>
      </c>
      <c r="D4399" s="12" t="inlineStr">
        <is>
          <t>Motor 3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7" t="n">
        <v>550</v>
      </c>
      <c r="U4399" s="17" t="n">
        <v>53</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I-C-0166</t>
        </is>
      </c>
      <c r="B4400" s="12" t="inlineStr">
        <is>
          <t>I</t>
        </is>
      </c>
      <c r="C4400" s="12" t="inlineStr">
        <is>
          <t>Modular / portable power</t>
        </is>
      </c>
      <c r="D4400" s="12" t="inlineStr">
        <is>
          <t>Motor 4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7" t="n">
        <v>550</v>
      </c>
      <c r="U4400" s="17" t="n">
        <v>53</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Motor 5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7" t="n">
        <v>550</v>
      </c>
      <c r="U4401" s="17" t="n">
        <v>53</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I-C-0168</t>
        </is>
      </c>
      <c r="B4402" s="12" t="inlineStr">
        <is>
          <t>I</t>
        </is>
      </c>
      <c r="C4402" s="12" t="inlineStr">
        <is>
          <t>Modular / portable power</t>
        </is>
      </c>
      <c r="D4402" s="12" t="inlineStr">
        <is>
          <t>Motor 6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7" t="n">
        <v>550</v>
      </c>
      <c r="U4402" s="17" t="n">
        <v>53</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I-C-0169</t>
        </is>
      </c>
      <c r="B4403" s="12" t="inlineStr">
        <is>
          <t>I</t>
        </is>
      </c>
      <c r="C4403" s="12" t="inlineStr">
        <is>
          <t>Modular / portable power</t>
        </is>
      </c>
      <c r="D4403" s="12" t="inlineStr">
        <is>
          <t>Motor 1 of 6: control / local station</t>
        </is>
      </c>
      <c r="E4403" s="12" t="inlineStr"/>
      <c r="F4403" s="12" t="inlineStr">
        <is>
          <t>PCM: power control module</t>
        </is>
      </c>
      <c r="G4403" s="12" t="inlineStr">
        <is>
          <t>RICE-5</t>
        </is>
      </c>
      <c r="H4403" s="12" t="inlineStr">
        <is>
          <t>RICE engine-generator 5</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7" t="n">
        <v>367</v>
      </c>
      <c r="U4403" s="17" t="n">
        <v>208</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Motor 2 of 6: control / local station</t>
        </is>
      </c>
      <c r="E4404" s="12" t="inlineStr"/>
      <c r="F4404" s="12" t="inlineStr">
        <is>
          <t>PCM: power control module</t>
        </is>
      </c>
      <c r="G4404" s="12" t="inlineStr">
        <is>
          <t>RICE-5</t>
        </is>
      </c>
      <c r="H4404" s="12" t="inlineStr">
        <is>
          <t>RICE engine-generator 5</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7" t="n">
        <v>367</v>
      </c>
      <c r="U4404" s="17" t="n">
        <v>208</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I-C-0171</t>
        </is>
      </c>
      <c r="B4405" s="12" t="inlineStr">
        <is>
          <t>I</t>
        </is>
      </c>
      <c r="C4405" s="12" t="inlineStr">
        <is>
          <t>Modular / portable power</t>
        </is>
      </c>
      <c r="D4405" s="12" t="inlineStr">
        <is>
          <t>Motor 3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7" t="n">
        <v>367</v>
      </c>
      <c r="U4405" s="17" t="n">
        <v>208</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Motor 4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7" t="n">
        <v>367</v>
      </c>
      <c r="U4406" s="17" t="n">
        <v>208</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I-C-0173</t>
        </is>
      </c>
      <c r="B4407" s="12" t="inlineStr">
        <is>
          <t>I</t>
        </is>
      </c>
      <c r="C4407" s="12" t="inlineStr">
        <is>
          <t>Modular / portable power</t>
        </is>
      </c>
      <c r="D4407" s="12" t="inlineStr">
        <is>
          <t>Motor 5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7" t="n">
        <v>367</v>
      </c>
      <c r="U4407" s="17" t="n">
        <v>208</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6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7" t="n">
        <v>367</v>
      </c>
      <c r="U4408" s="17" t="n">
        <v>208</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Motor 1 of 6: control / local station</t>
        </is>
      </c>
      <c r="E4409" s="12" t="inlineStr"/>
      <c r="F4409" s="12" t="inlineStr">
        <is>
          <t>PCM: power control module</t>
        </is>
      </c>
      <c r="G4409" s="12" t="inlineStr">
        <is>
          <t>RICE-6</t>
        </is>
      </c>
      <c r="H4409" s="12" t="inlineStr">
        <is>
          <t>RICE engine-generator 6</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7" t="n">
        <v>367</v>
      </c>
      <c r="U4409" s="17" t="n">
        <v>180</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I-C-0176</t>
        </is>
      </c>
      <c r="B4410" s="12" t="inlineStr">
        <is>
          <t>I</t>
        </is>
      </c>
      <c r="C4410" s="12" t="inlineStr">
        <is>
          <t>Modular / portable power</t>
        </is>
      </c>
      <c r="D4410" s="12" t="inlineStr">
        <is>
          <t>Motor 2 of 6: control / local station</t>
        </is>
      </c>
      <c r="E4410" s="12" t="inlineStr"/>
      <c r="F4410" s="12" t="inlineStr">
        <is>
          <t>PCM: power control module</t>
        </is>
      </c>
      <c r="G4410" s="12" t="inlineStr">
        <is>
          <t>RICE-6</t>
        </is>
      </c>
      <c r="H4410" s="12" t="inlineStr">
        <is>
          <t>RICE engine-generator 6</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7" t="n">
        <v>367</v>
      </c>
      <c r="U4410" s="17" t="n">
        <v>180</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3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7" t="n">
        <v>367</v>
      </c>
      <c r="U4411" s="17" t="n">
        <v>180</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Motor 4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7" t="n">
        <v>367</v>
      </c>
      <c r="U4412" s="17" t="n">
        <v>180</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I-C-0179</t>
        </is>
      </c>
      <c r="B4413" s="12" t="inlineStr">
        <is>
          <t>I</t>
        </is>
      </c>
      <c r="C4413" s="12" t="inlineStr">
        <is>
          <t>Modular / portable power</t>
        </is>
      </c>
      <c r="D4413" s="12" t="inlineStr">
        <is>
          <t>Motor 5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7" t="n">
        <v>367</v>
      </c>
      <c r="U4413" s="17" t="n">
        <v>180</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6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7" t="n">
        <v>367</v>
      </c>
      <c r="U4414" s="17" t="n">
        <v>180</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Motor 1 of 6: control / local station</t>
        </is>
      </c>
      <c r="E4415" s="12" t="inlineStr"/>
      <c r="F4415" s="12" t="inlineStr">
        <is>
          <t>PCM: power control module</t>
        </is>
      </c>
      <c r="G4415" s="12" t="inlineStr">
        <is>
          <t>RICE-7</t>
        </is>
      </c>
      <c r="H4415" s="12" t="inlineStr">
        <is>
          <t>RICE engine-generator 7</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7" t="n">
        <v>0</v>
      </c>
      <c r="U4415" s="17" t="n">
        <v>189</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I-C-0182</t>
        </is>
      </c>
      <c r="B4416" s="12" t="inlineStr">
        <is>
          <t>I</t>
        </is>
      </c>
      <c r="C4416" s="12" t="inlineStr">
        <is>
          <t>Modular / portable power</t>
        </is>
      </c>
      <c r="D4416" s="12" t="inlineStr">
        <is>
          <t>Motor 2 of 6: control / local station</t>
        </is>
      </c>
      <c r="E4416" s="12" t="inlineStr"/>
      <c r="F4416" s="12" t="inlineStr">
        <is>
          <t>PCM: power control module</t>
        </is>
      </c>
      <c r="G4416" s="12" t="inlineStr">
        <is>
          <t>RICE-7</t>
        </is>
      </c>
      <c r="H4416" s="12" t="inlineStr">
        <is>
          <t>RICE engine-generator 7</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7" t="n">
        <v>0</v>
      </c>
      <c r="U4416" s="17" t="n">
        <v>189</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3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7" t="n">
        <v>0</v>
      </c>
      <c r="U4417" s="17" t="n">
        <v>189</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Motor 4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7" t="n">
        <v>0</v>
      </c>
      <c r="U4418" s="17" t="n">
        <v>189</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I-C-0185</t>
        </is>
      </c>
      <c r="B4419" s="12" t="inlineStr">
        <is>
          <t>I</t>
        </is>
      </c>
      <c r="C4419" s="12" t="inlineStr">
        <is>
          <t>Modular / portable power</t>
        </is>
      </c>
      <c r="D4419" s="12" t="inlineStr">
        <is>
          <t>Motor 5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7" t="n">
        <v>0</v>
      </c>
      <c r="U4419" s="17" t="n">
        <v>189</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6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Tray</t>
        </is>
      </c>
      <c r="T4420" s="17" t="n">
        <v>0</v>
      </c>
      <c r="U4420" s="17" t="n">
        <v>189</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Motor 1 of 6: control / local station</t>
        </is>
      </c>
      <c r="E4421" s="12" t="inlineStr"/>
      <c r="F4421" s="12" t="inlineStr">
        <is>
          <t>PCM: power control module</t>
        </is>
      </c>
      <c r="G4421" s="12" t="inlineStr">
        <is>
          <t>RICE-8</t>
        </is>
      </c>
      <c r="H4421" s="12" t="inlineStr">
        <is>
          <t>RICE engine-generator 8</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Tray</t>
        </is>
      </c>
      <c r="T4421" s="17" t="n">
        <v>0</v>
      </c>
      <c r="U4421" s="17" t="n">
        <v>161</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I-C-0188</t>
        </is>
      </c>
      <c r="B4422" s="12" t="inlineStr">
        <is>
          <t>I</t>
        </is>
      </c>
      <c r="C4422" s="12" t="inlineStr">
        <is>
          <t>Modular / portable power</t>
        </is>
      </c>
      <c r="D4422" s="12" t="inlineStr">
        <is>
          <t>Motor 2 of 6: control / local station</t>
        </is>
      </c>
      <c r="E4422" s="12" t="inlineStr"/>
      <c r="F4422" s="12" t="inlineStr">
        <is>
          <t>PCM: power control module</t>
        </is>
      </c>
      <c r="G4422" s="12" t="inlineStr">
        <is>
          <t>RICE-8</t>
        </is>
      </c>
      <c r="H4422" s="12" t="inlineStr">
        <is>
          <t>RICE engine-generator 8</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Tray</t>
        </is>
      </c>
      <c r="T4422" s="17" t="n">
        <v>0</v>
      </c>
      <c r="U4422" s="17" t="n">
        <v>161</v>
      </c>
      <c r="V4422" s="17">
        <f>ROUNDUP((T4422+U4422+2*'Read Me'!$B$13)*(1+'Read Me'!$B$12),-1)</f>
        <v/>
      </c>
      <c r="W4422" s="17">
        <f>V4422*N4422*O4422</f>
        <v/>
      </c>
      <c r="X4422" s="12">
        <f>IF(LEFT(I4422,2)="MV",2*N4422*IF(L4422="1/C",O4422,1),0)</f>
        <v/>
      </c>
      <c r="Y4422" s="12">
        <f>IF(OR(LEFT(K4422,4)="LVAX",LEFT(K4422,6)="MV15AX",LEFT(K4422,4)="CTAX",LEFT(K4422,2)="W|"),2*N4422*O4422,0)</f>
        <v/>
      </c>
      <c r="Z4422" s="12" t="inlineStr"/>
      <c r="AA4422" s="12">
        <f>N4422*O4422</f>
        <v/>
      </c>
    </row>
    <row r="4423">
      <c r="A4423" s="12" t="inlineStr">
        <is>
          <t>I-C-0189</t>
        </is>
      </c>
      <c r="B4423" s="12" t="inlineStr">
        <is>
          <t>I</t>
        </is>
      </c>
      <c r="C4423" s="12" t="inlineStr">
        <is>
          <t>Modular / portable power</t>
        </is>
      </c>
      <c r="D4423" s="12" t="inlineStr">
        <is>
          <t>Motor 3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7" t="n">
        <v>0</v>
      </c>
      <c r="U4423" s="17" t="n">
        <v>161</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Motor 4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7" t="n">
        <v>0</v>
      </c>
      <c r="U4424" s="17" t="n">
        <v>161</v>
      </c>
      <c r="V4424" s="17">
        <f>ROUNDUP((T4424+U4424+2*'Read Me'!$B$13)*(1+'Read Me'!$B$12),-1)</f>
        <v/>
      </c>
      <c r="W4424" s="17">
        <f>V4424*N4424*O4424</f>
        <v/>
      </c>
      <c r="X4424" s="12">
        <f>IF(LEFT(I4424,2)="MV",2*N4424*IF(L4424="1/C",O4424,1),0)</f>
        <v/>
      </c>
      <c r="Y4424" s="12">
        <f>IF(OR(LEFT(K4424,4)="LVAX",LEFT(K4424,6)="MV15AX",LEFT(K4424,4)="CTAX",LEFT(K4424,2)="W|"),2*N4424*O4424,0)</f>
        <v/>
      </c>
      <c r="Z4424" s="12" t="inlineStr"/>
      <c r="AA4424" s="12">
        <f>N4424*O4424</f>
        <v/>
      </c>
    </row>
    <row r="4425">
      <c r="A4425" s="12" t="inlineStr">
        <is>
          <t>I-C-0191</t>
        </is>
      </c>
      <c r="B4425" s="12" t="inlineStr">
        <is>
          <t>I</t>
        </is>
      </c>
      <c r="C4425" s="12" t="inlineStr">
        <is>
          <t>Modular / portable power</t>
        </is>
      </c>
      <c r="D4425" s="12" t="inlineStr">
        <is>
          <t>Motor 5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7" t="n">
        <v>0</v>
      </c>
      <c r="U4425" s="17" t="n">
        <v>161</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I-C-0192</t>
        </is>
      </c>
      <c r="B4426" s="12" t="inlineStr">
        <is>
          <t>I</t>
        </is>
      </c>
      <c r="C4426" s="12" t="inlineStr">
        <is>
          <t>Modular / portable power</t>
        </is>
      </c>
      <c r="D4426" s="12" t="inlineStr">
        <is>
          <t>Motor 6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7" t="n">
        <v>0</v>
      </c>
      <c r="U4426" s="17" t="n">
        <v>161</v>
      </c>
      <c r="V4426" s="17">
        <f>ROUNDUP((T4426+U4426+2*'Read Me'!$B$13)*(1+'Read Me'!$B$12),-1)</f>
        <v/>
      </c>
      <c r="W4426" s="17">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Control</t>
        </is>
      </c>
      <c r="E4427" s="12" t="inlineStr"/>
      <c r="F4427" s="12" t="inlineStr">
        <is>
          <t>PCM: power control module</t>
        </is>
      </c>
      <c r="G4427" s="12" t="inlineStr"/>
      <c r="H4427" s="12" t="inlineStr">
        <is>
          <t>Reagent storage</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Tray</t>
        </is>
      </c>
      <c r="T4427" s="17" t="n">
        <v>40</v>
      </c>
      <c r="U4427" s="17" t="n">
        <v>32</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I-C-0194</t>
        </is>
      </c>
      <c r="B4428" s="12" t="inlineStr">
        <is>
          <t>I</t>
        </is>
      </c>
      <c r="C4428" s="12" t="inlineStr">
        <is>
          <t>Modular / portable power</t>
        </is>
      </c>
      <c r="D4428" s="12" t="inlineStr">
        <is>
          <t>Motor 1 of 2: control / local station</t>
        </is>
      </c>
      <c r="E4428" s="12" t="inlineStr"/>
      <c r="F4428" s="12" t="inlineStr">
        <is>
          <t>SC-1 PCM + 15 kV GCB</t>
        </is>
      </c>
      <c r="G4428" s="12" t="inlineStr"/>
      <c r="H4428" s="12" t="inlineStr">
        <is>
          <t>SC-1 CEMS shelter</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Tray</t>
        </is>
      </c>
      <c r="T4428" s="17" t="n">
        <v>0</v>
      </c>
      <c r="U4428" s="17" t="n">
        <v>229</v>
      </c>
      <c r="V4428" s="17">
        <f>ROUNDUP((T4428+U4428+2*'Read Me'!$B$13)*(1+'Read Me'!$B$12),-1)</f>
        <v/>
      </c>
      <c r="W4428" s="17">
        <f>V4428*N4428*O4428</f>
        <v/>
      </c>
      <c r="X4428" s="12">
        <f>IF(LEFT(I4428,2)="MV",2*N4428*IF(L4428="1/C",O4428,1),0)</f>
        <v/>
      </c>
      <c r="Y4428" s="12">
        <f>IF(OR(LEFT(K4428,4)="LVAX",LEFT(K4428,6)="MV15AX",LEFT(K4428,4)="CTAX",LEFT(K4428,2)="W|"),2*N4428*O4428,0)</f>
        <v/>
      </c>
      <c r="Z4428" s="12" t="inlineStr"/>
      <c r="AA4428" s="12">
        <f>N4428*O4428</f>
        <v/>
      </c>
    </row>
    <row r="4429">
      <c r="A4429" s="12" t="inlineStr">
        <is>
          <t>I-C-0195</t>
        </is>
      </c>
      <c r="B4429" s="12" t="inlineStr">
        <is>
          <t>I</t>
        </is>
      </c>
      <c r="C4429" s="12" t="inlineStr">
        <is>
          <t>Modular / portable power</t>
        </is>
      </c>
      <c r="D4429" s="12" t="inlineStr">
        <is>
          <t>Motor 2 of 2: control / local station</t>
        </is>
      </c>
      <c r="E4429" s="12" t="inlineStr"/>
      <c r="F4429" s="12" t="inlineStr">
        <is>
          <t>SC-1 PCM + 15 kV GCB</t>
        </is>
      </c>
      <c r="G4429" s="12" t="inlineStr"/>
      <c r="H4429" s="12" t="inlineStr">
        <is>
          <t>SC-1 CEMS shelter</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Tray</t>
        </is>
      </c>
      <c r="T4429" s="17" t="n">
        <v>0</v>
      </c>
      <c r="U4429" s="17" t="n">
        <v>229</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SC-1 generator CT / VT secondaries to the PCM protection</t>
        </is>
      </c>
      <c r="E4430" s="12" t="inlineStr">
        <is>
          <t>SC-1</t>
        </is>
      </c>
      <c r="F4430" s="12" t="inlineStr">
        <is>
          <t>SC-1: aeroderivative simple-cycle unit (LM6000 class)</t>
        </is>
      </c>
      <c r="G4430" s="12" t="inlineStr"/>
      <c r="H4430" s="12" t="inlineStr">
        <is>
          <t>SC-1 PCM + 15 kV GCB</t>
        </is>
      </c>
      <c r="I4430" s="12" t="inlineStr">
        <is>
          <t>Control</t>
        </is>
      </c>
      <c r="J4430" s="12" t="inlineStr">
        <is>
          <t>Control cable 600 V Type TC-ER, Cu #10 AWG (CT / VT circuits)</t>
        </is>
      </c>
      <c r="K4430" s="12" t="inlineStr">
        <is>
          <t>CTCT|12/C|10</t>
        </is>
      </c>
      <c r="L4430" s="12" t="inlineStr">
        <is>
          <t>12/C</t>
        </is>
      </c>
      <c r="M4430" s="12" t="inlineStr">
        <is>
          <t>10</t>
        </is>
      </c>
      <c r="N4430" s="12" t="n">
        <v>2</v>
      </c>
      <c r="O4430" s="12" t="n">
        <v>1</v>
      </c>
      <c r="P4430" s="12" t="n"/>
      <c r="Q4430" s="12" t="n"/>
      <c r="R4430" s="12" t="n"/>
      <c r="S4430" s="12" t="inlineStr">
        <is>
          <t>Tray</t>
        </is>
      </c>
      <c r="T4430" s="17" t="n">
        <v>12</v>
      </c>
      <c r="U4430" s="17" t="n">
        <v>52</v>
      </c>
      <c r="V4430" s="17">
        <f>ROUNDUP((T4430+U4430+2*'Read Me'!$B$13)*(1+'Read Me'!$B$12),-1)</f>
        <v/>
      </c>
      <c r="W4430" s="17">
        <f>V4430*N4430*O4430</f>
        <v/>
      </c>
      <c r="X4430" s="12">
        <f>IF(LEFT(I4430,2)="MV",2*N4430*IF(L4430="1/C",O4430,1),0)</f>
        <v/>
      </c>
      <c r="Y4430" s="12">
        <f>IF(OR(LEFT(K4430,4)="LVAX",LEFT(K4430,6)="MV15AX",LEFT(K4430,4)="CTAX",LEFT(K4430,2)="W|"),2*N4430*O4430,0)</f>
        <v/>
      </c>
      <c r="Z4430" s="12" t="inlineStr">
        <is>
          <t>line-side and neutral CTs, VTs in the terminal box</t>
        </is>
      </c>
      <c r="AA4430" s="12">
        <f>N4430*O4430</f>
        <v/>
      </c>
    </row>
    <row r="4431">
      <c r="A4431" s="12" t="inlineStr">
        <is>
          <t>I-C-0197</t>
        </is>
      </c>
      <c r="B4431" s="12" t="inlineStr">
        <is>
          <t>I</t>
        </is>
      </c>
      <c r="C4431" s="12" t="inlineStr">
        <is>
          <t>Modular / portable power</t>
        </is>
      </c>
      <c r="D4431" s="12" t="inlineStr">
        <is>
          <t>Motor 1 of 2: control / local station</t>
        </is>
      </c>
      <c r="E4431" s="12" t="inlineStr"/>
      <c r="F4431" s="12" t="inlineStr">
        <is>
          <t>SC-1 PCM + 15 kV GCB</t>
        </is>
      </c>
      <c r="G4431" s="12" t="inlineStr"/>
      <c r="H4431" s="12" t="inlineStr">
        <is>
          <t>SC-1 ammonia flow-control unit</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Tray</t>
        </is>
      </c>
      <c r="T4431" s="17" t="n">
        <v>0</v>
      </c>
      <c r="U4431" s="17" t="n">
        <v>152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Motor 2 of 2: control / local station</t>
        </is>
      </c>
      <c r="E4432" s="12" t="inlineStr"/>
      <c r="F4432" s="12" t="inlineStr">
        <is>
          <t>SC-1 PCM + 15 kV GCB</t>
        </is>
      </c>
      <c r="G4432" s="12" t="inlineStr"/>
      <c r="H4432" s="12" t="inlineStr">
        <is>
          <t>SC-1 ammonia flow-control unit</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Tray</t>
        </is>
      </c>
      <c r="T4432" s="17" t="n">
        <v>0</v>
      </c>
      <c r="U4432" s="17" t="n">
        <v>152</v>
      </c>
      <c r="V4432" s="17">
        <f>ROUNDUP((T4432+U4432+2*'Read Me'!$B$13)*(1+'Read Me'!$B$12),-1)</f>
        <v/>
      </c>
      <c r="W4432" s="17">
        <f>V4432*N4432*O4432</f>
        <v/>
      </c>
      <c r="X4432" s="12">
        <f>IF(LEFT(I4432,2)="MV",2*N4432*IF(L4432="1/C",O4432,1),0)</f>
        <v/>
      </c>
      <c r="Y4432" s="12">
        <f>IF(OR(LEFT(K4432,4)="LVAX",LEFT(K4432,6)="MV15AX",LEFT(K4432,4)="CTAX",LEFT(K4432,2)="W|"),2*N4432*O4432,0)</f>
        <v/>
      </c>
      <c r="Z4432" s="12" t="inlineStr"/>
      <c r="AA4432" s="12">
        <f>N4432*O4432</f>
        <v/>
      </c>
    </row>
    <row r="4433">
      <c r="A4433" s="12" t="inlineStr">
        <is>
          <t>I-C-0199</t>
        </is>
      </c>
      <c r="B4433" s="12" t="inlineStr">
        <is>
          <t>I</t>
        </is>
      </c>
      <c r="C4433" s="12" t="inlineStr">
        <is>
          <t>Modular / portable power</t>
        </is>
      </c>
      <c r="D4433" s="12" t="inlineStr">
        <is>
          <t>Solenoid to JB JB-SC-1 ammonia flow--SOL01: 4 x 2/C (field cables)</t>
        </is>
      </c>
      <c r="E4433" s="12" t="inlineStr"/>
      <c r="F4433" s="12" t="inlineStr">
        <is>
          <t>SC-1 ammonia flow-control unit</t>
        </is>
      </c>
      <c r="G4433" s="12" t="inlineStr">
        <is>
          <t>JB-SC-1 ammonia flow--SOL01</t>
        </is>
      </c>
      <c r="H4433" s="12" t="inlineStr">
        <is>
          <t>SC-1 ammonia flow-control unit</t>
        </is>
      </c>
      <c r="I4433" s="12" t="inlineStr">
        <is>
          <t>Control</t>
        </is>
      </c>
      <c r="J4433" s="12" t="inlineStr">
        <is>
          <t>Control cable 600 V Type TC-ER, Cu #14 AWG, PVC jacket</t>
        </is>
      </c>
      <c r="K4433" s="12" t="inlineStr">
        <is>
          <t>CT|2/C|14</t>
        </is>
      </c>
      <c r="L4433" s="12" t="inlineStr">
        <is>
          <t>2/C</t>
        </is>
      </c>
      <c r="M4433" s="12" t="inlineStr">
        <is>
          <t>14</t>
        </is>
      </c>
      <c r="N4433" s="12" t="n">
        <v>4</v>
      </c>
      <c r="O4433" s="12" t="n">
        <v>1</v>
      </c>
      <c r="P4433" s="12" t="n"/>
      <c r="Q4433" s="12" t="n"/>
      <c r="R4433" s="12" t="n"/>
      <c r="S4433" s="12" t="inlineStr">
        <is>
          <t>Tray / conduit</t>
        </is>
      </c>
      <c r="T4433" s="17" t="n">
        <v>40</v>
      </c>
      <c r="U4433" s="17" t="n">
        <v>10</v>
      </c>
      <c r="V4433" s="17">
        <f>ROUNDUP((T4433+U4433+2*'Read Me'!$B$13)*(1+'Read Me'!$B$12),-1)</f>
        <v/>
      </c>
      <c r="W4433" s="17">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I-C-0200</t>
        </is>
      </c>
      <c r="B4434" s="12" t="inlineStr">
        <is>
          <t>I</t>
        </is>
      </c>
      <c r="C4434" s="12" t="inlineStr">
        <is>
          <t>Modular / portable power</t>
        </is>
      </c>
      <c r="D4434" s="12" t="inlineStr">
        <is>
          <t>Home run JB-SC-1 ammonia flow--SOL01 to the control / marshalling room</t>
        </is>
      </c>
      <c r="E4434" s="12" t="inlineStr"/>
      <c r="F4434" s="12" t="inlineStr">
        <is>
          <t>SC-1 PCM + 15 kV GCB</t>
        </is>
      </c>
      <c r="G4434" s="12" t="inlineStr">
        <is>
          <t>JB-SC-1 ammonia flow--SOL01</t>
        </is>
      </c>
      <c r="H4434" s="12" t="inlineStr">
        <is>
          <t>SC-1 ammonia flow-control unit</t>
        </is>
      </c>
      <c r="I4434" s="12" t="inlineStr">
        <is>
          <t>Control</t>
        </is>
      </c>
      <c r="J4434" s="12" t="inlineStr">
        <is>
          <t>Control cable 600 V Type TC-ER, Cu #14 AWG, PVC jacket</t>
        </is>
      </c>
      <c r="K4434" s="12" t="inlineStr">
        <is>
          <t>CT|25/C|14</t>
        </is>
      </c>
      <c r="L4434" s="12" t="inlineStr">
        <is>
          <t>25/C</t>
        </is>
      </c>
      <c r="M4434" s="12" t="inlineStr">
        <is>
          <t>14</t>
        </is>
      </c>
      <c r="N4434" s="12" t="n">
        <v>1</v>
      </c>
      <c r="O4434" s="12" t="n">
        <v>1</v>
      </c>
      <c r="P4434" s="12" t="n"/>
      <c r="Q4434" s="12" t="n"/>
      <c r="R4434" s="12" t="n"/>
      <c r="S4434" s="12" t="inlineStr">
        <is>
          <t>Tray</t>
        </is>
      </c>
      <c r="T4434" s="17" t="n">
        <v>0</v>
      </c>
      <c r="U4434" s="17" t="n">
        <v>152</v>
      </c>
      <c r="V4434" s="17">
        <f>ROUNDUP((T4434+U4434+2*'Read Me'!$B$13)*(1+'Read Me'!$B$12),-1)</f>
        <v/>
      </c>
      <c r="W4434" s="17">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Motor 1 of 1: control / local station</t>
        </is>
      </c>
      <c r="E4435" s="12" t="inlineStr"/>
      <c r="F4435" s="12" t="inlineStr">
        <is>
          <t>SC-1 PCM + 15 kV GCB</t>
        </is>
      </c>
      <c r="G4435" s="12" t="inlineStr"/>
      <c r="H4435" s="12" t="inlineStr">
        <is>
          <t>SC-1 auxiliary skids: fuel-gas module, water-wash skid</t>
        </is>
      </c>
      <c r="I4435" s="12" t="inlineStr">
        <is>
          <t>Control</t>
        </is>
      </c>
      <c r="J4435" s="12" t="inlineStr">
        <is>
          <t>ARMOR-X MC-HL 600 V control, Cu #14 AWG (Class I Div 2)</t>
        </is>
      </c>
      <c r="K4435" s="12" t="inlineStr">
        <is>
          <t>CTAX|7/C|14</t>
        </is>
      </c>
      <c r="L4435" s="12" t="inlineStr">
        <is>
          <t>7/C</t>
        </is>
      </c>
      <c r="M4435" s="12" t="inlineStr">
        <is>
          <t>14</t>
        </is>
      </c>
      <c r="N4435" s="12" t="n">
        <v>1</v>
      </c>
      <c r="O4435" s="12" t="n">
        <v>1</v>
      </c>
      <c r="P4435" s="12" t="n"/>
      <c r="Q4435" s="12" t="n"/>
      <c r="R4435" s="12" t="n"/>
      <c r="S4435" s="12" t="inlineStr">
        <is>
          <t>Tray</t>
        </is>
      </c>
      <c r="T4435" s="17" t="n">
        <v>0</v>
      </c>
      <c r="U4435" s="17" t="n">
        <v>77</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I-C-0202</t>
        </is>
      </c>
      <c r="B4436" s="12" t="inlineStr">
        <is>
          <t>I</t>
        </is>
      </c>
      <c r="C4436" s="12" t="inlineStr">
        <is>
          <t>Modular / portable power</t>
        </is>
      </c>
      <c r="D4436" s="12" t="inlineStr">
        <is>
          <t>Solenoid to JB JB-SC-1 auxiliary ski-SOL01: 4 x 2/C (field cables)</t>
        </is>
      </c>
      <c r="E4436" s="12" t="inlineStr"/>
      <c r="F4436" s="12" t="inlineStr">
        <is>
          <t>SC-1 auxiliary skids: fuel-gas module, water-wash skid</t>
        </is>
      </c>
      <c r="G4436" s="12" t="inlineStr">
        <is>
          <t>JB-SC-1 auxiliary ski-SOL01</t>
        </is>
      </c>
      <c r="H4436" s="12" t="inlineStr">
        <is>
          <t>SC-1 auxiliary skids: fuel-gas module, water-wash skid</t>
        </is>
      </c>
      <c r="I4436" s="12" t="inlineStr">
        <is>
          <t>Control</t>
        </is>
      </c>
      <c r="J4436" s="12" t="inlineStr">
        <is>
          <t>ARMOR-X MC-HL 600 V control, Cu #14 AWG (Class I Div 2)</t>
        </is>
      </c>
      <c r="K4436" s="12" t="inlineStr">
        <is>
          <t>CTAX|2/C|14</t>
        </is>
      </c>
      <c r="L4436" s="12" t="inlineStr">
        <is>
          <t>2/C</t>
        </is>
      </c>
      <c r="M4436" s="12" t="inlineStr">
        <is>
          <t>14</t>
        </is>
      </c>
      <c r="N4436" s="12" t="n">
        <v>4</v>
      </c>
      <c r="O4436" s="12" t="n">
        <v>1</v>
      </c>
      <c r="P4436" s="12" t="n"/>
      <c r="Q4436" s="12" t="n"/>
      <c r="R4436" s="12" t="n"/>
      <c r="S4436" s="12" t="inlineStr">
        <is>
          <t>Tray / conduit</t>
        </is>
      </c>
      <c r="T4436" s="17" t="n">
        <v>63</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I-C-0203</t>
        </is>
      </c>
      <c r="B4437" s="12" t="inlineStr">
        <is>
          <t>I</t>
        </is>
      </c>
      <c r="C4437" s="12" t="inlineStr">
        <is>
          <t>Modular / portable power</t>
        </is>
      </c>
      <c r="D4437" s="12" t="inlineStr">
        <is>
          <t>Home run JB-SC-1 auxiliary ski-SOL01 to the control / marshalling room</t>
        </is>
      </c>
      <c r="E4437" s="12" t="inlineStr"/>
      <c r="F4437" s="12" t="inlineStr">
        <is>
          <t>SC-1 PCM + 15 kV GCB</t>
        </is>
      </c>
      <c r="G4437" s="12" t="inlineStr">
        <is>
          <t>JB-SC-1 auxiliary ski-SOL01</t>
        </is>
      </c>
      <c r="H4437" s="12" t="inlineStr">
        <is>
          <t>SC-1 auxiliary skids: fuel-gas module, water-wash skid</t>
        </is>
      </c>
      <c r="I4437" s="12" t="inlineStr">
        <is>
          <t>Control</t>
        </is>
      </c>
      <c r="J4437" s="12" t="inlineStr">
        <is>
          <t>ARMOR-X MC-HL 600 V control, Cu #14 AWG (Class I Div 2)</t>
        </is>
      </c>
      <c r="K4437" s="12" t="inlineStr">
        <is>
          <t>CTAX|25/C|14</t>
        </is>
      </c>
      <c r="L4437" s="12" t="inlineStr">
        <is>
          <t>25/C</t>
        </is>
      </c>
      <c r="M4437" s="12" t="inlineStr">
        <is>
          <t>14</t>
        </is>
      </c>
      <c r="N4437" s="12" t="n">
        <v>1</v>
      </c>
      <c r="O4437" s="12" t="n">
        <v>1</v>
      </c>
      <c r="P4437" s="12" t="n"/>
      <c r="Q4437" s="12" t="n"/>
      <c r="R4437" s="12" t="n"/>
      <c r="S4437" s="12" t="inlineStr">
        <is>
          <t>Tray</t>
        </is>
      </c>
      <c r="T4437" s="17" t="n">
        <v>0</v>
      </c>
      <c r="U4437" s="17" t="n">
        <v>77</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Motor 1 of 4: control / local station</t>
        </is>
      </c>
      <c r="E4438" s="12" t="inlineStr"/>
      <c r="F4438" s="12" t="inlineStr">
        <is>
          <t>SC-1 PCM + 15 kV GCB</t>
        </is>
      </c>
      <c r="G4438" s="12" t="inlineStr"/>
      <c r="H4438" s="12" t="inlineStr">
        <is>
          <t>SC-1 lube-oil fin-fan cooler</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Tray</t>
        </is>
      </c>
      <c r="T4438" s="17" t="n">
        <v>0</v>
      </c>
      <c r="U4438" s="17" t="n">
        <v>82</v>
      </c>
      <c r="V4438" s="17">
        <f>ROUNDUP((T4438+U4438+2*'Read Me'!$B$13)*(1+'Read Me'!$B$12),-1)</f>
        <v/>
      </c>
      <c r="W4438" s="17">
        <f>V4438*N4438*O4438</f>
        <v/>
      </c>
      <c r="X4438" s="12">
        <f>IF(LEFT(I4438,2)="MV",2*N4438*IF(L4438="1/C",O4438,1),0)</f>
        <v/>
      </c>
      <c r="Y4438" s="12">
        <f>IF(OR(LEFT(K4438,4)="LVAX",LEFT(K4438,6)="MV15AX",LEFT(K4438,4)="CTAX",LEFT(K4438,2)="W|"),2*N4438*O4438,0)</f>
        <v/>
      </c>
      <c r="Z4438" s="12" t="inlineStr"/>
      <c r="AA4438" s="12">
        <f>N4438*O4438</f>
        <v/>
      </c>
    </row>
    <row r="4439">
      <c r="A4439" s="12" t="inlineStr">
        <is>
          <t>I-C-0205</t>
        </is>
      </c>
      <c r="B4439" s="12" t="inlineStr">
        <is>
          <t>I</t>
        </is>
      </c>
      <c r="C4439" s="12" t="inlineStr">
        <is>
          <t>Modular / portable power</t>
        </is>
      </c>
      <c r="D4439" s="12" t="inlineStr">
        <is>
          <t>Motor 2 of 4: control / local station</t>
        </is>
      </c>
      <c r="E4439" s="12" t="inlineStr"/>
      <c r="F4439" s="12" t="inlineStr">
        <is>
          <t>SC-1 PCM + 15 kV GCB</t>
        </is>
      </c>
      <c r="G4439" s="12" t="inlineStr"/>
      <c r="H4439" s="12" t="inlineStr">
        <is>
          <t>SC-1 lube-oil fin-fan cooler</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Tray</t>
        </is>
      </c>
      <c r="T4439" s="17" t="n">
        <v>0</v>
      </c>
      <c r="U4439" s="17" t="n">
        <v>82</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3 of 4: control / local station</t>
        </is>
      </c>
      <c r="E4440" s="12" t="inlineStr"/>
      <c r="F4440" s="12" t="inlineStr">
        <is>
          <t>SC-1 PCM + 15 kV GCB</t>
        </is>
      </c>
      <c r="G4440" s="12" t="inlineStr"/>
      <c r="H4440" s="12" t="inlineStr">
        <is>
          <t>SC-1 lube-oil fin-fan cooler</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Tray</t>
        </is>
      </c>
      <c r="T4440" s="17" t="n">
        <v>0</v>
      </c>
      <c r="U4440" s="17" t="n">
        <v>82</v>
      </c>
      <c r="V4440" s="17">
        <f>ROUNDUP((T4440+U4440+2*'Read Me'!$B$13)*(1+'Read Me'!$B$12),-1)</f>
        <v/>
      </c>
      <c r="W4440" s="17">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4 of 4: control / local station</t>
        </is>
      </c>
      <c r="E4441" s="12" t="inlineStr"/>
      <c r="F4441" s="12" t="inlineStr">
        <is>
          <t>SC-1 PCM + 15 kV GCB</t>
        </is>
      </c>
      <c r="G4441" s="12" t="inlineStr"/>
      <c r="H4441" s="12" t="inlineStr">
        <is>
          <t>SC-1 lube-oil fin-fan cooler</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Tray</t>
        </is>
      </c>
      <c r="T4441" s="17" t="n">
        <v>0</v>
      </c>
      <c r="U4441" s="17" t="n">
        <v>82</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1 of 2: control / local station</t>
        </is>
      </c>
      <c r="E4442" s="12" t="inlineStr"/>
      <c r="F4442" s="12" t="inlineStr">
        <is>
          <t>SC-1 PCM + 15 kV GCB</t>
        </is>
      </c>
      <c r="G4442" s="12" t="inlineStr"/>
      <c r="H4442" s="12" t="inlineStr">
        <is>
          <t>SC-1 tempering-air fans (2 x 100 %)</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7" t="n">
        <v>0</v>
      </c>
      <c r="U4442" s="17" t="n">
        <v>156</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2 of 2: control / local station</t>
        </is>
      </c>
      <c r="E4443" s="12" t="inlineStr"/>
      <c r="F4443" s="12" t="inlineStr">
        <is>
          <t>SC-1 PCM + 15 kV GCB</t>
        </is>
      </c>
      <c r="G4443" s="12" t="inlineStr"/>
      <c r="H4443" s="12" t="inlineStr">
        <is>
          <t>SC-1 tempering-air fans (2 x 100 %)</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7" t="n">
        <v>0</v>
      </c>
      <c r="U4443" s="17" t="n">
        <v>156</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1 of 10: control / local station</t>
        </is>
      </c>
      <c r="E4444" s="12" t="inlineStr"/>
      <c r="F4444" s="12" t="inlineStr">
        <is>
          <t>SC-1 PCM + 15 kV GCB</t>
        </is>
      </c>
      <c r="G4444" s="12" t="inlineStr">
        <is>
          <t>SC-1</t>
        </is>
      </c>
      <c r="H4444" s="12" t="inlineStr">
        <is>
          <t>SC-1: aeroderivative simple-cycle unit (LM6000 class)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Tray</t>
        </is>
      </c>
      <c r="T4444" s="17" t="n">
        <v>0</v>
      </c>
      <c r="U4444" s="17" t="n">
        <v>64</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2 of 10: control / local station</t>
        </is>
      </c>
      <c r="E4445" s="12" t="inlineStr"/>
      <c r="F4445" s="12" t="inlineStr">
        <is>
          <t>SC-1 PCM + 15 kV GCB</t>
        </is>
      </c>
      <c r="G4445" s="12" t="inlineStr">
        <is>
          <t>SC-1</t>
        </is>
      </c>
      <c r="H4445" s="12" t="inlineStr">
        <is>
          <t>SC-1: aeroderivative simple-cycle unit (LM6000 class)</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Tray</t>
        </is>
      </c>
      <c r="T4445" s="17" t="n">
        <v>0</v>
      </c>
      <c r="U4445" s="17" t="n">
        <v>64</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3 of 10: control / local station</t>
        </is>
      </c>
      <c r="E4446" s="12" t="inlineStr"/>
      <c r="F4446" s="12" t="inlineStr">
        <is>
          <t>SC-1 PCM + 15 kV GCB</t>
        </is>
      </c>
      <c r="G4446" s="12" t="inlineStr">
        <is>
          <t>SC-1</t>
        </is>
      </c>
      <c r="H4446" s="12" t="inlineStr">
        <is>
          <t>SC-1: aeroderivative simple-cycle unit (LM6000 class)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Tray</t>
        </is>
      </c>
      <c r="T4446" s="17" t="n">
        <v>0</v>
      </c>
      <c r="U4446" s="17" t="n">
        <v>64</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4 of 10: control / local station</t>
        </is>
      </c>
      <c r="E4447" s="12" t="inlineStr"/>
      <c r="F4447" s="12" t="inlineStr">
        <is>
          <t>SC-1 PCM + 15 kV GCB</t>
        </is>
      </c>
      <c r="G4447" s="12" t="inlineStr">
        <is>
          <t>SC-1</t>
        </is>
      </c>
      <c r="H4447" s="12" t="inlineStr">
        <is>
          <t>SC-1: aeroderivative simple-cycle unit (LM6000 class)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Tray</t>
        </is>
      </c>
      <c r="T4447" s="17" t="n">
        <v>0</v>
      </c>
      <c r="U4447" s="17" t="n">
        <v>64</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5 of 10: control / local station</t>
        </is>
      </c>
      <c r="E4448" s="12" t="inlineStr"/>
      <c r="F4448" s="12" t="inlineStr">
        <is>
          <t>SC-1 PCM + 15 kV GCB</t>
        </is>
      </c>
      <c r="G4448" s="12" t="inlineStr">
        <is>
          <t>SC-1</t>
        </is>
      </c>
      <c r="H4448" s="12" t="inlineStr">
        <is>
          <t>SC-1: aeroderivative simple-cycle unit (LM6000 class)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Tray</t>
        </is>
      </c>
      <c r="T4448" s="17" t="n">
        <v>0</v>
      </c>
      <c r="U4448" s="17" t="n">
        <v>64</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6 of 10: control / local station</t>
        </is>
      </c>
      <c r="E4449" s="12" t="inlineStr"/>
      <c r="F4449" s="12" t="inlineStr">
        <is>
          <t>SC-1 PCM + 15 kV GCB</t>
        </is>
      </c>
      <c r="G4449" s="12" t="inlineStr">
        <is>
          <t>SC-1</t>
        </is>
      </c>
      <c r="H4449" s="12" t="inlineStr">
        <is>
          <t>SC-1: aeroderivative simple-cycle unit (LM6000 class)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Tray</t>
        </is>
      </c>
      <c r="T4449" s="17" t="n">
        <v>0</v>
      </c>
      <c r="U4449" s="17" t="n">
        <v>64</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7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7" t="n">
        <v>0</v>
      </c>
      <c r="U4450" s="17" t="n">
        <v>64</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8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7" t="n">
        <v>0</v>
      </c>
      <c r="U4451" s="17" t="n">
        <v>64</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9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7" t="n">
        <v>0</v>
      </c>
      <c r="U4452" s="17" t="n">
        <v>64</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10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7" t="n">
        <v>0</v>
      </c>
      <c r="U4453" s="17" t="n">
        <v>64</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1 of 2: control / local station</t>
        </is>
      </c>
      <c r="E4454" s="12" t="inlineStr"/>
      <c r="F4454" s="12" t="inlineStr">
        <is>
          <t>SC-2 PCM + 15 kV GCB</t>
        </is>
      </c>
      <c r="G4454" s="12" t="inlineStr"/>
      <c r="H4454" s="12" t="inlineStr">
        <is>
          <t>SC-2 CEMS shelter</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7" t="n">
        <v>25</v>
      </c>
      <c r="U4454" s="17" t="n">
        <v>197</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2 of 2: control / local station</t>
        </is>
      </c>
      <c r="E4455" s="12" t="inlineStr"/>
      <c r="F4455" s="12" t="inlineStr">
        <is>
          <t>SC-2 PCM + 15 kV GCB</t>
        </is>
      </c>
      <c r="G4455" s="12" t="inlineStr"/>
      <c r="H4455" s="12" t="inlineStr">
        <is>
          <t>SC-2 CEMS shelter</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7" t="n">
        <v>25</v>
      </c>
      <c r="U4455" s="17" t="n">
        <v>197</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SC-2 generator CT / VT secondaries to the PCM protection</t>
        </is>
      </c>
      <c r="E4456" s="12" t="inlineStr">
        <is>
          <t>SC-2</t>
        </is>
      </c>
      <c r="F4456" s="12" t="inlineStr">
        <is>
          <t>SC-2: aeroderivative simple-cycle unit (LM6000 class)</t>
        </is>
      </c>
      <c r="G4456" s="12" t="inlineStr"/>
      <c r="H4456" s="12" t="inlineStr">
        <is>
          <t>SC-2 PCM + 15 kV GCB</t>
        </is>
      </c>
      <c r="I4456" s="12" t="inlineStr">
        <is>
          <t>Control</t>
        </is>
      </c>
      <c r="J4456" s="12" t="inlineStr">
        <is>
          <t>Control cable 600 V Type TC-ER, Cu #10 AWG (CT / VT circuits)</t>
        </is>
      </c>
      <c r="K4456" s="12" t="inlineStr">
        <is>
          <t>CTCT|12/C|10</t>
        </is>
      </c>
      <c r="L4456" s="12" t="inlineStr">
        <is>
          <t>12/C</t>
        </is>
      </c>
      <c r="M4456" s="12" t="inlineStr">
        <is>
          <t>10</t>
        </is>
      </c>
      <c r="N4456" s="12" t="n">
        <v>2</v>
      </c>
      <c r="O4456" s="12" t="n">
        <v>1</v>
      </c>
      <c r="P4456" s="12" t="n"/>
      <c r="Q4456" s="12" t="n"/>
      <c r="R4456" s="12" t="n"/>
      <c r="S4456" s="12" t="inlineStr">
        <is>
          <t>Tray</t>
        </is>
      </c>
      <c r="T4456" s="17" t="n">
        <v>0</v>
      </c>
      <c r="U4456" s="17" t="n">
        <v>57</v>
      </c>
      <c r="V4456" s="17">
        <f>ROUNDUP((T4456+U4456+2*'Read Me'!$B$13)*(1+'Read Me'!$B$12),-1)</f>
        <v/>
      </c>
      <c r="W4456" s="17">
        <f>V4456*N4456*O4456</f>
        <v/>
      </c>
      <c r="X4456" s="12">
        <f>IF(LEFT(I4456,2)="MV",2*N4456*IF(L4456="1/C",O4456,1),0)</f>
        <v/>
      </c>
      <c r="Y4456" s="12">
        <f>IF(OR(LEFT(K4456,4)="LVAX",LEFT(K4456,6)="MV15AX",LEFT(K4456,4)="CTAX",LEFT(K4456,2)="W|"),2*N4456*O4456,0)</f>
        <v/>
      </c>
      <c r="Z4456" s="12" t="inlineStr">
        <is>
          <t>line-side and neutral CTs, VTs in the terminal box</t>
        </is>
      </c>
      <c r="AA4456" s="12">
        <f>N4456*O4456</f>
        <v/>
      </c>
    </row>
    <row r="4457">
      <c r="A4457" s="12" t="inlineStr">
        <is>
          <t>I-C-0223</t>
        </is>
      </c>
      <c r="B4457" s="12" t="inlineStr">
        <is>
          <t>I</t>
        </is>
      </c>
      <c r="C4457" s="12" t="inlineStr">
        <is>
          <t>Modular / portable power</t>
        </is>
      </c>
      <c r="D4457" s="12" t="inlineStr">
        <is>
          <t>Motor 1 of 2: control / local station</t>
        </is>
      </c>
      <c r="E4457" s="12" t="inlineStr"/>
      <c r="F4457" s="12" t="inlineStr">
        <is>
          <t>SC-2 PCM + 15 kV GCB</t>
        </is>
      </c>
      <c r="G4457" s="12" t="inlineStr"/>
      <c r="H4457" s="12" t="inlineStr">
        <is>
          <t>SC-2 ammonia flow-control unit</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7" t="n">
        <v>0</v>
      </c>
      <c r="U4457" s="17" t="n">
        <v>152</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2 of 2: control / local station</t>
        </is>
      </c>
      <c r="E4458" s="12" t="inlineStr"/>
      <c r="F4458" s="12" t="inlineStr">
        <is>
          <t>SC-2 PCM + 15 kV GCB</t>
        </is>
      </c>
      <c r="G4458" s="12" t="inlineStr"/>
      <c r="H4458" s="12" t="inlineStr">
        <is>
          <t>SC-2 ammonia flow-control unit</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7" t="n">
        <v>0</v>
      </c>
      <c r="U4458" s="17" t="n">
        <v>152</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Solenoid to JB JB-SC-2 ammonia flow--SOL01: 4 x 2/C (field cables)</t>
        </is>
      </c>
      <c r="E4459" s="12" t="inlineStr"/>
      <c r="F4459" s="12" t="inlineStr">
        <is>
          <t>SC-2 ammonia flow-control unit</t>
        </is>
      </c>
      <c r="G4459" s="12" t="inlineStr">
        <is>
          <t>JB-SC-2 ammonia flow--SOL01</t>
        </is>
      </c>
      <c r="H4459" s="12" t="inlineStr">
        <is>
          <t>SC-2 ammonia flow-control unit</t>
        </is>
      </c>
      <c r="I4459" s="12" t="inlineStr">
        <is>
          <t>Control</t>
        </is>
      </c>
      <c r="J4459" s="12" t="inlineStr">
        <is>
          <t>Control cable 600 V Type TC-ER, Cu #14 AWG, PVC jacket</t>
        </is>
      </c>
      <c r="K4459" s="12" t="inlineStr">
        <is>
          <t>CT|2/C|14</t>
        </is>
      </c>
      <c r="L4459" s="12" t="inlineStr">
        <is>
          <t>2/C</t>
        </is>
      </c>
      <c r="M4459" s="12" t="inlineStr">
        <is>
          <t>14</t>
        </is>
      </c>
      <c r="N4459" s="12" t="n">
        <v>4</v>
      </c>
      <c r="O4459" s="12" t="n">
        <v>1</v>
      </c>
      <c r="P4459" s="12" t="n"/>
      <c r="Q4459" s="12" t="n"/>
      <c r="R4459" s="12" t="n"/>
      <c r="S4459" s="12" t="inlineStr">
        <is>
          <t>Tray / conduit</t>
        </is>
      </c>
      <c r="T4459" s="17" t="n">
        <v>40</v>
      </c>
      <c r="U4459" s="17" t="n">
        <v>10</v>
      </c>
      <c r="V4459" s="17">
        <f>ROUNDUP((T4459+U4459+2*'Read Me'!$B$13)*(1+'Read Me'!$B$12),-1)</f>
        <v/>
      </c>
      <c r="W4459" s="17">
        <f>V4459*N4459*O4459</f>
        <v/>
      </c>
      <c r="X4459" s="12">
        <f>IF(LEFT(I4459,2)="MV",2*N4459*IF(L4459="1/C",O4459,1),0)</f>
        <v/>
      </c>
      <c r="Y4459" s="12">
        <f>IF(OR(LEFT(K4459,4)="LVAX",LEFT(K4459,6)="MV15AX",LEFT(K4459,4)="CTAX",LEFT(K4459,2)="W|"),2*N4459*O4459,0)</f>
        <v/>
      </c>
      <c r="Z4459" s="12" t="inlineStr">
        <is>
          <t>device-to-JB field wiring, one cable per device</t>
        </is>
      </c>
      <c r="AA4459" s="12">
        <f>N4459*O4459</f>
        <v/>
      </c>
    </row>
    <row r="4460">
      <c r="A4460" s="12" t="inlineStr">
        <is>
          <t>I-C-0226</t>
        </is>
      </c>
      <c r="B4460" s="12" t="inlineStr">
        <is>
          <t>I</t>
        </is>
      </c>
      <c r="C4460" s="12" t="inlineStr">
        <is>
          <t>Modular / portable power</t>
        </is>
      </c>
      <c r="D4460" s="12" t="inlineStr">
        <is>
          <t>Home run JB-SC-2 ammonia flow--SOL01 to the control / marshalling room</t>
        </is>
      </c>
      <c r="E4460" s="12" t="inlineStr"/>
      <c r="F4460" s="12" t="inlineStr">
        <is>
          <t>SC-2 PCM + 15 kV GCB</t>
        </is>
      </c>
      <c r="G4460" s="12" t="inlineStr">
        <is>
          <t>JB-SC-2 ammonia flow--SOL01</t>
        </is>
      </c>
      <c r="H4460" s="12" t="inlineStr">
        <is>
          <t>SC-2 ammonia flow-control unit</t>
        </is>
      </c>
      <c r="I4460" s="12" t="inlineStr">
        <is>
          <t>Control</t>
        </is>
      </c>
      <c r="J4460" s="12" t="inlineStr">
        <is>
          <t>Control cable 600 V Type TC-ER, Cu #14 AWG, PVC jacket</t>
        </is>
      </c>
      <c r="K4460" s="12" t="inlineStr">
        <is>
          <t>CT|25/C|14</t>
        </is>
      </c>
      <c r="L4460" s="12" t="inlineStr">
        <is>
          <t>25/C</t>
        </is>
      </c>
      <c r="M4460" s="12" t="inlineStr">
        <is>
          <t>14</t>
        </is>
      </c>
      <c r="N4460" s="12" t="n">
        <v>1</v>
      </c>
      <c r="O4460" s="12" t="n">
        <v>1</v>
      </c>
      <c r="P4460" s="12" t="n"/>
      <c r="Q4460" s="12" t="n"/>
      <c r="R4460" s="12" t="n"/>
      <c r="S4460" s="12" t="inlineStr">
        <is>
          <t>Tray</t>
        </is>
      </c>
      <c r="T4460" s="17" t="n">
        <v>0</v>
      </c>
      <c r="U4460" s="17" t="n">
        <v>152</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1 of 1: control / local station</t>
        </is>
      </c>
      <c r="E4461" s="12" t="inlineStr"/>
      <c r="F4461" s="12" t="inlineStr">
        <is>
          <t>SC-2 PCM + 15 kV GCB</t>
        </is>
      </c>
      <c r="G4461" s="12" t="inlineStr"/>
      <c r="H4461" s="12" t="inlineStr">
        <is>
          <t>SC-2 auxiliary skids: fuel-gas module, water-wash skid</t>
        </is>
      </c>
      <c r="I4461" s="12" t="inlineStr">
        <is>
          <t>Control</t>
        </is>
      </c>
      <c r="J4461" s="12" t="inlineStr">
        <is>
          <t>ARMOR-X MC-HL 600 V control, Cu #14 AWG (Class I Div 2)</t>
        </is>
      </c>
      <c r="K4461" s="12" t="inlineStr">
        <is>
          <t>CTAX|7/C|14</t>
        </is>
      </c>
      <c r="L4461" s="12" t="inlineStr">
        <is>
          <t>7/C</t>
        </is>
      </c>
      <c r="M4461" s="12" t="inlineStr">
        <is>
          <t>14</t>
        </is>
      </c>
      <c r="N4461" s="12" t="n">
        <v>1</v>
      </c>
      <c r="O4461" s="12" t="n">
        <v>1</v>
      </c>
      <c r="P4461" s="12" t="n"/>
      <c r="Q4461" s="12" t="n"/>
      <c r="R4461" s="12" t="n"/>
      <c r="S4461" s="12" t="inlineStr">
        <is>
          <t>Tray</t>
        </is>
      </c>
      <c r="T4461" s="17" t="n">
        <v>0</v>
      </c>
      <c r="U4461" s="17" t="n">
        <v>77</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Solenoid to JB JB-SC-2 auxiliary ski-SOL01: 4 x 2/C (field cables)</t>
        </is>
      </c>
      <c r="E4462" s="12" t="inlineStr"/>
      <c r="F4462" s="12" t="inlineStr">
        <is>
          <t>SC-2 auxiliary skids: fuel-gas module, water-wash skid</t>
        </is>
      </c>
      <c r="G4462" s="12" t="inlineStr">
        <is>
          <t>JB-SC-2 auxiliary ski-SOL01</t>
        </is>
      </c>
      <c r="H4462" s="12" t="inlineStr">
        <is>
          <t>SC-2 auxiliary skids: fuel-gas module, water-wash skid</t>
        </is>
      </c>
      <c r="I4462" s="12" t="inlineStr">
        <is>
          <t>Control</t>
        </is>
      </c>
      <c r="J4462" s="12" t="inlineStr">
        <is>
          <t>ARMOR-X MC-HL 600 V control, Cu #14 AWG (Class I Div 2)</t>
        </is>
      </c>
      <c r="K4462" s="12" t="inlineStr">
        <is>
          <t>CTAX|2/C|14</t>
        </is>
      </c>
      <c r="L4462" s="12" t="inlineStr">
        <is>
          <t>2/C</t>
        </is>
      </c>
      <c r="M4462" s="12" t="inlineStr">
        <is>
          <t>14</t>
        </is>
      </c>
      <c r="N4462" s="12" t="n">
        <v>4</v>
      </c>
      <c r="O4462" s="12" t="n">
        <v>1</v>
      </c>
      <c r="P4462" s="12" t="n"/>
      <c r="Q4462" s="12" t="n"/>
      <c r="R4462" s="12" t="n"/>
      <c r="S4462" s="12" t="inlineStr">
        <is>
          <t>Tray / conduit</t>
        </is>
      </c>
      <c r="T4462" s="17" t="n">
        <v>63</v>
      </c>
      <c r="U4462" s="17" t="n">
        <v>10</v>
      </c>
      <c r="V4462" s="17">
        <f>ROUNDUP((T4462+U4462+2*'Read Me'!$B$13)*(1+'Read Me'!$B$12),-1)</f>
        <v/>
      </c>
      <c r="W4462" s="17">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I-C-0229</t>
        </is>
      </c>
      <c r="B4463" s="12" t="inlineStr">
        <is>
          <t>I</t>
        </is>
      </c>
      <c r="C4463" s="12" t="inlineStr">
        <is>
          <t>Modular / portable power</t>
        </is>
      </c>
      <c r="D4463" s="12" t="inlineStr">
        <is>
          <t>Home run JB-SC-2 auxiliary ski-SOL01 to the control / marshalling room</t>
        </is>
      </c>
      <c r="E4463" s="12" t="inlineStr"/>
      <c r="F4463" s="12" t="inlineStr">
        <is>
          <t>SC-2 PCM + 15 kV GCB</t>
        </is>
      </c>
      <c r="G4463" s="12" t="inlineStr">
        <is>
          <t>JB-SC-2 auxiliary ski-SOL01</t>
        </is>
      </c>
      <c r="H4463" s="12" t="inlineStr">
        <is>
          <t>SC-2 auxiliary skids: fuel-gas module, water-wash skid</t>
        </is>
      </c>
      <c r="I4463" s="12" t="inlineStr">
        <is>
          <t>Control</t>
        </is>
      </c>
      <c r="J4463" s="12" t="inlineStr">
        <is>
          <t>ARMOR-X MC-HL 600 V control, Cu #14 AWG (Class I Div 2)</t>
        </is>
      </c>
      <c r="K4463" s="12" t="inlineStr">
        <is>
          <t>CTAX|25/C|14</t>
        </is>
      </c>
      <c r="L4463" s="12" t="inlineStr">
        <is>
          <t>25/C</t>
        </is>
      </c>
      <c r="M4463" s="12" t="inlineStr">
        <is>
          <t>14</t>
        </is>
      </c>
      <c r="N4463" s="12" t="n">
        <v>1</v>
      </c>
      <c r="O4463" s="12" t="n">
        <v>1</v>
      </c>
      <c r="P4463" s="12" t="n"/>
      <c r="Q4463" s="12" t="n"/>
      <c r="R4463" s="12" t="n"/>
      <c r="S4463" s="12" t="inlineStr">
        <is>
          <t>Tray</t>
        </is>
      </c>
      <c r="T4463" s="17" t="n">
        <v>0</v>
      </c>
      <c r="U4463" s="17" t="n">
        <v>77</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1 of 4: control / local station</t>
        </is>
      </c>
      <c r="E4464" s="12" t="inlineStr"/>
      <c r="F4464" s="12" t="inlineStr">
        <is>
          <t>SC-2 PCM + 15 kV GCB</t>
        </is>
      </c>
      <c r="G4464" s="12" t="inlineStr"/>
      <c r="H4464" s="12" t="inlineStr">
        <is>
          <t>SC-2 lube-oil fin-fan cooler</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Tray</t>
        </is>
      </c>
      <c r="T4464" s="17" t="n">
        <v>0</v>
      </c>
      <c r="U4464" s="17" t="n">
        <v>82</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2 of 4: control / local station</t>
        </is>
      </c>
      <c r="E4465" s="12" t="inlineStr"/>
      <c r="F4465" s="12" t="inlineStr">
        <is>
          <t>SC-2 PCM + 15 kV GCB</t>
        </is>
      </c>
      <c r="G4465" s="12" t="inlineStr"/>
      <c r="H4465" s="12" t="inlineStr">
        <is>
          <t>SC-2 lube-oil fin-fan cooler</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Tray</t>
        </is>
      </c>
      <c r="T4465" s="17" t="n">
        <v>0</v>
      </c>
      <c r="U4465" s="17" t="n">
        <v>82</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3 of 4: control / local station</t>
        </is>
      </c>
      <c r="E4466" s="12" t="inlineStr"/>
      <c r="F4466" s="12" t="inlineStr">
        <is>
          <t>SC-2 PCM + 15 kV GCB</t>
        </is>
      </c>
      <c r="G4466" s="12" t="inlineStr"/>
      <c r="H4466" s="12" t="inlineStr">
        <is>
          <t>SC-2 lube-oil fin-fan cooler</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Tray</t>
        </is>
      </c>
      <c r="T4466" s="17" t="n">
        <v>0</v>
      </c>
      <c r="U4466" s="17" t="n">
        <v>82</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4 of 4: control / local station</t>
        </is>
      </c>
      <c r="E4467" s="12" t="inlineStr"/>
      <c r="F4467" s="12" t="inlineStr">
        <is>
          <t>SC-2 PCM + 15 kV GCB</t>
        </is>
      </c>
      <c r="G4467" s="12" t="inlineStr"/>
      <c r="H4467" s="12" t="inlineStr">
        <is>
          <t>SC-2 lube-oil fin-fan cooler</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Tray</t>
        </is>
      </c>
      <c r="T4467" s="17" t="n">
        <v>0</v>
      </c>
      <c r="U4467" s="17" t="n">
        <v>82</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1 of 2: control / local station</t>
        </is>
      </c>
      <c r="E4468" s="12" t="inlineStr"/>
      <c r="F4468" s="12" t="inlineStr">
        <is>
          <t>SC-2 PCM + 15 kV GCB</t>
        </is>
      </c>
      <c r="G4468" s="12" t="inlineStr"/>
      <c r="H4468" s="12" t="inlineStr">
        <is>
          <t>SC-2 tempering-air fans (2 x 100 %)</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7" t="n">
        <v>25</v>
      </c>
      <c r="U4468" s="17" t="n">
        <v>124</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2 of 2: control / local station</t>
        </is>
      </c>
      <c r="E4469" s="12" t="inlineStr"/>
      <c r="F4469" s="12" t="inlineStr">
        <is>
          <t>SC-2 PCM + 15 kV GCB</t>
        </is>
      </c>
      <c r="G4469" s="12" t="inlineStr"/>
      <c r="H4469" s="12" t="inlineStr">
        <is>
          <t>SC-2 tempering-air fans (2 x 100 %)</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7" t="n">
        <v>25</v>
      </c>
      <c r="U4469" s="17" t="n">
        <v>124</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1 of 10: control / local station</t>
        </is>
      </c>
      <c r="E4470" s="12" t="inlineStr"/>
      <c r="F4470" s="12" t="inlineStr">
        <is>
          <t>SC-2 PCM + 15 kV GCB</t>
        </is>
      </c>
      <c r="G4470" s="12" t="inlineStr">
        <is>
          <t>SC-2</t>
        </is>
      </c>
      <c r="H4470" s="12" t="inlineStr">
        <is>
          <t>SC-2: aeroderivative simple-cycle unit (LM6000 class)</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7" t="n">
        <v>25</v>
      </c>
      <c r="U4470" s="17" t="n">
        <v>32</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Motor 2 of 10: control / local station</t>
        </is>
      </c>
      <c r="E4471" s="12" t="inlineStr"/>
      <c r="F4471" s="12" t="inlineStr">
        <is>
          <t>SC-2 PCM + 15 kV GCB</t>
        </is>
      </c>
      <c r="G4471" s="12" t="inlineStr">
        <is>
          <t>SC-2</t>
        </is>
      </c>
      <c r="H4471" s="12" t="inlineStr">
        <is>
          <t>SC-2: aeroderivative simple-cycle unit (LM6000 class)</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7" t="n">
        <v>25</v>
      </c>
      <c r="U4471" s="17" t="n">
        <v>32</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I-C-0238</t>
        </is>
      </c>
      <c r="B4472" s="12" t="inlineStr">
        <is>
          <t>I</t>
        </is>
      </c>
      <c r="C4472" s="12" t="inlineStr">
        <is>
          <t>Modular / portable power</t>
        </is>
      </c>
      <c r="D4472" s="12" t="inlineStr">
        <is>
          <t>Motor 3 of 10: control / local station</t>
        </is>
      </c>
      <c r="E4472" s="12" t="inlineStr"/>
      <c r="F4472" s="12" t="inlineStr">
        <is>
          <t>SC-2 PCM + 15 kV GCB</t>
        </is>
      </c>
      <c r="G4472" s="12" t="inlineStr">
        <is>
          <t>SC-2</t>
        </is>
      </c>
      <c r="H4472" s="12" t="inlineStr">
        <is>
          <t>SC-2: aeroderivative simple-cycle unit (LM6000 class)</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7" t="n">
        <v>25</v>
      </c>
      <c r="U4472" s="17" t="n">
        <v>32</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I-C-0239</t>
        </is>
      </c>
      <c r="B4473" s="12" t="inlineStr">
        <is>
          <t>I</t>
        </is>
      </c>
      <c r="C4473" s="12" t="inlineStr">
        <is>
          <t>Modular / portable power</t>
        </is>
      </c>
      <c r="D4473" s="12" t="inlineStr">
        <is>
          <t>Motor 4 of 10: control / local station</t>
        </is>
      </c>
      <c r="E4473" s="12" t="inlineStr"/>
      <c r="F4473" s="12" t="inlineStr">
        <is>
          <t>SC-2 PCM + 15 kV GCB</t>
        </is>
      </c>
      <c r="G4473" s="12" t="inlineStr">
        <is>
          <t>SC-2</t>
        </is>
      </c>
      <c r="H4473" s="12" t="inlineStr">
        <is>
          <t>SC-2: aeroderivative simple-cycle unit (LM6000 class)</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7" t="n">
        <v>25</v>
      </c>
      <c r="U4473" s="17" t="n">
        <v>32</v>
      </c>
      <c r="V4473" s="17">
        <f>ROUNDUP((T4473+U4473+2*'Read Me'!$B$13)*(1+'Read Me'!$B$12),-1)</f>
        <v/>
      </c>
      <c r="W4473" s="17">
        <f>V4473*N4473*O4473</f>
        <v/>
      </c>
      <c r="X4473" s="12">
        <f>IF(LEFT(I4473,2)="MV",2*N4473*IF(L4473="1/C",O4473,1),0)</f>
        <v/>
      </c>
      <c r="Y4473" s="12">
        <f>IF(OR(LEFT(K4473,4)="LVAX",LEFT(K4473,6)="MV15AX",LEFT(K4473,4)="CTAX",LEFT(K4473,2)="W|"),2*N4473*O4473,0)</f>
        <v/>
      </c>
      <c r="Z4473" s="12" t="inlineStr"/>
      <c r="AA4473" s="12">
        <f>N4473*O4473</f>
        <v/>
      </c>
    </row>
    <row r="4474">
      <c r="A4474" s="12" t="inlineStr">
        <is>
          <t>I-C-0240</t>
        </is>
      </c>
      <c r="B4474" s="12" t="inlineStr">
        <is>
          <t>I</t>
        </is>
      </c>
      <c r="C4474" s="12" t="inlineStr">
        <is>
          <t>Modular / portable power</t>
        </is>
      </c>
      <c r="D4474" s="12" t="inlineStr">
        <is>
          <t>Motor 5 of 10: control / local station</t>
        </is>
      </c>
      <c r="E4474" s="12" t="inlineStr"/>
      <c r="F4474" s="12" t="inlineStr">
        <is>
          <t>SC-2 PCM + 15 kV GCB</t>
        </is>
      </c>
      <c r="G4474" s="12" t="inlineStr">
        <is>
          <t>SC-2</t>
        </is>
      </c>
      <c r="H4474" s="12" t="inlineStr">
        <is>
          <t>SC-2: aeroderivative simple-cycle unit (LM6000 class)</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7" t="n">
        <v>25</v>
      </c>
      <c r="U4474" s="17" t="n">
        <v>32</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I-C-0241</t>
        </is>
      </c>
      <c r="B4475" s="12" t="inlineStr">
        <is>
          <t>I</t>
        </is>
      </c>
      <c r="C4475" s="12" t="inlineStr">
        <is>
          <t>Modular / portable power</t>
        </is>
      </c>
      <c r="D4475" s="12" t="inlineStr">
        <is>
          <t>Motor 6 of 10: control / local station</t>
        </is>
      </c>
      <c r="E4475" s="12" t="inlineStr"/>
      <c r="F4475" s="12" t="inlineStr">
        <is>
          <t>SC-2 PCM + 15 kV GCB</t>
        </is>
      </c>
      <c r="G4475" s="12" t="inlineStr">
        <is>
          <t>SC-2</t>
        </is>
      </c>
      <c r="H4475" s="12" t="inlineStr">
        <is>
          <t>SC-2: aeroderivative simple-cycle unit (LM6000 class)</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7" t="n">
        <v>25</v>
      </c>
      <c r="U4475" s="17" t="n">
        <v>32</v>
      </c>
      <c r="V4475" s="17">
        <f>ROUNDUP((T4475+U4475+2*'Read Me'!$B$13)*(1+'Read Me'!$B$12),-1)</f>
        <v/>
      </c>
      <c r="W4475" s="17">
        <f>V4475*N4475*O4475</f>
        <v/>
      </c>
      <c r="X4475" s="12">
        <f>IF(LEFT(I4475,2)="MV",2*N4475*IF(L4475="1/C",O4475,1),0)</f>
        <v/>
      </c>
      <c r="Y4475" s="12">
        <f>IF(OR(LEFT(K4475,4)="LVAX",LEFT(K4475,6)="MV15AX",LEFT(K4475,4)="CTAX",LEFT(K4475,2)="W|"),2*N4475*O4475,0)</f>
        <v/>
      </c>
      <c r="Z4475" s="12" t="inlineStr"/>
      <c r="AA4475" s="12">
        <f>N4475*O4475</f>
        <v/>
      </c>
    </row>
    <row r="4476">
      <c r="A4476" s="12" t="inlineStr">
        <is>
          <t>I-C-0242</t>
        </is>
      </c>
      <c r="B4476" s="12" t="inlineStr">
        <is>
          <t>I</t>
        </is>
      </c>
      <c r="C4476" s="12" t="inlineStr">
        <is>
          <t>Modular / portable power</t>
        </is>
      </c>
      <c r="D4476" s="12" t="inlineStr">
        <is>
          <t>Motor 7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7" t="n">
        <v>25</v>
      </c>
      <c r="U4476" s="17" t="n">
        <v>32</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I-C-0243</t>
        </is>
      </c>
      <c r="B4477" s="12" t="inlineStr">
        <is>
          <t>I</t>
        </is>
      </c>
      <c r="C4477" s="12" t="inlineStr">
        <is>
          <t>Modular / portable power</t>
        </is>
      </c>
      <c r="D4477" s="12" t="inlineStr">
        <is>
          <t>Motor 8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7" t="n">
        <v>25</v>
      </c>
      <c r="U4477" s="17" t="n">
        <v>32</v>
      </c>
      <c r="V4477" s="17">
        <f>ROUNDUP((T4477+U4477+2*'Read Me'!$B$13)*(1+'Read Me'!$B$12),-1)</f>
        <v/>
      </c>
      <c r="W4477" s="17">
        <f>V4477*N4477*O4477</f>
        <v/>
      </c>
      <c r="X4477" s="12">
        <f>IF(LEFT(I4477,2)="MV",2*N4477*IF(L4477="1/C",O4477,1),0)</f>
        <v/>
      </c>
      <c r="Y4477" s="12">
        <f>IF(OR(LEFT(K4477,4)="LVAX",LEFT(K4477,6)="MV15AX",LEFT(K4477,4)="CTAX",LEFT(K4477,2)="W|"),2*N4477*O4477,0)</f>
        <v/>
      </c>
      <c r="Z4477" s="12" t="inlineStr"/>
      <c r="AA4477" s="12">
        <f>N4477*O4477</f>
        <v/>
      </c>
    </row>
    <row r="4478">
      <c r="A4478" s="12" t="inlineStr">
        <is>
          <t>I-C-0244</t>
        </is>
      </c>
      <c r="B4478" s="12" t="inlineStr">
        <is>
          <t>I</t>
        </is>
      </c>
      <c r="C4478" s="12" t="inlineStr">
        <is>
          <t>Modular / portable power</t>
        </is>
      </c>
      <c r="D4478" s="12" t="inlineStr">
        <is>
          <t>Motor 9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7" t="n">
        <v>25</v>
      </c>
      <c r="U4478" s="17" t="n">
        <v>32</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I-C-0245</t>
        </is>
      </c>
      <c r="B4479" s="12" t="inlineStr">
        <is>
          <t>I</t>
        </is>
      </c>
      <c r="C4479" s="12" t="inlineStr">
        <is>
          <t>Modular / portable power</t>
        </is>
      </c>
      <c r="D4479" s="12" t="inlineStr">
        <is>
          <t>Motor 10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7" t="n">
        <v>25</v>
      </c>
      <c r="U4479" s="17" t="n">
        <v>32</v>
      </c>
      <c r="V4479" s="17">
        <f>ROUNDUP((T4479+U4479+2*'Read Me'!$B$13)*(1+'Read Me'!$B$12),-1)</f>
        <v/>
      </c>
      <c r="W4479" s="17">
        <f>V4479*N4479*O4479</f>
        <v/>
      </c>
      <c r="X4479" s="12">
        <f>IF(LEFT(I4479,2)="MV",2*N4479*IF(L4479="1/C",O4479,1),0)</f>
        <v/>
      </c>
      <c r="Y4479" s="12">
        <f>IF(OR(LEFT(K4479,4)="LVAX",LEFT(K4479,6)="MV15AX",LEFT(K4479,4)="CTAX",LEFT(K4479,2)="W|"),2*N4479*O4479,0)</f>
        <v/>
      </c>
      <c r="Z4479" s="12" t="inlineStr"/>
      <c r="AA4479" s="12">
        <f>N4479*O4479</f>
        <v/>
      </c>
    </row>
    <row r="4480">
      <c r="A4480" s="12" t="inlineStr">
        <is>
          <t>I-C-0246</t>
        </is>
      </c>
      <c r="B4480" s="12" t="inlineStr">
        <is>
          <t>I</t>
        </is>
      </c>
      <c r="C4480" s="12" t="inlineStr">
        <is>
          <t>Modular / portable power</t>
        </is>
      </c>
      <c r="D4480" s="12" t="inlineStr">
        <is>
          <t>Motor 1 of 6: control / local station</t>
        </is>
      </c>
      <c r="E4480" s="12" t="inlineStr"/>
      <c r="F4480" s="12" t="inlineStr">
        <is>
          <t>MOD-LV 480 V board + 480 V : 13.8 kV step-up</t>
        </is>
      </c>
      <c r="G4480" s="12" t="inlineStr"/>
      <c r="H4480" s="12" t="inlineStr">
        <is>
          <t>T-MOD 230 kV take-off gantry with arresters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7" t="n">
        <v>357</v>
      </c>
      <c r="U4480" s="17" t="n">
        <v>128</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I-C-0247</t>
        </is>
      </c>
      <c r="B4481" s="12" t="inlineStr">
        <is>
          <t>I</t>
        </is>
      </c>
      <c r="C4481" s="12" t="inlineStr">
        <is>
          <t>Modular / portable power</t>
        </is>
      </c>
      <c r="D4481" s="12" t="inlineStr">
        <is>
          <t>Motor 2 of 6: control / local station</t>
        </is>
      </c>
      <c r="E4481" s="12" t="inlineStr"/>
      <c r="F4481" s="12" t="inlineStr">
        <is>
          <t>MOD-LV 480 V board + 480 V : 13.8 kV step-up</t>
        </is>
      </c>
      <c r="G4481" s="12" t="inlineStr"/>
      <c r="H4481" s="12" t="inlineStr">
        <is>
          <t>T-MOD 230 kV take-off gantry with arresters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7" t="n">
        <v>357</v>
      </c>
      <c r="U4481" s="17" t="n">
        <v>128</v>
      </c>
      <c r="V4481" s="17">
        <f>ROUNDUP((T4481+U4481+2*'Read Me'!$B$13)*(1+'Read Me'!$B$12),-1)</f>
        <v/>
      </c>
      <c r="W4481" s="17">
        <f>V4481*N4481*O4481</f>
        <v/>
      </c>
      <c r="X4481" s="12">
        <f>IF(LEFT(I4481,2)="MV",2*N4481*IF(L4481="1/C",O4481,1),0)</f>
        <v/>
      </c>
      <c r="Y4481" s="12">
        <f>IF(OR(LEFT(K4481,4)="LVAX",LEFT(K4481,6)="MV15AX",LEFT(K4481,4)="CTAX",LEFT(K4481,2)="W|"),2*N4481*O4481,0)</f>
        <v/>
      </c>
      <c r="Z4481" s="12" t="inlineStr"/>
      <c r="AA4481" s="12">
        <f>N4481*O4481</f>
        <v/>
      </c>
    </row>
    <row r="4482">
      <c r="A4482" s="12" t="inlineStr">
        <is>
          <t>I-C-0248</t>
        </is>
      </c>
      <c r="B4482" s="12" t="inlineStr">
        <is>
          <t>I</t>
        </is>
      </c>
      <c r="C4482" s="12" t="inlineStr">
        <is>
          <t>Modular / portable power</t>
        </is>
      </c>
      <c r="D4482" s="12" t="inlineStr">
        <is>
          <t>Motor 3 of 6: control / local station</t>
        </is>
      </c>
      <c r="E4482" s="12" t="inlineStr"/>
      <c r="F4482" s="12" t="inlineStr">
        <is>
          <t>MOD-LV 480 V board + 480 V : 13.8 kV step-up</t>
        </is>
      </c>
      <c r="G4482" s="12" t="inlineStr"/>
      <c r="H4482" s="12" t="inlineStr">
        <is>
          <t>T-MOD 230 kV take-off gantry with arresters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7" t="n">
        <v>357</v>
      </c>
      <c r="U4482" s="17" t="n">
        <v>128</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I-C-0249</t>
        </is>
      </c>
      <c r="B4483" s="12" t="inlineStr">
        <is>
          <t>I</t>
        </is>
      </c>
      <c r="C4483" s="12" t="inlineStr">
        <is>
          <t>Modular / portable power</t>
        </is>
      </c>
      <c r="D4483" s="12" t="inlineStr">
        <is>
          <t>Motor 4 of 6: control / local station</t>
        </is>
      </c>
      <c r="E4483" s="12" t="inlineStr"/>
      <c r="F4483" s="12" t="inlineStr">
        <is>
          <t>MOD-LV 480 V board + 480 V : 13.8 kV step-up</t>
        </is>
      </c>
      <c r="G4483" s="12" t="inlineStr"/>
      <c r="H4483" s="12" t="inlineStr">
        <is>
          <t>T-MOD 230 kV take-off gantry with arresters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7" t="n">
        <v>357</v>
      </c>
      <c r="U4483" s="17" t="n">
        <v>128</v>
      </c>
      <c r="V4483" s="17">
        <f>ROUNDUP((T4483+U4483+2*'Read Me'!$B$13)*(1+'Read Me'!$B$12),-1)</f>
        <v/>
      </c>
      <c r="W4483" s="17">
        <f>V4483*N4483*O4483</f>
        <v/>
      </c>
      <c r="X4483" s="12">
        <f>IF(LEFT(I4483,2)="MV",2*N4483*IF(L4483="1/C",O4483,1),0)</f>
        <v/>
      </c>
      <c r="Y4483" s="12">
        <f>IF(OR(LEFT(K4483,4)="LVAX",LEFT(K4483,6)="MV15AX",LEFT(K4483,4)="CTAX",LEFT(K4483,2)="W|"),2*N4483*O4483,0)</f>
        <v/>
      </c>
      <c r="Z4483" s="12" t="inlineStr"/>
      <c r="AA4483" s="12">
        <f>N4483*O4483</f>
        <v/>
      </c>
    </row>
    <row r="4484">
      <c r="A4484" s="12" t="inlineStr">
        <is>
          <t>I-C-0250</t>
        </is>
      </c>
      <c r="B4484" s="12" t="inlineStr">
        <is>
          <t>I</t>
        </is>
      </c>
      <c r="C4484" s="12" t="inlineStr">
        <is>
          <t>Modular / portable power</t>
        </is>
      </c>
      <c r="D4484" s="12" t="inlineStr">
        <is>
          <t>Motor 5 of 6: control / local station</t>
        </is>
      </c>
      <c r="E4484" s="12" t="inlineStr"/>
      <c r="F4484" s="12" t="inlineStr">
        <is>
          <t>MOD-LV 480 V board + 480 V : 13.8 kV step-up</t>
        </is>
      </c>
      <c r="G4484" s="12" t="inlineStr"/>
      <c r="H4484" s="12" t="inlineStr">
        <is>
          <t>T-MOD 230 kV take-off gantry with arresters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7" t="n">
        <v>357</v>
      </c>
      <c r="U4484" s="17" t="n">
        <v>128</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I-C-0251</t>
        </is>
      </c>
      <c r="B4485" s="12" t="inlineStr">
        <is>
          <t>I</t>
        </is>
      </c>
      <c r="C4485" s="12" t="inlineStr">
        <is>
          <t>Modular / portable power</t>
        </is>
      </c>
      <c r="D4485" s="12" t="inlineStr">
        <is>
          <t>Motor 6 of 6: control / local station</t>
        </is>
      </c>
      <c r="E4485" s="12" t="inlineStr"/>
      <c r="F4485" s="12" t="inlineStr">
        <is>
          <t>MOD-LV 480 V board + 480 V : 13.8 kV step-up</t>
        </is>
      </c>
      <c r="G4485" s="12" t="inlineStr"/>
      <c r="H4485" s="12" t="inlineStr">
        <is>
          <t>T-MOD 230 kV take-off gantry with arresters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7" t="n">
        <v>357</v>
      </c>
      <c r="U4485" s="17" t="n">
        <v>128</v>
      </c>
      <c r="V4485" s="17">
        <f>ROUNDUP((T4485+U4485+2*'Read Me'!$B$13)*(1+'Read Me'!$B$12),-1)</f>
        <v/>
      </c>
      <c r="W4485" s="17">
        <f>V4485*N4485*O4485</f>
        <v/>
      </c>
      <c r="X4485" s="12">
        <f>IF(LEFT(I4485,2)="MV",2*N4485*IF(L4485="1/C",O4485,1),0)</f>
        <v/>
      </c>
      <c r="Y4485" s="12">
        <f>IF(OR(LEFT(K4485,4)="LVAX",LEFT(K4485,6)="MV15AX",LEFT(K4485,4)="CTAX",LEFT(K4485,2)="W|"),2*N4485*O4485,0)</f>
        <v/>
      </c>
      <c r="Z4485" s="12" t="inlineStr"/>
      <c r="AA4485" s="12">
        <f>N4485*O4485</f>
        <v/>
      </c>
    </row>
    <row r="4486">
      <c r="A4486" s="12" t="inlineStr">
        <is>
          <t>I-C-0252</t>
        </is>
      </c>
      <c r="B4486" s="12" t="inlineStr">
        <is>
          <t>I</t>
        </is>
      </c>
      <c r="C4486" s="12" t="inlineStr">
        <is>
          <t>Modular / portable power</t>
        </is>
      </c>
      <c r="D4486" s="12" t="inlineStr">
        <is>
          <t>Motor 1 of 6: control / local station</t>
        </is>
      </c>
      <c r="E4486" s="12" t="inlineStr"/>
      <c r="F4486" s="12" t="inlineStr">
        <is>
          <t>MOD-LV 480 V board + 480 V : 13.8 kV step-up</t>
        </is>
      </c>
      <c r="G4486" s="12" t="inlineStr"/>
      <c r="H4486" s="12" t="inlineStr">
        <is>
          <t>T-MOD-1 / T-MOD-2 firewall</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7" t="n">
        <v>349</v>
      </c>
      <c r="U4486" s="17" t="n">
        <v>130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I-C-0253</t>
        </is>
      </c>
      <c r="B4487" s="12" t="inlineStr">
        <is>
          <t>I</t>
        </is>
      </c>
      <c r="C4487" s="12" t="inlineStr">
        <is>
          <t>Modular / portable power</t>
        </is>
      </c>
      <c r="D4487" s="12" t="inlineStr">
        <is>
          <t>Motor 2 of 6: control / local station</t>
        </is>
      </c>
      <c r="E4487" s="12" t="inlineStr"/>
      <c r="F4487" s="12" t="inlineStr">
        <is>
          <t>MOD-LV 480 V board + 480 V : 13.8 kV step-up</t>
        </is>
      </c>
      <c r="G4487" s="12" t="inlineStr"/>
      <c r="H4487" s="12" t="inlineStr">
        <is>
          <t>T-MOD-1 / T-MOD-2 firewall</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7" t="n">
        <v>349</v>
      </c>
      <c r="U4487" s="17" t="n">
        <v>130</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I-C-0254</t>
        </is>
      </c>
      <c r="B4488" s="12" t="inlineStr">
        <is>
          <t>I</t>
        </is>
      </c>
      <c r="C4488" s="12" t="inlineStr">
        <is>
          <t>Modular / portable power</t>
        </is>
      </c>
      <c r="D4488" s="12" t="inlineStr">
        <is>
          <t>Motor 3 of 6: control / local station</t>
        </is>
      </c>
      <c r="E4488" s="12" t="inlineStr"/>
      <c r="F4488" s="12" t="inlineStr">
        <is>
          <t>MOD-LV 480 V board + 480 V : 13.8 kV step-up</t>
        </is>
      </c>
      <c r="G4488" s="12" t="inlineStr"/>
      <c r="H4488" s="12" t="inlineStr">
        <is>
          <t>T-MOD-1 / T-MOD-2 firewall</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7" t="n">
        <v>349</v>
      </c>
      <c r="U4488" s="17" t="n">
        <v>130</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I-C-0255</t>
        </is>
      </c>
      <c r="B4489" s="12" t="inlineStr">
        <is>
          <t>I</t>
        </is>
      </c>
      <c r="C4489" s="12" t="inlineStr">
        <is>
          <t>Modular / portable power</t>
        </is>
      </c>
      <c r="D4489" s="12" t="inlineStr">
        <is>
          <t>Motor 4 of 6: control / local station</t>
        </is>
      </c>
      <c r="E4489" s="12" t="inlineStr"/>
      <c r="F4489" s="12" t="inlineStr">
        <is>
          <t>MOD-LV 480 V board + 480 V : 13.8 kV step-up</t>
        </is>
      </c>
      <c r="G4489" s="12" t="inlineStr"/>
      <c r="H4489" s="12" t="inlineStr">
        <is>
          <t>T-MOD-1 / T-MOD-2 firewall</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7" t="n">
        <v>349</v>
      </c>
      <c r="U4489" s="17" t="n">
        <v>130</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I-C-0256</t>
        </is>
      </c>
      <c r="B4490" s="12" t="inlineStr">
        <is>
          <t>I</t>
        </is>
      </c>
      <c r="C4490" s="12" t="inlineStr">
        <is>
          <t>Modular / portable power</t>
        </is>
      </c>
      <c r="D4490" s="12" t="inlineStr">
        <is>
          <t>Motor 5 of 6: control / local station</t>
        </is>
      </c>
      <c r="E4490" s="12" t="inlineStr"/>
      <c r="F4490" s="12" t="inlineStr">
        <is>
          <t>MOD-LV 480 V board + 480 V : 13.8 kV step-up</t>
        </is>
      </c>
      <c r="G4490" s="12" t="inlineStr"/>
      <c r="H4490" s="12" t="inlineStr">
        <is>
          <t>T-MOD-1 / T-MOD-2 firewall</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7" t="n">
        <v>349</v>
      </c>
      <c r="U4490" s="17" t="n">
        <v>130</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I-C-0257</t>
        </is>
      </c>
      <c r="B4491" s="12" t="inlineStr">
        <is>
          <t>I</t>
        </is>
      </c>
      <c r="C4491" s="12" t="inlineStr">
        <is>
          <t>Modular / portable power</t>
        </is>
      </c>
      <c r="D4491" s="12" t="inlineStr">
        <is>
          <t>Motor 6 of 6: control / local station</t>
        </is>
      </c>
      <c r="E4491" s="12" t="inlineStr"/>
      <c r="F4491" s="12" t="inlineStr">
        <is>
          <t>MOD-LV 480 V board + 480 V : 13.8 kV step-up</t>
        </is>
      </c>
      <c r="G4491" s="12" t="inlineStr"/>
      <c r="H4491" s="12" t="inlineStr">
        <is>
          <t>T-MOD-1 / T-MOD-2 firewall</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7" t="n">
        <v>349</v>
      </c>
      <c r="U4491" s="17" t="n">
        <v>130</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I-C-0258</t>
        </is>
      </c>
      <c r="B4492" s="12" t="inlineStr">
        <is>
          <t>I</t>
        </is>
      </c>
      <c r="C4492" s="12" t="inlineStr">
        <is>
          <t>Modular / portable power</t>
        </is>
      </c>
      <c r="D4492" s="12" t="inlineStr">
        <is>
          <t>Motor 1 of 6: control / local station</t>
        </is>
      </c>
      <c r="E4492" s="12" t="inlineStr"/>
      <c r="F4492" s="12" t="inlineStr">
        <is>
          <t>MOD-LV 480 V board + 480 V : 13.8 kV step-up</t>
        </is>
      </c>
      <c r="G4492" s="12" t="inlineStr">
        <is>
          <t>T-MOD-1</t>
        </is>
      </c>
      <c r="H4492" s="12" t="inlineStr">
        <is>
          <t>T-MOD-1: 13.8/230 kV</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7" t="n">
        <v>349</v>
      </c>
      <c r="U4492" s="17" t="n">
        <v>82</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I-C-0259</t>
        </is>
      </c>
      <c r="B4493" s="12" t="inlineStr">
        <is>
          <t>I</t>
        </is>
      </c>
      <c r="C4493" s="12" t="inlineStr">
        <is>
          <t>Modular / portable power</t>
        </is>
      </c>
      <c r="D4493" s="12" t="inlineStr">
        <is>
          <t>Motor 2 of 6: control / local station</t>
        </is>
      </c>
      <c r="E4493" s="12" t="inlineStr"/>
      <c r="F4493" s="12" t="inlineStr">
        <is>
          <t>MOD-LV 480 V board + 480 V : 13.8 kV step-up</t>
        </is>
      </c>
      <c r="G4493" s="12" t="inlineStr">
        <is>
          <t>T-MOD-1</t>
        </is>
      </c>
      <c r="H4493" s="12" t="inlineStr">
        <is>
          <t>T-MOD-1: 13.8/230 kV</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7" t="n">
        <v>349</v>
      </c>
      <c r="U4493" s="17" t="n">
        <v>82</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I-C-0260</t>
        </is>
      </c>
      <c r="B4494" s="12" t="inlineStr">
        <is>
          <t>I</t>
        </is>
      </c>
      <c r="C4494" s="12" t="inlineStr">
        <is>
          <t>Modular / portable power</t>
        </is>
      </c>
      <c r="D4494" s="12" t="inlineStr">
        <is>
          <t>Motor 3 of 6: control / local station</t>
        </is>
      </c>
      <c r="E4494" s="12" t="inlineStr"/>
      <c r="F4494" s="12" t="inlineStr">
        <is>
          <t>MOD-LV 480 V board + 480 V : 13.8 kV step-up</t>
        </is>
      </c>
      <c r="G4494" s="12" t="inlineStr">
        <is>
          <t>T-MOD-1</t>
        </is>
      </c>
      <c r="H4494" s="12" t="inlineStr">
        <is>
          <t>T-MOD-1: 13.8/230 kV</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7" t="n">
        <v>349</v>
      </c>
      <c r="U4494" s="17" t="n">
        <v>82</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I-C-0261</t>
        </is>
      </c>
      <c r="B4495" s="12" t="inlineStr">
        <is>
          <t>I</t>
        </is>
      </c>
      <c r="C4495" s="12" t="inlineStr">
        <is>
          <t>Modular / portable power</t>
        </is>
      </c>
      <c r="D4495" s="12" t="inlineStr">
        <is>
          <t>Motor 4 of 6: control / local station</t>
        </is>
      </c>
      <c r="E4495" s="12" t="inlineStr"/>
      <c r="F4495" s="12" t="inlineStr">
        <is>
          <t>MOD-LV 480 V board + 480 V : 13.8 kV step-up</t>
        </is>
      </c>
      <c r="G4495" s="12" t="inlineStr">
        <is>
          <t>T-MOD-1</t>
        </is>
      </c>
      <c r="H4495" s="12" t="inlineStr">
        <is>
          <t>T-MOD-1: 13.8/230 kV</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7" t="n">
        <v>349</v>
      </c>
      <c r="U4495" s="17" t="n">
        <v>82</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I-C-0262</t>
        </is>
      </c>
      <c r="B4496" s="12" t="inlineStr">
        <is>
          <t>I</t>
        </is>
      </c>
      <c r="C4496" s="12" t="inlineStr">
        <is>
          <t>Modular / portable power</t>
        </is>
      </c>
      <c r="D4496" s="12" t="inlineStr">
        <is>
          <t>Motor 5 of 6: control / local station</t>
        </is>
      </c>
      <c r="E4496" s="12" t="inlineStr"/>
      <c r="F4496" s="12" t="inlineStr">
        <is>
          <t>MOD-LV 480 V board + 480 V : 13.8 kV step-up</t>
        </is>
      </c>
      <c r="G4496" s="12" t="inlineStr">
        <is>
          <t>T-MOD-1</t>
        </is>
      </c>
      <c r="H4496" s="12" t="inlineStr">
        <is>
          <t>T-MOD-1: 13.8/230 kV</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7" t="n">
        <v>349</v>
      </c>
      <c r="U4496" s="17" t="n">
        <v>82</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I-C-0263</t>
        </is>
      </c>
      <c r="B4497" s="12" t="inlineStr">
        <is>
          <t>I</t>
        </is>
      </c>
      <c r="C4497" s="12" t="inlineStr">
        <is>
          <t>Modular / portable power</t>
        </is>
      </c>
      <c r="D4497" s="12" t="inlineStr">
        <is>
          <t>Motor 6 of 6: control / local station</t>
        </is>
      </c>
      <c r="E4497" s="12" t="inlineStr"/>
      <c r="F4497" s="12" t="inlineStr">
        <is>
          <t>MOD-LV 480 V board + 480 V : 13.8 kV step-up</t>
        </is>
      </c>
      <c r="G4497" s="12" t="inlineStr">
        <is>
          <t>T-MOD-1</t>
        </is>
      </c>
      <c r="H4497" s="12" t="inlineStr">
        <is>
          <t>T-MOD-1: 13.8/230 kV</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7" t="n">
        <v>349</v>
      </c>
      <c r="U4497" s="17" t="n">
        <v>82</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I-C-0264</t>
        </is>
      </c>
      <c r="B4498" s="12" t="inlineStr">
        <is>
          <t>I</t>
        </is>
      </c>
      <c r="C4498" s="12" t="inlineStr">
        <is>
          <t>Modular / portable power</t>
        </is>
      </c>
      <c r="D4498" s="12" t="inlineStr">
        <is>
          <t>Motor 1 of 6: control / local station</t>
        </is>
      </c>
      <c r="E4498" s="12" t="inlineStr"/>
      <c r="F4498" s="12" t="inlineStr">
        <is>
          <t>MOD-LV 480 V board + 480 V : 13.8 kV step-up</t>
        </is>
      </c>
      <c r="G4498" s="12" t="inlineStr">
        <is>
          <t>T-MOD-2</t>
        </is>
      </c>
      <c r="H4498" s="12" t="inlineStr">
        <is>
          <t>T-MOD-2: 13.8/230 kV</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7" t="n">
        <v>60</v>
      </c>
      <c r="U4498" s="17" t="n">
        <v>144</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I-C-0265</t>
        </is>
      </c>
      <c r="B4499" s="12" t="inlineStr">
        <is>
          <t>I</t>
        </is>
      </c>
      <c r="C4499" s="12" t="inlineStr">
        <is>
          <t>Modular / portable power</t>
        </is>
      </c>
      <c r="D4499" s="12" t="inlineStr">
        <is>
          <t>Motor 2 of 6: control / local station</t>
        </is>
      </c>
      <c r="E4499" s="12" t="inlineStr"/>
      <c r="F4499" s="12" t="inlineStr">
        <is>
          <t>MOD-LV 480 V board + 480 V : 13.8 kV step-up</t>
        </is>
      </c>
      <c r="G4499" s="12" t="inlineStr">
        <is>
          <t>T-MOD-2</t>
        </is>
      </c>
      <c r="H4499" s="12" t="inlineStr">
        <is>
          <t>T-MOD-2: 13.8/230 kV</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7" t="n">
        <v>60</v>
      </c>
      <c r="U4499" s="17" t="n">
        <v>144</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I-C-0266</t>
        </is>
      </c>
      <c r="B4500" s="12" t="inlineStr">
        <is>
          <t>I</t>
        </is>
      </c>
      <c r="C4500" s="12" t="inlineStr">
        <is>
          <t>Modular / portable power</t>
        </is>
      </c>
      <c r="D4500" s="12" t="inlineStr">
        <is>
          <t>Motor 3 of 6: control / local station</t>
        </is>
      </c>
      <c r="E4500" s="12" t="inlineStr"/>
      <c r="F4500" s="12" t="inlineStr">
        <is>
          <t>MOD-LV 480 V board + 480 V : 13.8 kV step-up</t>
        </is>
      </c>
      <c r="G4500" s="12" t="inlineStr">
        <is>
          <t>T-MOD-2</t>
        </is>
      </c>
      <c r="H4500" s="12" t="inlineStr">
        <is>
          <t>T-MOD-2: 13.8/230 kV</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7" t="n">
        <v>60</v>
      </c>
      <c r="U4500" s="17" t="n">
        <v>144</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I-C-0267</t>
        </is>
      </c>
      <c r="B4501" s="12" t="inlineStr">
        <is>
          <t>I</t>
        </is>
      </c>
      <c r="C4501" s="12" t="inlineStr">
        <is>
          <t>Modular / portable power</t>
        </is>
      </c>
      <c r="D4501" s="12" t="inlineStr">
        <is>
          <t>Motor 4 of 6: control / local station</t>
        </is>
      </c>
      <c r="E4501" s="12" t="inlineStr"/>
      <c r="F4501" s="12" t="inlineStr">
        <is>
          <t>MOD-LV 480 V board + 480 V : 13.8 kV step-up</t>
        </is>
      </c>
      <c r="G4501" s="12" t="inlineStr">
        <is>
          <t>T-MOD-2</t>
        </is>
      </c>
      <c r="H4501" s="12" t="inlineStr">
        <is>
          <t>T-MOD-2: 13.8/230 kV</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7" t="n">
        <v>60</v>
      </c>
      <c r="U4501" s="17" t="n">
        <v>144</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I-C-0268</t>
        </is>
      </c>
      <c r="B4502" s="12" t="inlineStr">
        <is>
          <t>I</t>
        </is>
      </c>
      <c r="C4502" s="12" t="inlineStr">
        <is>
          <t>Modular / portable power</t>
        </is>
      </c>
      <c r="D4502" s="12" t="inlineStr">
        <is>
          <t>Motor 5 of 6: control / local station</t>
        </is>
      </c>
      <c r="E4502" s="12" t="inlineStr"/>
      <c r="F4502" s="12" t="inlineStr">
        <is>
          <t>MOD-LV 480 V board + 480 V : 13.8 kV step-up</t>
        </is>
      </c>
      <c r="G4502" s="12" t="inlineStr">
        <is>
          <t>T-MOD-2</t>
        </is>
      </c>
      <c r="H4502" s="12" t="inlineStr">
        <is>
          <t>T-MOD-2: 13.8/230 kV</t>
        </is>
      </c>
      <c r="I4502" s="12" t="inlineStr">
        <is>
          <t>Control</t>
        </is>
      </c>
      <c r="J4502" s="12" t="inlineStr">
        <is>
          <t>Control cable 600 V Type TC-ER, Cu #14 AWG, PVC jacket</t>
        </is>
      </c>
      <c r="K4502" s="12" t="inlineStr">
        <is>
          <t>CT|7/C|14</t>
        </is>
      </c>
      <c r="L4502" s="12" t="inlineStr">
        <is>
          <t>7/C</t>
        </is>
      </c>
      <c r="M4502" s="12" t="inlineStr">
        <is>
          <t>14</t>
        </is>
      </c>
      <c r="N4502" s="12" t="n">
        <v>1</v>
      </c>
      <c r="O4502" s="12" t="n">
        <v>1</v>
      </c>
      <c r="P4502" s="12" t="n"/>
      <c r="Q4502" s="12" t="n"/>
      <c r="R4502" s="12" t="n"/>
      <c r="S4502" s="12" t="inlineStr">
        <is>
          <t>Duct bank</t>
        </is>
      </c>
      <c r="T4502" s="17" t="n">
        <v>60</v>
      </c>
      <c r="U4502" s="17" t="n">
        <v>144</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I-C-0269</t>
        </is>
      </c>
      <c r="B4503" s="12" t="inlineStr">
        <is>
          <t>I</t>
        </is>
      </c>
      <c r="C4503" s="12" t="inlineStr">
        <is>
          <t>Modular / portable power</t>
        </is>
      </c>
      <c r="D4503" s="12" t="inlineStr">
        <is>
          <t>Motor 6 of 6: control / local station</t>
        </is>
      </c>
      <c r="E4503" s="12" t="inlineStr"/>
      <c r="F4503" s="12" t="inlineStr">
        <is>
          <t>MOD-LV 480 V board + 480 V : 13.8 kV step-up</t>
        </is>
      </c>
      <c r="G4503" s="12" t="inlineStr">
        <is>
          <t>T-MOD-2</t>
        </is>
      </c>
      <c r="H4503" s="12" t="inlineStr">
        <is>
          <t>T-MOD-2: 13.8/230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7" t="n">
        <v>60</v>
      </c>
      <c r="U4503" s="17" t="n">
        <v>144</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I-C-0270</t>
        </is>
      </c>
      <c r="B4504" s="12" t="inlineStr">
        <is>
          <t>I</t>
        </is>
      </c>
      <c r="C4504" s="12" t="inlineStr">
        <is>
          <t>Modular / portable power</t>
        </is>
      </c>
      <c r="D4504" s="12" t="inlineStr">
        <is>
          <t>Motor 1 of 6: control / local station</t>
        </is>
      </c>
      <c r="E4504" s="12" t="inlineStr"/>
      <c r="F4504" s="12" t="inlineStr">
        <is>
          <t>MOD-LV 480 V board + 480 V : 13.8 kV step-up</t>
        </is>
      </c>
      <c r="G4504" s="12" t="inlineStr">
        <is>
          <t>TM-1</t>
        </is>
      </c>
      <c r="H4504" s="12" t="inlineStr">
        <is>
          <t>TM-1: trailer-mounted aeroderivative GT (TM2500 class, ~35 MW)</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7" t="n">
        <v>3165</v>
      </c>
      <c r="U4504" s="17" t="n">
        <v>68</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I-C-0271</t>
        </is>
      </c>
      <c r="B4505" s="12" t="inlineStr">
        <is>
          <t>I</t>
        </is>
      </c>
      <c r="C4505" s="12" t="inlineStr">
        <is>
          <t>Modular / portable power</t>
        </is>
      </c>
      <c r="D4505" s="12" t="inlineStr">
        <is>
          <t>Motor 2 of 6: control / local station</t>
        </is>
      </c>
      <c r="E4505" s="12" t="inlineStr"/>
      <c r="F4505" s="12" t="inlineStr">
        <is>
          <t>MOD-LV 480 V board + 480 V : 13.8 kV step-up</t>
        </is>
      </c>
      <c r="G4505" s="12" t="inlineStr">
        <is>
          <t>TM-1</t>
        </is>
      </c>
      <c r="H4505" s="12" t="inlineStr">
        <is>
          <t>TM-1: trailer-mounted aeroderivative GT (TM2500 class, ~35 MW)</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7" t="n">
        <v>3165</v>
      </c>
      <c r="U4505" s="17" t="n">
        <v>68</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I-C-0272</t>
        </is>
      </c>
      <c r="B4506" s="12" t="inlineStr">
        <is>
          <t>I</t>
        </is>
      </c>
      <c r="C4506" s="12" t="inlineStr">
        <is>
          <t>Modular / portable power</t>
        </is>
      </c>
      <c r="D4506" s="12" t="inlineStr">
        <is>
          <t>Motor 3 of 6: control / local station</t>
        </is>
      </c>
      <c r="E4506" s="12" t="inlineStr"/>
      <c r="F4506" s="12" t="inlineStr">
        <is>
          <t>MOD-LV 480 V board + 480 V : 13.8 kV step-up</t>
        </is>
      </c>
      <c r="G4506" s="12" t="inlineStr">
        <is>
          <t>TM-1</t>
        </is>
      </c>
      <c r="H4506" s="12" t="inlineStr">
        <is>
          <t>TM-1: trailer-mounted aeroderivative GT (TM2500 class, ~35 MW)</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7" t="n">
        <v>3165</v>
      </c>
      <c r="U4506" s="17" t="n">
        <v>68</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I-C-0273</t>
        </is>
      </c>
      <c r="B4507" s="12" t="inlineStr">
        <is>
          <t>I</t>
        </is>
      </c>
      <c r="C4507" s="12" t="inlineStr">
        <is>
          <t>Modular / portable power</t>
        </is>
      </c>
      <c r="D4507" s="12" t="inlineStr">
        <is>
          <t>Motor 4 of 6: control / local station</t>
        </is>
      </c>
      <c r="E4507" s="12" t="inlineStr"/>
      <c r="F4507" s="12" t="inlineStr">
        <is>
          <t>MOD-LV 480 V board + 480 V : 13.8 kV step-up</t>
        </is>
      </c>
      <c r="G4507" s="12" t="inlineStr">
        <is>
          <t>TM-1</t>
        </is>
      </c>
      <c r="H4507" s="12" t="inlineStr">
        <is>
          <t>TM-1: trailer-mounted aeroderivative GT (TM2500 class, ~35 MW)</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7" t="n">
        <v>3165</v>
      </c>
      <c r="U4507" s="17" t="n">
        <v>68</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I-C-0274</t>
        </is>
      </c>
      <c r="B4508" s="12" t="inlineStr">
        <is>
          <t>I</t>
        </is>
      </c>
      <c r="C4508" s="12" t="inlineStr">
        <is>
          <t>Modular / portable power</t>
        </is>
      </c>
      <c r="D4508" s="12" t="inlineStr">
        <is>
          <t>Motor 5 of 6: control / local station</t>
        </is>
      </c>
      <c r="E4508" s="12" t="inlineStr"/>
      <c r="F4508" s="12" t="inlineStr">
        <is>
          <t>MOD-LV 480 V board + 480 V : 13.8 kV step-up</t>
        </is>
      </c>
      <c r="G4508" s="12" t="inlineStr">
        <is>
          <t>TM-1</t>
        </is>
      </c>
      <c r="H4508" s="12" t="inlineStr">
        <is>
          <t>TM-1: trailer-mounted aeroderivative GT (TM2500 class, ~35 MW)</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7" t="n">
        <v>3165</v>
      </c>
      <c r="U4508" s="17" t="n">
        <v>68</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I-C-0275</t>
        </is>
      </c>
      <c r="B4509" s="12" t="inlineStr">
        <is>
          <t>I</t>
        </is>
      </c>
      <c r="C4509" s="12" t="inlineStr">
        <is>
          <t>Modular / portable power</t>
        </is>
      </c>
      <c r="D4509" s="12" t="inlineStr">
        <is>
          <t>Motor 6 of 6: control / local station</t>
        </is>
      </c>
      <c r="E4509" s="12" t="inlineStr"/>
      <c r="F4509" s="12" t="inlineStr">
        <is>
          <t>MOD-LV 480 V board + 480 V : 13.8 kV step-up</t>
        </is>
      </c>
      <c r="G4509" s="12" t="inlineStr">
        <is>
          <t>TM-1</t>
        </is>
      </c>
      <c r="H4509" s="12" t="inlineStr">
        <is>
          <t>TM-1: trailer-mounted aeroderivative GT (TM2500 class, ~35 MW)</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7" t="n">
        <v>3165</v>
      </c>
      <c r="U4509" s="17" t="n">
        <v>68</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I-C-0276</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TM-2</t>
        </is>
      </c>
      <c r="H4510" s="12" t="inlineStr">
        <is>
          <t>TM-2: trailer-mounted aeroderivative GT (TM2500 class, ~35 MW)</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7" t="n">
        <v>3165</v>
      </c>
      <c r="U4510" s="17" t="n">
        <v>74</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I-C-0277</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TM-2</t>
        </is>
      </c>
      <c r="H4511" s="12" t="inlineStr">
        <is>
          <t>TM-2: trailer-mounted aeroderivative GT (TM2500 class, ~35 MW)</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7" t="n">
        <v>3165</v>
      </c>
      <c r="U4511" s="17" t="n">
        <v>74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I-C-0278</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TM-2</t>
        </is>
      </c>
      <c r="H4512" s="12" t="inlineStr">
        <is>
          <t>TM-2: trailer-mounted aeroderivative GT (TM2500 class, ~35 MW)</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7" t="n">
        <v>3165</v>
      </c>
      <c r="U4512" s="17" t="n">
        <v>74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I-C-0279</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TM-2</t>
        </is>
      </c>
      <c r="H4513" s="12" t="inlineStr">
        <is>
          <t>TM-2: trailer-mounted aeroderivative GT (TM2500 class, ~35 MW)</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7" t="n">
        <v>3165</v>
      </c>
      <c r="U4513" s="17" t="n">
        <v>74</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I-C-0280</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TM-2</t>
        </is>
      </c>
      <c r="H4514" s="12" t="inlineStr">
        <is>
          <t>TM-2: trailer-mounted aeroderivative GT (TM2500 class, ~35 MW)</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7" t="n">
        <v>3165</v>
      </c>
      <c r="U4514" s="17" t="n">
        <v>74</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I-C-0281</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TM-2</t>
        </is>
      </c>
      <c r="H4515" s="12" t="inlineStr">
        <is>
          <t>TM-2: trailer-mounted aeroderivative GT (TM2500 class, ~35 MW)</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7" t="n">
        <v>3165</v>
      </c>
      <c r="U4515" s="17" t="n">
        <v>74</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I-C-0282</t>
        </is>
      </c>
      <c r="B4516" s="12" t="inlineStr">
        <is>
          <t>I</t>
        </is>
      </c>
      <c r="C4516" s="12" t="inlineStr">
        <is>
          <t>Modular / portable power</t>
        </is>
      </c>
      <c r="D4516" s="12" t="inlineStr">
        <is>
          <t>Motor 1 of 2: control / local station</t>
        </is>
      </c>
      <c r="E4516" s="12" t="inlineStr"/>
      <c r="F4516" s="12" t="inlineStr">
        <is>
          <t>SC-2 PCM + 15 kV GCB</t>
        </is>
      </c>
      <c r="G4516" s="12" t="inlineStr"/>
      <c r="H4516" s="12" t="inlineStr">
        <is>
          <t>Water-injection skid</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Tray</t>
        </is>
      </c>
      <c r="T4516" s="17" t="n">
        <v>0</v>
      </c>
      <c r="U4516" s="17" t="n">
        <v>60</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I-C-0283</t>
        </is>
      </c>
      <c r="B4517" s="12" t="inlineStr">
        <is>
          <t>I</t>
        </is>
      </c>
      <c r="C4517" s="12" t="inlineStr">
        <is>
          <t>Modular / portable power</t>
        </is>
      </c>
      <c r="D4517" s="12" t="inlineStr">
        <is>
          <t>Motor 2 of 2: control / local station</t>
        </is>
      </c>
      <c r="E4517" s="12" t="inlineStr"/>
      <c r="F4517" s="12" t="inlineStr">
        <is>
          <t>SC-2 PCM + 15 kV GCB</t>
        </is>
      </c>
      <c r="G4517" s="12" t="inlineStr"/>
      <c r="H4517" s="12" t="inlineStr">
        <is>
          <t>Water-injection skid</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Tray</t>
        </is>
      </c>
      <c r="T4517" s="17" t="n">
        <v>0</v>
      </c>
      <c r="U4517" s="17" t="n">
        <v>60</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I-C-0284</t>
        </is>
      </c>
      <c r="B4518" s="12" t="inlineStr">
        <is>
          <t>I</t>
        </is>
      </c>
      <c r="C4518" s="12" t="inlineStr">
        <is>
          <t>Modular / portable power</t>
        </is>
      </c>
      <c r="D4518" s="12" t="inlineStr">
        <is>
          <t>Solenoid to JB JB-Water-injection sk-SOL01: 2 x 2/C (field cables)</t>
        </is>
      </c>
      <c r="E4518" s="12" t="inlineStr"/>
      <c r="F4518" s="12" t="inlineStr">
        <is>
          <t>Water-injection skid</t>
        </is>
      </c>
      <c r="G4518" s="12" t="inlineStr">
        <is>
          <t>JB-Water-injection sk-SOL01</t>
        </is>
      </c>
      <c r="H4518" s="12" t="inlineStr">
        <is>
          <t>Water-injection skid</t>
        </is>
      </c>
      <c r="I4518" s="12" t="inlineStr">
        <is>
          <t>Control</t>
        </is>
      </c>
      <c r="J4518" s="12" t="inlineStr">
        <is>
          <t>Control cable 600 V Type TC-ER, Cu #14 AWG, PVC jacket</t>
        </is>
      </c>
      <c r="K4518" s="12" t="inlineStr">
        <is>
          <t>CT|2/C|14</t>
        </is>
      </c>
      <c r="L4518" s="12" t="inlineStr">
        <is>
          <t>2/C</t>
        </is>
      </c>
      <c r="M4518" s="12" t="inlineStr">
        <is>
          <t>14</t>
        </is>
      </c>
      <c r="N4518" s="12" t="n">
        <v>2</v>
      </c>
      <c r="O4518" s="12" t="n">
        <v>1</v>
      </c>
      <c r="P4518" s="12" t="n"/>
      <c r="Q4518" s="12" t="n"/>
      <c r="R4518" s="12" t="n"/>
      <c r="S4518" s="12" t="inlineStr">
        <is>
          <t>Tray / conduit</t>
        </is>
      </c>
      <c r="T4518" s="17" t="n">
        <v>43</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I-C-0285</t>
        </is>
      </c>
      <c r="B4519" s="12" t="inlineStr">
        <is>
          <t>I</t>
        </is>
      </c>
      <c r="C4519" s="12" t="inlineStr">
        <is>
          <t>Modular / portable power</t>
        </is>
      </c>
      <c r="D4519" s="12" t="inlineStr">
        <is>
          <t>Home run JB-Water-injection sk-SOL01 to the control / marshalling room</t>
        </is>
      </c>
      <c r="E4519" s="12" t="inlineStr"/>
      <c r="F4519" s="12" t="inlineStr">
        <is>
          <t>SC-2 PCM + 15 kV GCB</t>
        </is>
      </c>
      <c r="G4519" s="12" t="inlineStr">
        <is>
          <t>JB-Water-injection sk-SOL01</t>
        </is>
      </c>
      <c r="H4519" s="12" t="inlineStr">
        <is>
          <t>Water-injection skid</t>
        </is>
      </c>
      <c r="I4519" s="12" t="inlineStr">
        <is>
          <t>Control</t>
        </is>
      </c>
      <c r="J4519" s="12" t="inlineStr">
        <is>
          <t>Control cable 600 V Type TC-ER, Cu #14 AWG, PVC jacket</t>
        </is>
      </c>
      <c r="K4519" s="12" t="inlineStr">
        <is>
          <t>CT|25/C|14</t>
        </is>
      </c>
      <c r="L4519" s="12" t="inlineStr">
        <is>
          <t>25/C</t>
        </is>
      </c>
      <c r="M4519" s="12" t="inlineStr">
        <is>
          <t>14</t>
        </is>
      </c>
      <c r="N4519" s="12" t="n">
        <v>1</v>
      </c>
      <c r="O4519" s="12" t="n">
        <v>1</v>
      </c>
      <c r="P4519" s="12" t="n"/>
      <c r="Q4519" s="12" t="n"/>
      <c r="R4519" s="12" t="n"/>
      <c r="S4519" s="12" t="inlineStr">
        <is>
          <t>Tray</t>
        </is>
      </c>
      <c r="T4519" s="17" t="n">
        <v>0</v>
      </c>
      <c r="U4519" s="17" t="n">
        <v>60</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I-F-0001</t>
        </is>
      </c>
      <c r="B4520" s="12" t="inlineStr">
        <is>
          <t>I</t>
        </is>
      </c>
      <c r="C4520" s="12" t="inlineStr">
        <is>
          <t>Modular / portable power</t>
        </is>
      </c>
      <c r="D4520" s="12" t="inlineStr">
        <is>
          <t>Plant network / DCS fibre</t>
        </is>
      </c>
      <c r="E4520" s="12" t="inlineStr">
        <is>
          <t>CR</t>
        </is>
      </c>
      <c r="F4520" s="12" t="inlineStr">
        <is>
          <t>Control / admin building (main control room)</t>
        </is>
      </c>
      <c r="G4520" s="12" t="inlineStr"/>
      <c r="H4520" s="12" t="inlineStr">
        <is>
          <t>Lube oil / starting air / oily water building</t>
        </is>
      </c>
      <c r="I4520" s="12" t="inlineStr">
        <is>
          <t>Fibre / data</t>
        </is>
      </c>
      <c r="J4520" s="12" t="inlineStr">
        <is>
          <t>Fibre optic, single-mode, 12-fibre, armored, orange jacket</t>
        </is>
      </c>
      <c r="K4520" s="12" t="inlineStr">
        <is>
          <t>FO|12 SM|-</t>
        </is>
      </c>
      <c r="L4520" s="12" t="inlineStr">
        <is>
          <t>12 SM</t>
        </is>
      </c>
      <c r="M4520" s="12" t="inlineStr">
        <is>
          <t>-</t>
        </is>
      </c>
      <c r="N4520" s="12" t="n">
        <v>1</v>
      </c>
      <c r="O4520" s="12" t="n">
        <v>1</v>
      </c>
      <c r="P4520" s="12" t="n"/>
      <c r="Q4520" s="12" t="n"/>
      <c r="R4520" s="12" t="n"/>
      <c r="S4520" s="12" t="inlineStr">
        <is>
          <t>Duct bank</t>
        </is>
      </c>
      <c r="T4520" s="17" t="n">
        <v>2703</v>
      </c>
      <c r="U4520" s="17" t="n">
        <v>394</v>
      </c>
      <c r="V4520" s="17">
        <f>ROUNDUP((T4520+U4520+2*'Read Me'!$B$13)*(1+'Read Me'!$B$12),-1)</f>
        <v/>
      </c>
      <c r="W4520" s="17">
        <f>V4520*N4520*O4520</f>
        <v/>
      </c>
      <c r="X4520" s="12">
        <f>IF(LEFT(I4520,2)="MV",2*N4520*IF(L4520="1/C",O4520,1),0)</f>
        <v/>
      </c>
      <c r="Y4520" s="12">
        <f>IF(OR(LEFT(K4520,4)="LVAX",LEFT(K4520,6)="MV15AX",LEFT(K4520,4)="CTAX",LEFT(K4520,2)="W|"),2*N4520*O4520,0)</f>
        <v/>
      </c>
      <c r="Z4520" s="12" t="inlineStr"/>
      <c r="AA4520" s="12">
        <f>N4520*O4520</f>
        <v/>
      </c>
    </row>
    <row r="4521">
      <c r="A4521" s="12" t="inlineStr">
        <is>
          <t>I-F-0002</t>
        </is>
      </c>
      <c r="B4521" s="12" t="inlineStr">
        <is>
          <t>I</t>
        </is>
      </c>
      <c r="C4521" s="12" t="inlineStr">
        <is>
          <t>Modular / portable power</t>
        </is>
      </c>
      <c r="D4521" s="12" t="inlineStr">
        <is>
          <t>Plant network / DCS fibre</t>
        </is>
      </c>
      <c r="E4521" s="12" t="inlineStr">
        <is>
          <t>CR</t>
        </is>
      </c>
      <c r="F4521" s="12" t="inlineStr">
        <is>
          <t>Control / admin building (main control room)</t>
        </is>
      </c>
      <c r="G4521" s="12" t="inlineStr">
        <is>
          <t>MOD-EH</t>
        </is>
      </c>
      <c r="H4521" s="12" t="inlineStr">
        <is>
          <t>MOD-EH: 13.8 kV modular collector e-house</t>
        </is>
      </c>
      <c r="I4521" s="12" t="inlineStr">
        <is>
          <t>Fibre / data</t>
        </is>
      </c>
      <c r="J4521" s="12" t="inlineStr">
        <is>
          <t>Fibre optic, single-mode, 12-fibre, armored, orange jacket</t>
        </is>
      </c>
      <c r="K4521" s="12" t="inlineStr">
        <is>
          <t>FO|12 SM|-</t>
        </is>
      </c>
      <c r="L4521" s="12" t="inlineStr">
        <is>
          <t>12 SM</t>
        </is>
      </c>
      <c r="M4521" s="12" t="inlineStr">
        <is>
          <t>-</t>
        </is>
      </c>
      <c r="N4521" s="12" t="n">
        <v>1</v>
      </c>
      <c r="O4521" s="12" t="n">
        <v>1</v>
      </c>
      <c r="P4521" s="12" t="n"/>
      <c r="Q4521" s="12" t="n"/>
      <c r="R4521" s="12" t="n"/>
      <c r="S4521" s="12" t="inlineStr">
        <is>
          <t>Trench</t>
        </is>
      </c>
      <c r="T4521" s="17" t="n">
        <v>4288</v>
      </c>
      <c r="U4521" s="17" t="n">
        <v>36</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I-F-0003</t>
        </is>
      </c>
      <c r="B4522" s="12" t="inlineStr">
        <is>
          <t>I</t>
        </is>
      </c>
      <c r="C4522" s="12" t="inlineStr">
        <is>
          <t>Modular / portable power</t>
        </is>
      </c>
      <c r="D4522" s="12" t="inlineStr">
        <is>
          <t>GBS-1 block controller fibre to the yard controller</t>
        </is>
      </c>
      <c r="E4522" s="12" t="inlineStr">
        <is>
          <t>GBS-1</t>
        </is>
      </c>
      <c r="F4522" s="12" t="inlineStr">
        <is>
          <t>GBS-1: block 1 480 V paralleling switchgear (4 gensets)</t>
        </is>
      </c>
      <c r="G4522" s="12" t="inlineStr">
        <is>
          <t>PAD-EH</t>
        </is>
      </c>
      <c r="H4522" s="12" t="inlineStr">
        <is>
          <t>PAD-EH 13.8 kV switchgear e-house</t>
        </is>
      </c>
      <c r="I4522" s="12" t="inlineStr">
        <is>
          <t>Fibre / data</t>
        </is>
      </c>
      <c r="J4522" s="12" t="inlineStr">
        <is>
          <t>Fibre optic, single-mode, 12-fibre, armored, orange jacket</t>
        </is>
      </c>
      <c r="K4522" s="12" t="inlineStr">
        <is>
          <t>FO|12 SM|-</t>
        </is>
      </c>
      <c r="L4522" s="12" t="inlineStr">
        <is>
          <t>12 SM</t>
        </is>
      </c>
      <c r="M4522" s="12" t="inlineStr">
        <is>
          <t>-</t>
        </is>
      </c>
      <c r="N4522" s="12" t="n">
        <v>1</v>
      </c>
      <c r="O4522" s="12" t="n">
        <v>1</v>
      </c>
      <c r="P4522" s="12" t="n"/>
      <c r="Q4522" s="12" t="n"/>
      <c r="R4522" s="12" t="n"/>
      <c r="S4522" s="12" t="inlineStr">
        <is>
          <t>Surface</t>
        </is>
      </c>
      <c r="T4522" s="17" t="n">
        <v>145</v>
      </c>
      <c r="U4522" s="17" t="n">
        <v>32</v>
      </c>
      <c r="V4522" s="17">
        <f>ROUNDUP((T4522+U4522+2*'Read Me'!$B$13)*(1+'Read Me'!$B$12),-1)</f>
        <v/>
      </c>
      <c r="W4522" s="17">
        <f>V4522*N4522*O4522</f>
        <v/>
      </c>
      <c r="X4522" s="12">
        <f>IF(LEFT(I4522,2)="MV",2*N4522*IF(L4522="1/C",O4522,1),0)</f>
        <v/>
      </c>
      <c r="Y4522" s="12">
        <f>IF(OR(LEFT(K4522,4)="LVAX",LEFT(K4522,6)="MV15AX",LEFT(K4522,4)="CTAX",LEFT(K4522,2)="W|"),2*N4522*O4522,0)</f>
        <v/>
      </c>
      <c r="Z4522" s="12" t="inlineStr"/>
      <c r="AA4522" s="12">
        <f>N4522*O4522</f>
        <v/>
      </c>
    </row>
    <row r="4523">
      <c r="A4523" s="12" t="inlineStr">
        <is>
          <t>I-F-0004</t>
        </is>
      </c>
      <c r="B4523" s="12" t="inlineStr">
        <is>
          <t>I</t>
        </is>
      </c>
      <c r="C4523" s="12" t="inlineStr">
        <is>
          <t>Modular / portable power</t>
        </is>
      </c>
      <c r="D4523" s="12" t="inlineStr">
        <is>
          <t>GBS-2 block controller fibre to the yard controller</t>
        </is>
      </c>
      <c r="E4523" s="12" t="inlineStr">
        <is>
          <t>GBS-2</t>
        </is>
      </c>
      <c r="F4523" s="12" t="inlineStr">
        <is>
          <t>GBS-2: block 2 480 V paralleling switchgear (4 gensets)</t>
        </is>
      </c>
      <c r="G4523" s="12" t="inlineStr">
        <is>
          <t>PAD-EH</t>
        </is>
      </c>
      <c r="H4523" s="12" t="inlineStr">
        <is>
          <t>PAD-EH 13.8 kV switchgear e-house</t>
        </is>
      </c>
      <c r="I4523" s="12" t="inlineStr">
        <is>
          <t>Fibre / data</t>
        </is>
      </c>
      <c r="J4523" s="12" t="inlineStr">
        <is>
          <t>Fibre optic, single-mode, 12-fibre, armored, orange jacket</t>
        </is>
      </c>
      <c r="K4523" s="12" t="inlineStr">
        <is>
          <t>FO|12 SM|-</t>
        </is>
      </c>
      <c r="L4523" s="12" t="inlineStr">
        <is>
          <t>12 SM</t>
        </is>
      </c>
      <c r="M4523" s="12" t="inlineStr">
        <is>
          <t>-</t>
        </is>
      </c>
      <c r="N4523" s="12" t="n">
        <v>1</v>
      </c>
      <c r="O4523" s="12" t="n">
        <v>1</v>
      </c>
      <c r="P4523" s="12" t="n"/>
      <c r="Q4523" s="12" t="n"/>
      <c r="R4523" s="12" t="n"/>
      <c r="S4523" s="12" t="inlineStr">
        <is>
          <t>Surface</t>
        </is>
      </c>
      <c r="T4523" s="17" t="n">
        <v>191</v>
      </c>
      <c r="U4523" s="17" t="n">
        <v>32</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I-F-0005</t>
        </is>
      </c>
      <c r="B4524" s="12" t="inlineStr">
        <is>
          <t>I</t>
        </is>
      </c>
      <c r="C4524" s="12" t="inlineStr">
        <is>
          <t>Modular / portable power</t>
        </is>
      </c>
      <c r="D4524" s="12" t="inlineStr">
        <is>
          <t>GBS-3 block controller fibre to the yard controller</t>
        </is>
      </c>
      <c r="E4524" s="12" t="inlineStr">
        <is>
          <t>GBS-3</t>
        </is>
      </c>
      <c r="F4524" s="12" t="inlineStr">
        <is>
          <t>GBS-3: block 3 480 V paralleling switchgear (4 gensets)</t>
        </is>
      </c>
      <c r="G4524" s="12" t="inlineStr">
        <is>
          <t>PAD-EH</t>
        </is>
      </c>
      <c r="H4524" s="12" t="inlineStr">
        <is>
          <t>PAD-EH 13.8 kV switchgear e-house</t>
        </is>
      </c>
      <c r="I4524" s="12" t="inlineStr">
        <is>
          <t>Fibre / data</t>
        </is>
      </c>
      <c r="J4524" s="12" t="inlineStr">
        <is>
          <t>Fibre optic, single-mode, 12-fibre, armored, orange jacket</t>
        </is>
      </c>
      <c r="K4524" s="12" t="inlineStr">
        <is>
          <t>FO|12 SM|-</t>
        </is>
      </c>
      <c r="L4524" s="12" t="inlineStr">
        <is>
          <t>12 SM</t>
        </is>
      </c>
      <c r="M4524" s="12" t="inlineStr">
        <is>
          <t>-</t>
        </is>
      </c>
      <c r="N4524" s="12" t="n">
        <v>1</v>
      </c>
      <c r="O4524" s="12" t="n">
        <v>1</v>
      </c>
      <c r="P4524" s="12" t="n"/>
      <c r="Q4524" s="12" t="n"/>
      <c r="R4524" s="12" t="n"/>
      <c r="S4524" s="12" t="inlineStr">
        <is>
          <t>Surface</t>
        </is>
      </c>
      <c r="T4524" s="17" t="n">
        <v>125</v>
      </c>
      <c r="U4524" s="17" t="n">
        <v>32</v>
      </c>
      <c r="V4524" s="17">
        <f>ROUNDUP((T4524+U4524+2*'Read Me'!$B$13)*(1+'Read Me'!$B$12),-1)</f>
        <v/>
      </c>
      <c r="W4524" s="17">
        <f>V4524*N4524*O4524</f>
        <v/>
      </c>
      <c r="X4524" s="12">
        <f>IF(LEFT(I4524,2)="MV",2*N4524*IF(L4524="1/C",O4524,1),0)</f>
        <v/>
      </c>
      <c r="Y4524" s="12">
        <f>IF(OR(LEFT(K4524,4)="LVAX",LEFT(K4524,6)="MV15AX",LEFT(K4524,4)="CTAX",LEFT(K4524,2)="W|"),2*N4524*O4524,0)</f>
        <v/>
      </c>
      <c r="Z4524" s="12" t="inlineStr"/>
      <c r="AA4524" s="12">
        <f>N4524*O4524</f>
        <v/>
      </c>
    </row>
    <row r="4525">
      <c r="A4525" s="12" t="inlineStr">
        <is>
          <t>I-F-0006</t>
        </is>
      </c>
      <c r="B4525" s="12" t="inlineStr">
        <is>
          <t>I</t>
        </is>
      </c>
      <c r="C4525" s="12" t="inlineStr">
        <is>
          <t>Modular / portable power</t>
        </is>
      </c>
      <c r="D4525" s="12" t="inlineStr">
        <is>
          <t>GBS-4 block controller fibre to the yard controller</t>
        </is>
      </c>
      <c r="E4525" s="12" t="inlineStr">
        <is>
          <t>GBS-4</t>
        </is>
      </c>
      <c r="F4525" s="12" t="inlineStr">
        <is>
          <t>GBS-4: block 4 480 V paralleling switchgear (4 gensets)</t>
        </is>
      </c>
      <c r="G4525" s="12" t="inlineStr">
        <is>
          <t>PAD-EH</t>
        </is>
      </c>
      <c r="H4525" s="12" t="inlineStr">
        <is>
          <t>PAD-EH 13.8 kV switchgear e-house</t>
        </is>
      </c>
      <c r="I4525" s="12" t="inlineStr">
        <is>
          <t>Fibre / data</t>
        </is>
      </c>
      <c r="J4525" s="12" t="inlineStr">
        <is>
          <t>Fibre optic, single-mode, 12-fibre, armored, orange jacket</t>
        </is>
      </c>
      <c r="K4525" s="12" t="inlineStr">
        <is>
          <t>FO|12 SM|-</t>
        </is>
      </c>
      <c r="L4525" s="12" t="inlineStr">
        <is>
          <t>12 SM</t>
        </is>
      </c>
      <c r="M4525" s="12" t="inlineStr">
        <is>
          <t>-</t>
        </is>
      </c>
      <c r="N4525" s="12" t="n">
        <v>1</v>
      </c>
      <c r="O4525" s="12" t="n">
        <v>1</v>
      </c>
      <c r="P4525" s="12" t="n"/>
      <c r="Q4525" s="12" t="n"/>
      <c r="R4525" s="12" t="n"/>
      <c r="S4525" s="12" t="inlineStr">
        <is>
          <t>Surface</t>
        </is>
      </c>
      <c r="T4525" s="17" t="n">
        <v>171</v>
      </c>
      <c r="U4525" s="17" t="n">
        <v>32</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I-F-0007</t>
        </is>
      </c>
      <c r="B4526" s="12" t="inlineStr">
        <is>
          <t>I</t>
        </is>
      </c>
      <c r="C4526" s="12" t="inlineStr">
        <is>
          <t>Modular / portable power</t>
        </is>
      </c>
      <c r="D4526" s="12" t="inlineStr">
        <is>
          <t>GBS-5 block controller fibre to the yard controller</t>
        </is>
      </c>
      <c r="E4526" s="12" t="inlineStr">
        <is>
          <t>GBS-5</t>
        </is>
      </c>
      <c r="F4526" s="12" t="inlineStr">
        <is>
          <t>GBS-5: block 5 480 V paralleling switchgear (4 gensets)</t>
        </is>
      </c>
      <c r="G4526" s="12" t="inlineStr">
        <is>
          <t>PAD-EH</t>
        </is>
      </c>
      <c r="H4526" s="12" t="inlineStr">
        <is>
          <t>PAD-EH 13.8 kV switchgear e-house</t>
        </is>
      </c>
      <c r="I4526" s="12" t="inlineStr">
        <is>
          <t>Fibre / data</t>
        </is>
      </c>
      <c r="J4526" s="12" t="inlineStr">
        <is>
          <t>Fibre optic, single-mode, 12-fibre, armored, orange jacket</t>
        </is>
      </c>
      <c r="K4526" s="12" t="inlineStr">
        <is>
          <t>FO|12 SM|-</t>
        </is>
      </c>
      <c r="L4526" s="12" t="inlineStr">
        <is>
          <t>12 SM</t>
        </is>
      </c>
      <c r="M4526" s="12" t="inlineStr">
        <is>
          <t>-</t>
        </is>
      </c>
      <c r="N4526" s="12" t="n">
        <v>1</v>
      </c>
      <c r="O4526" s="12" t="n">
        <v>1</v>
      </c>
      <c r="P4526" s="12" t="n"/>
      <c r="Q4526" s="12" t="n"/>
      <c r="R4526" s="12" t="n"/>
      <c r="S4526" s="12" t="inlineStr">
        <is>
          <t>Surface</t>
        </is>
      </c>
      <c r="T4526" s="17" t="n">
        <v>269</v>
      </c>
      <c r="U4526" s="17" t="n">
        <v>32</v>
      </c>
      <c r="V4526" s="17">
        <f>ROUNDUP((T4526+U4526+2*'Read Me'!$B$13)*(1+'Read Me'!$B$12),-1)</f>
        <v/>
      </c>
      <c r="W4526" s="17">
        <f>V4526*N4526*O4526</f>
        <v/>
      </c>
      <c r="X4526" s="12">
        <f>IF(LEFT(I4526,2)="MV",2*N4526*IF(L4526="1/C",O4526,1),0)</f>
        <v/>
      </c>
      <c r="Y4526" s="12">
        <f>IF(OR(LEFT(K4526,4)="LVAX",LEFT(K4526,6)="MV15AX",LEFT(K4526,4)="CTAX",LEFT(K4526,2)="W|"),2*N4526*O4526,0)</f>
        <v/>
      </c>
      <c r="Z4526" s="12" t="inlineStr"/>
      <c r="AA4526" s="12">
        <f>N4526*O4526</f>
        <v/>
      </c>
    </row>
    <row r="4527">
      <c r="A4527" s="12" t="inlineStr">
        <is>
          <t>I-F-0008</t>
        </is>
      </c>
      <c r="B4527" s="12" t="inlineStr">
        <is>
          <t>I</t>
        </is>
      </c>
      <c r="C4527" s="12" t="inlineStr">
        <is>
          <t>Modular / portable power</t>
        </is>
      </c>
      <c r="D4527" s="12" t="inlineStr">
        <is>
          <t>GBS-6 block controller fibre to the yard controller</t>
        </is>
      </c>
      <c r="E4527" s="12" t="inlineStr">
        <is>
          <t>GBS-6</t>
        </is>
      </c>
      <c r="F4527" s="12" t="inlineStr">
        <is>
          <t>GBS-6: block 6 480 V paralleling switchgear (4 gensets)</t>
        </is>
      </c>
      <c r="G4527" s="12" t="inlineStr">
        <is>
          <t>PAD-EH</t>
        </is>
      </c>
      <c r="H4527" s="12" t="inlineStr">
        <is>
          <t>PAD-EH 13.8 kV switchgear e-house</t>
        </is>
      </c>
      <c r="I4527" s="12" t="inlineStr">
        <is>
          <t>Fibre / data</t>
        </is>
      </c>
      <c r="J4527" s="12" t="inlineStr">
        <is>
          <t>Fibre optic, single-mode, 12-fibre, armored, orange jacket</t>
        </is>
      </c>
      <c r="K4527" s="12" t="inlineStr">
        <is>
          <t>FO|12 SM|-</t>
        </is>
      </c>
      <c r="L4527" s="12" t="inlineStr">
        <is>
          <t>12 SM</t>
        </is>
      </c>
      <c r="M4527" s="12" t="inlineStr">
        <is>
          <t>-</t>
        </is>
      </c>
      <c r="N4527" s="12" t="n">
        <v>1</v>
      </c>
      <c r="O4527" s="12" t="n">
        <v>1</v>
      </c>
      <c r="P4527" s="12" t="n"/>
      <c r="Q4527" s="12" t="n"/>
      <c r="R4527" s="12" t="n"/>
      <c r="S4527" s="12" t="inlineStr">
        <is>
          <t>Surface</t>
        </is>
      </c>
      <c r="T4527" s="17" t="n">
        <v>315</v>
      </c>
      <c r="U4527" s="17" t="n">
        <v>32</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I-F-0009</t>
        </is>
      </c>
      <c r="B4528" s="12" t="inlineStr">
        <is>
          <t>I</t>
        </is>
      </c>
      <c r="C4528" s="12" t="inlineStr">
        <is>
          <t>Modular / portable power</t>
        </is>
      </c>
      <c r="D4528" s="12" t="inlineStr">
        <is>
          <t>Plant network / DCS fibre</t>
        </is>
      </c>
      <c r="E4528" s="12" t="inlineStr">
        <is>
          <t>CR</t>
        </is>
      </c>
      <c r="F4528" s="12" t="inlineStr">
        <is>
          <t>Control / admin building (main control room)</t>
        </is>
      </c>
      <c r="G4528" s="12" t="inlineStr"/>
      <c r="H4528" s="12" t="inlineStr">
        <is>
          <t>PCM: power control module</t>
        </is>
      </c>
      <c r="I4528" s="12" t="inlineStr">
        <is>
          <t>Fibre / data</t>
        </is>
      </c>
      <c r="J4528" s="12" t="inlineStr">
        <is>
          <t>Fibre optic, single-mode, 12-fibre, armored, orange jacket</t>
        </is>
      </c>
      <c r="K4528" s="12" t="inlineStr">
        <is>
          <t>FO|12 SM|-</t>
        </is>
      </c>
      <c r="L4528" s="12" t="inlineStr">
        <is>
          <t>12 SM</t>
        </is>
      </c>
      <c r="M4528" s="12" t="inlineStr">
        <is>
          <t>-</t>
        </is>
      </c>
      <c r="N4528" s="12" t="n">
        <v>1</v>
      </c>
      <c r="O4528" s="12" t="n">
        <v>1</v>
      </c>
      <c r="P4528" s="12" t="n"/>
      <c r="Q4528" s="12" t="n"/>
      <c r="R4528" s="12" t="n"/>
      <c r="S4528" s="12" t="inlineStr">
        <is>
          <t>Duct bank</t>
        </is>
      </c>
      <c r="T4528" s="17" t="n">
        <v>4696</v>
      </c>
      <c r="U4528" s="17" t="n">
        <v>36</v>
      </c>
      <c r="V4528" s="17">
        <f>ROUNDUP((T4528+U4528+2*'Read Me'!$B$13)*(1+'Read Me'!$B$12),-1)</f>
        <v/>
      </c>
      <c r="W4528" s="17">
        <f>V4528*N4528*O4528</f>
        <v/>
      </c>
      <c r="X4528" s="12">
        <f>IF(LEFT(I4528,2)="MV",2*N4528*IF(L4528="1/C",O4528,1),0)</f>
        <v/>
      </c>
      <c r="Y4528" s="12">
        <f>IF(OR(LEFT(K4528,4)="LVAX",LEFT(K4528,6)="MV15AX",LEFT(K4528,4)="CTAX",LEFT(K4528,2)="W|"),2*N4528*O4528,0)</f>
        <v/>
      </c>
      <c r="Z4528" s="12" t="inlineStr"/>
      <c r="AA4528" s="12">
        <f>N4528*O4528</f>
        <v/>
      </c>
    </row>
    <row r="4529">
      <c r="A4529" s="12" t="inlineStr">
        <is>
          <t>I-F-0010</t>
        </is>
      </c>
      <c r="B4529" s="12" t="inlineStr">
        <is>
          <t>I</t>
        </is>
      </c>
      <c r="C4529" s="12" t="inlineStr">
        <is>
          <t>Modular / portable power</t>
        </is>
      </c>
      <c r="D4529" s="12" t="inlineStr">
        <is>
          <t>Plant network / DCS fibre</t>
        </is>
      </c>
      <c r="E4529" s="12" t="inlineStr">
        <is>
          <t>CR</t>
        </is>
      </c>
      <c r="F4529" s="12" t="inlineStr">
        <is>
          <t>Control / admin building (main control room)</t>
        </is>
      </c>
      <c r="G4529" s="12" t="inlineStr"/>
      <c r="H4529" s="12" t="inlineStr">
        <is>
          <t>RICE CEMS</t>
        </is>
      </c>
      <c r="I4529" s="12" t="inlineStr">
        <is>
          <t>Fibre / data</t>
        </is>
      </c>
      <c r="J4529" s="12" t="inlineStr">
        <is>
          <t>Fibre optic, single-mode, 12-fibre, armored, orange jacket</t>
        </is>
      </c>
      <c r="K4529" s="12" t="inlineStr">
        <is>
          <t>FO|12 SM|-</t>
        </is>
      </c>
      <c r="L4529" s="12" t="inlineStr">
        <is>
          <t>12 SM</t>
        </is>
      </c>
      <c r="M4529" s="12" t="inlineStr">
        <is>
          <t>-</t>
        </is>
      </c>
      <c r="N4529" s="12" t="n">
        <v>1</v>
      </c>
      <c r="O4529" s="12" t="n">
        <v>1</v>
      </c>
      <c r="P4529" s="12" t="n"/>
      <c r="Q4529" s="12" t="n"/>
      <c r="R4529" s="12" t="n"/>
      <c r="S4529" s="12" t="inlineStr">
        <is>
          <t>Duct bank</t>
        </is>
      </c>
      <c r="T4529" s="17" t="n">
        <v>4436</v>
      </c>
      <c r="U4529" s="17" t="n">
        <v>135</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I-F-0011</t>
        </is>
      </c>
      <c r="B4530" s="12" t="inlineStr">
        <is>
          <t>I</t>
        </is>
      </c>
      <c r="C4530" s="12" t="inlineStr">
        <is>
          <t>Modular / portable power</t>
        </is>
      </c>
      <c r="D4530" s="12" t="inlineStr">
        <is>
          <t>Plant network / DCS fibre</t>
        </is>
      </c>
      <c r="E4530" s="12" t="inlineStr">
        <is>
          <t>CR</t>
        </is>
      </c>
      <c r="F4530" s="12" t="inlineStr">
        <is>
          <t>Control / admin building (main control room)</t>
        </is>
      </c>
      <c r="G4530" s="12" t="inlineStr">
        <is>
          <t>RICE</t>
        </is>
      </c>
      <c r="H4530" s="12" t="inlineStr">
        <is>
          <t>RICE engine hall (8 engines)</t>
        </is>
      </c>
      <c r="I4530" s="12" t="inlineStr">
        <is>
          <t>Fibre / data</t>
        </is>
      </c>
      <c r="J4530" s="12" t="inlineStr">
        <is>
          <t>Fibre optic, single-mode, 12-fibre, armored, orange jacket</t>
        </is>
      </c>
      <c r="K4530" s="12" t="inlineStr">
        <is>
          <t>FO|12 SM|-</t>
        </is>
      </c>
      <c r="L4530" s="12" t="inlineStr">
        <is>
          <t>12 SM</t>
        </is>
      </c>
      <c r="M4530" s="12" t="inlineStr">
        <is>
          <t>-</t>
        </is>
      </c>
      <c r="N4530" s="12" t="n">
        <v>1</v>
      </c>
      <c r="O4530" s="12" t="n">
        <v>1</v>
      </c>
      <c r="P4530" s="12" t="n"/>
      <c r="Q4530" s="12" t="n"/>
      <c r="R4530" s="12" t="n"/>
      <c r="S4530" s="12" t="inlineStr">
        <is>
          <t>Tray</t>
        </is>
      </c>
      <c r="T4530" s="17" t="n">
        <v>2186</v>
      </c>
      <c r="U4530" s="17" t="n">
        <v>334</v>
      </c>
      <c r="V4530" s="17">
        <f>ROUNDUP((T4530+U4530+2*'Read Me'!$B$13)*(1+'Read Me'!$B$12),-1)</f>
        <v/>
      </c>
      <c r="W4530" s="17">
        <f>V4530*N4530*O4530</f>
        <v/>
      </c>
      <c r="X4530" s="12">
        <f>IF(LEFT(I4530,2)="MV",2*N4530*IF(L4530="1/C",O4530,1),0)</f>
        <v/>
      </c>
      <c r="Y4530" s="12">
        <f>IF(OR(LEFT(K4530,4)="LVAX",LEFT(K4530,6)="MV15AX",LEFT(K4530,4)="CTAX",LEFT(K4530,2)="W|"),2*N4530*O4530,0)</f>
        <v/>
      </c>
      <c r="Z4530" s="12" t="inlineStr"/>
      <c r="AA4530" s="12">
        <f>N4530*O4530</f>
        <v/>
      </c>
    </row>
    <row r="4531">
      <c r="A4531" s="12" t="inlineStr">
        <is>
          <t>I-F-0012</t>
        </is>
      </c>
      <c r="B4531" s="12" t="inlineStr">
        <is>
          <t>I</t>
        </is>
      </c>
      <c r="C4531" s="12" t="inlineStr">
        <is>
          <t>Modular / portable power</t>
        </is>
      </c>
      <c r="D4531" s="12" t="inlineStr">
        <is>
          <t>SC-1 CEMS data to the unit control (Modbus TCP)</t>
        </is>
      </c>
      <c r="E4531" s="12" t="inlineStr"/>
      <c r="F4531" s="12" t="inlineStr">
        <is>
          <t>SC-1 PCM + 15 kV GCB</t>
        </is>
      </c>
      <c r="G4531" s="12" t="inlineStr"/>
      <c r="H4531" s="12" t="inlineStr">
        <is>
          <t>SC-1 CEMS shelter</t>
        </is>
      </c>
      <c r="I4531" s="12" t="inlineStr">
        <is>
          <t>Fibre / data</t>
        </is>
      </c>
      <c r="J4531" s="12" t="inlineStr">
        <is>
          <t>Fibre optic, single-mode, 12-fibre, armored, orange jacket</t>
        </is>
      </c>
      <c r="K4531" s="12" t="inlineStr">
        <is>
          <t>FO|12 SM|-</t>
        </is>
      </c>
      <c r="L4531" s="12" t="inlineStr">
        <is>
          <t>12 SM</t>
        </is>
      </c>
      <c r="M4531" s="12" t="inlineStr">
        <is>
          <t>-</t>
        </is>
      </c>
      <c r="N4531" s="12" t="n">
        <v>1</v>
      </c>
      <c r="O4531" s="12" t="n">
        <v>1</v>
      </c>
      <c r="P4531" s="12" t="n"/>
      <c r="Q4531" s="12" t="n"/>
      <c r="R4531" s="12" t="n"/>
      <c r="S4531" s="12" t="inlineStr">
        <is>
          <t>Tray</t>
        </is>
      </c>
      <c r="T4531" s="17" t="n">
        <v>0</v>
      </c>
      <c r="U4531" s="17" t="n">
        <v>229</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I-F-0013</t>
        </is>
      </c>
      <c r="B4532" s="12" t="inlineStr">
        <is>
          <t>I</t>
        </is>
      </c>
      <c r="C4532" s="12" t="inlineStr">
        <is>
          <t>Modular / portable power</t>
        </is>
      </c>
      <c r="D4532" s="12" t="inlineStr">
        <is>
          <t>SC-1 unit control panel: plant network / DCS fibre</t>
        </is>
      </c>
      <c r="E4532" s="12" t="inlineStr">
        <is>
          <t>CR</t>
        </is>
      </c>
      <c r="F4532" s="12" t="inlineStr">
        <is>
          <t>Control / admin building (main control room)</t>
        </is>
      </c>
      <c r="G4532" s="12" t="inlineStr"/>
      <c r="H4532" s="12" t="inlineStr">
        <is>
          <t>SC-1 PCM + 15 kV GCB</t>
        </is>
      </c>
      <c r="I4532" s="12" t="inlineStr">
        <is>
          <t>Fibre / data</t>
        </is>
      </c>
      <c r="J4532" s="12" t="inlineStr">
        <is>
          <t>Fibre optic, single-mode, 12-fibre, armored, orange jacket</t>
        </is>
      </c>
      <c r="K4532" s="12" t="inlineStr">
        <is>
          <t>FO|12 SM|-</t>
        </is>
      </c>
      <c r="L4532" s="12" t="inlineStr">
        <is>
          <t>12 SM</t>
        </is>
      </c>
      <c r="M4532" s="12" t="inlineStr">
        <is>
          <t>-</t>
        </is>
      </c>
      <c r="N4532" s="12" t="n">
        <v>1</v>
      </c>
      <c r="O4532" s="12" t="n">
        <v>1</v>
      </c>
      <c r="P4532" s="12" t="n"/>
      <c r="Q4532" s="12" t="n"/>
      <c r="R4532" s="12" t="n"/>
      <c r="S4532" s="12" t="inlineStr">
        <is>
          <t>Duct bank</t>
        </is>
      </c>
      <c r="T4532" s="17" t="n">
        <v>4738</v>
      </c>
      <c r="U4532" s="17" t="n">
        <v>36</v>
      </c>
      <c r="V4532" s="17">
        <f>ROUNDUP((T4532+U4532+2*'Read Me'!$B$13)*(1+'Read Me'!$B$12),-1)</f>
        <v/>
      </c>
      <c r="W4532" s="17">
        <f>V4532*N4532*O4532</f>
        <v/>
      </c>
      <c r="X4532" s="12">
        <f>IF(LEFT(I4532,2)="MV",2*N4532*IF(L4532="1/C",O4532,1),0)</f>
        <v/>
      </c>
      <c r="Y4532" s="12">
        <f>IF(OR(LEFT(K4532,4)="LVAX",LEFT(K4532,6)="MV15AX",LEFT(K4532,4)="CTAX",LEFT(K4532,2)="W|"),2*N4532*O4532,0)</f>
        <v/>
      </c>
      <c r="Z4532" s="12" t="inlineStr"/>
      <c r="AA4532" s="12">
        <f>N4532*O4532</f>
        <v/>
      </c>
    </row>
    <row r="4533">
      <c r="A4533" s="12" t="inlineStr">
        <is>
          <t>I-F-0014</t>
        </is>
      </c>
      <c r="B4533" s="12" t="inlineStr">
        <is>
          <t>I</t>
        </is>
      </c>
      <c r="C4533" s="12" t="inlineStr">
        <is>
          <t>Modular / portable power</t>
        </is>
      </c>
      <c r="D4533" s="12" t="inlineStr">
        <is>
          <t>Plant network / DCS fibre</t>
        </is>
      </c>
      <c r="E4533" s="12" t="inlineStr">
        <is>
          <t>CR</t>
        </is>
      </c>
      <c r="F4533" s="12" t="inlineStr">
        <is>
          <t>Control / admin building (main control room)</t>
        </is>
      </c>
      <c r="G4533" s="12" t="inlineStr">
        <is>
          <t>SC-1</t>
        </is>
      </c>
      <c r="H4533" s="12" t="inlineStr">
        <is>
          <t>SC-1: aeroderivative simple-cycle unit (LM6000 class)</t>
        </is>
      </c>
      <c r="I4533" s="12" t="inlineStr">
        <is>
          <t>Fibre / data</t>
        </is>
      </c>
      <c r="J4533" s="12" t="inlineStr">
        <is>
          <t>Fibre optic, single-mode, 12-fibre, armored, orange jacket</t>
        </is>
      </c>
      <c r="K4533" s="12" t="inlineStr">
        <is>
          <t>FO|12 SM|-</t>
        </is>
      </c>
      <c r="L4533" s="12" t="inlineStr">
        <is>
          <t>12 SM</t>
        </is>
      </c>
      <c r="M4533" s="12" t="inlineStr">
        <is>
          <t>-</t>
        </is>
      </c>
      <c r="N4533" s="12" t="n">
        <v>1</v>
      </c>
      <c r="O4533" s="12" t="n">
        <v>1</v>
      </c>
      <c r="P4533" s="12" t="n"/>
      <c r="Q4533" s="12" t="n"/>
      <c r="R4533" s="12" t="n"/>
      <c r="S4533" s="12" t="inlineStr">
        <is>
          <t>Duct bank</t>
        </is>
      </c>
      <c r="T4533" s="17" t="n">
        <v>4656</v>
      </c>
      <c r="U4533" s="17" t="n">
        <v>56</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I-F-0015</t>
        </is>
      </c>
      <c r="B4534" s="12" t="inlineStr">
        <is>
          <t>I</t>
        </is>
      </c>
      <c r="C4534" s="12" t="inlineStr">
        <is>
          <t>Modular / portable power</t>
        </is>
      </c>
      <c r="D4534" s="12" t="inlineStr">
        <is>
          <t>SC-2 CEMS data to the unit control (Modbus TCP)</t>
        </is>
      </c>
      <c r="E4534" s="12" t="inlineStr"/>
      <c r="F4534" s="12" t="inlineStr">
        <is>
          <t>SC-2 PCM + 15 kV GCB</t>
        </is>
      </c>
      <c r="G4534" s="12" t="inlineStr"/>
      <c r="H4534" s="12" t="inlineStr">
        <is>
          <t>SC-2 CEMS shelter</t>
        </is>
      </c>
      <c r="I4534" s="12" t="inlineStr">
        <is>
          <t>Fibre / data</t>
        </is>
      </c>
      <c r="J4534" s="12" t="inlineStr">
        <is>
          <t>Fibre optic, single-mode, 12-fibre, armored, orange jacket</t>
        </is>
      </c>
      <c r="K4534" s="12" t="inlineStr">
        <is>
          <t>FO|12 SM|-</t>
        </is>
      </c>
      <c r="L4534" s="12" t="inlineStr">
        <is>
          <t>12 SM</t>
        </is>
      </c>
      <c r="M4534" s="12" t="inlineStr">
        <is>
          <t>-</t>
        </is>
      </c>
      <c r="N4534" s="12" t="n">
        <v>1</v>
      </c>
      <c r="O4534" s="12" t="n">
        <v>1</v>
      </c>
      <c r="P4534" s="12" t="n"/>
      <c r="Q4534" s="12" t="n"/>
      <c r="R4534" s="12" t="n"/>
      <c r="S4534" s="12" t="inlineStr">
        <is>
          <t>Duct bank</t>
        </is>
      </c>
      <c r="T4534" s="17" t="n">
        <v>25</v>
      </c>
      <c r="U4534" s="17" t="n">
        <v>197</v>
      </c>
      <c r="V4534" s="17">
        <f>ROUNDUP((T4534+U4534+2*'Read Me'!$B$13)*(1+'Read Me'!$B$12),-1)</f>
        <v/>
      </c>
      <c r="W4534" s="17">
        <f>V4534*N4534*O4534</f>
        <v/>
      </c>
      <c r="X4534" s="12">
        <f>IF(LEFT(I4534,2)="MV",2*N4534*IF(L4534="1/C",O4534,1),0)</f>
        <v/>
      </c>
      <c r="Y4534" s="12">
        <f>IF(OR(LEFT(K4534,4)="LVAX",LEFT(K4534,6)="MV15AX",LEFT(K4534,4)="CTAX",LEFT(K4534,2)="W|"),2*N4534*O4534,0)</f>
        <v/>
      </c>
      <c r="Z4534" s="12" t="inlineStr"/>
      <c r="AA4534" s="12">
        <f>N4534*O4534</f>
        <v/>
      </c>
    </row>
    <row r="4535">
      <c r="A4535" s="12" t="inlineStr">
        <is>
          <t>I-F-0016</t>
        </is>
      </c>
      <c r="B4535" s="12" t="inlineStr">
        <is>
          <t>I</t>
        </is>
      </c>
      <c r="C4535" s="12" t="inlineStr">
        <is>
          <t>Modular / portable power</t>
        </is>
      </c>
      <c r="D4535" s="12" t="inlineStr">
        <is>
          <t>SC-2 unit control panel: plant network / DCS fibre</t>
        </is>
      </c>
      <c r="E4535" s="12" t="inlineStr">
        <is>
          <t>CR</t>
        </is>
      </c>
      <c r="F4535" s="12" t="inlineStr">
        <is>
          <t>Control / admin building (main control room)</t>
        </is>
      </c>
      <c r="G4535" s="12" t="inlineStr"/>
      <c r="H4535" s="12" t="inlineStr">
        <is>
          <t>SC-2 PCM + 15 kV GCB</t>
        </is>
      </c>
      <c r="I4535" s="12" t="inlineStr">
        <is>
          <t>Fibre / data</t>
        </is>
      </c>
      <c r="J4535" s="12" t="inlineStr">
        <is>
          <t>Fibre optic, single-mode, 12-fibre, armored, orange jacket</t>
        </is>
      </c>
      <c r="K4535" s="12" t="inlineStr">
        <is>
          <t>FO|12 SM|-</t>
        </is>
      </c>
      <c r="L4535" s="12" t="inlineStr">
        <is>
          <t>12 SM</t>
        </is>
      </c>
      <c r="M4535" s="12" t="inlineStr">
        <is>
          <t>-</t>
        </is>
      </c>
      <c r="N4535" s="12" t="n">
        <v>1</v>
      </c>
      <c r="O4535" s="12" t="n">
        <v>1</v>
      </c>
      <c r="P4535" s="12" t="n"/>
      <c r="Q4535" s="12" t="n"/>
      <c r="R4535" s="12" t="n"/>
      <c r="S4535" s="12" t="inlineStr">
        <is>
          <t>Trench</t>
        </is>
      </c>
      <c r="T4535" s="17" t="n">
        <v>4547</v>
      </c>
      <c r="U4535" s="17" t="n">
        <v>90</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I-F-0017</t>
        </is>
      </c>
      <c r="B4536" s="12" t="inlineStr">
        <is>
          <t>I</t>
        </is>
      </c>
      <c r="C4536" s="12" t="inlineStr">
        <is>
          <t>Modular / portable power</t>
        </is>
      </c>
      <c r="D4536" s="12" t="inlineStr">
        <is>
          <t>Plant network / DCS fibre</t>
        </is>
      </c>
      <c r="E4536" s="12" t="inlineStr">
        <is>
          <t>CR</t>
        </is>
      </c>
      <c r="F4536" s="12" t="inlineStr">
        <is>
          <t>Control / admin building (main control room)</t>
        </is>
      </c>
      <c r="G4536" s="12" t="inlineStr">
        <is>
          <t>SC-2</t>
        </is>
      </c>
      <c r="H4536" s="12" t="inlineStr">
        <is>
          <t>SC-2: aeroderivative simple-cycle unit (LM6000 class)</t>
        </is>
      </c>
      <c r="I4536" s="12" t="inlineStr">
        <is>
          <t>Fibre / data</t>
        </is>
      </c>
      <c r="J4536" s="12" t="inlineStr">
        <is>
          <t>Fibre optic, single-mode, 12-fibre, armored, orange jacket</t>
        </is>
      </c>
      <c r="K4536" s="12" t="inlineStr">
        <is>
          <t>FO|12 SM|-</t>
        </is>
      </c>
      <c r="L4536" s="12" t="inlineStr">
        <is>
          <t>12 SM</t>
        </is>
      </c>
      <c r="M4536" s="12" t="inlineStr">
        <is>
          <t>-</t>
        </is>
      </c>
      <c r="N4536" s="12" t="n">
        <v>1</v>
      </c>
      <c r="O4536" s="12" t="n">
        <v>1</v>
      </c>
      <c r="P4536" s="12" t="n"/>
      <c r="Q4536" s="12" t="n"/>
      <c r="R4536" s="12" t="n"/>
      <c r="S4536" s="12" t="inlineStr">
        <is>
          <t>Trench</t>
        </is>
      </c>
      <c r="T4536" s="17" t="n">
        <v>4640</v>
      </c>
      <c r="U4536" s="17" t="n">
        <v>36</v>
      </c>
      <c r="V4536" s="17">
        <f>ROUNDUP((T4536+U4536+2*'Read Me'!$B$13)*(1+'Read Me'!$B$12),-1)</f>
        <v/>
      </c>
      <c r="W4536" s="17">
        <f>V4536*N4536*O4536</f>
        <v/>
      </c>
      <c r="X4536" s="12">
        <f>IF(LEFT(I4536,2)="MV",2*N4536*IF(L4536="1/C",O4536,1),0)</f>
        <v/>
      </c>
      <c r="Y4536" s="12">
        <f>IF(OR(LEFT(K4536,4)="LVAX",LEFT(K4536,6)="MV15AX",LEFT(K4536,4)="CTAX",LEFT(K4536,2)="W|"),2*N4536*O4536,0)</f>
        <v/>
      </c>
      <c r="Z4536" s="12" t="inlineStr"/>
      <c r="AA4536" s="12">
        <f>N4536*O4536</f>
        <v/>
      </c>
    </row>
    <row r="4537">
      <c r="A4537" s="12" t="inlineStr">
        <is>
          <t>I-F-0018</t>
        </is>
      </c>
      <c r="B4537" s="12" t="inlineStr">
        <is>
          <t>I</t>
        </is>
      </c>
      <c r="C4537" s="12" t="inlineStr">
        <is>
          <t>Modular / portable power</t>
        </is>
      </c>
      <c r="D4537" s="12" t="inlineStr">
        <is>
          <t>Plant network / DCS fibre</t>
        </is>
      </c>
      <c r="E4537" s="12" t="inlineStr">
        <is>
          <t>CR</t>
        </is>
      </c>
      <c r="F4537" s="12" t="inlineStr">
        <is>
          <t>Control / admin building (main control room)</t>
        </is>
      </c>
      <c r="G4537" s="12" t="inlineStr">
        <is>
          <t>TM-1</t>
        </is>
      </c>
      <c r="H4537" s="12" t="inlineStr">
        <is>
          <t>TM-1: trailer-mounted aeroderivative GT (TM2500 class, ~35 MW)</t>
        </is>
      </c>
      <c r="I4537" s="12" t="inlineStr">
        <is>
          <t>Fibre / data</t>
        </is>
      </c>
      <c r="J4537" s="12" t="inlineStr">
        <is>
          <t>Fibre optic, single-mode, 12-fibre, armored, orange jacket</t>
        </is>
      </c>
      <c r="K4537" s="12" t="inlineStr">
        <is>
          <t>FO|12 SM|-</t>
        </is>
      </c>
      <c r="L4537" s="12" t="inlineStr">
        <is>
          <t>12 SM</t>
        </is>
      </c>
      <c r="M4537" s="12" t="inlineStr">
        <is>
          <t>-</t>
        </is>
      </c>
      <c r="N4537" s="12" t="n">
        <v>1</v>
      </c>
      <c r="O4537" s="12" t="n">
        <v>1</v>
      </c>
      <c r="P4537" s="12" t="n"/>
      <c r="Q4537" s="12" t="n"/>
      <c r="R4537" s="12" t="n"/>
      <c r="S4537" s="12" t="inlineStr">
        <is>
          <t>Trench</t>
        </is>
      </c>
      <c r="T4537" s="17" t="n">
        <v>3434</v>
      </c>
      <c r="U4537" s="17" t="n">
        <v>66</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I-F-0019</t>
        </is>
      </c>
      <c r="B4538" s="12" t="inlineStr">
        <is>
          <t>I</t>
        </is>
      </c>
      <c r="C4538" s="12" t="inlineStr">
        <is>
          <t>Modular / portable power</t>
        </is>
      </c>
      <c r="D4538" s="12" t="inlineStr">
        <is>
          <t>Plant network / DCS fibre</t>
        </is>
      </c>
      <c r="E4538" s="12" t="inlineStr">
        <is>
          <t>CR</t>
        </is>
      </c>
      <c r="F4538" s="12" t="inlineStr">
        <is>
          <t>Control / admin building (main control room)</t>
        </is>
      </c>
      <c r="G4538" s="12" t="inlineStr">
        <is>
          <t>TM-2</t>
        </is>
      </c>
      <c r="H4538" s="12" t="inlineStr">
        <is>
          <t>TM-2: trailer-mounted aeroderivative GT (TM2500 class, ~35 MW)</t>
        </is>
      </c>
      <c r="I4538" s="12" t="inlineStr">
        <is>
          <t>Fibre / data</t>
        </is>
      </c>
      <c r="J4538" s="12" t="inlineStr">
        <is>
          <t>Fibre optic, single-mode, 12-fibre, armored, orange jacket</t>
        </is>
      </c>
      <c r="K4538" s="12" t="inlineStr">
        <is>
          <t>FO|12 SM|-</t>
        </is>
      </c>
      <c r="L4538" s="12" t="inlineStr">
        <is>
          <t>12 SM</t>
        </is>
      </c>
      <c r="M4538" s="12" t="inlineStr">
        <is>
          <t>-</t>
        </is>
      </c>
      <c r="N4538" s="12" t="n">
        <v>1</v>
      </c>
      <c r="O4538" s="12" t="n">
        <v>1</v>
      </c>
      <c r="P4538" s="12" t="n"/>
      <c r="Q4538" s="12" t="n"/>
      <c r="R4538" s="12" t="n"/>
      <c r="S4538" s="12" t="inlineStr">
        <is>
          <t>Trench</t>
        </is>
      </c>
      <c r="T4538" s="17" t="n">
        <v>3434</v>
      </c>
      <c r="U4538" s="17" t="n">
        <v>72</v>
      </c>
      <c r="V4538" s="17">
        <f>ROUNDUP((T4538+U4538+2*'Read Me'!$B$13)*(1+'Read Me'!$B$12),-1)</f>
        <v/>
      </c>
      <c r="W4538" s="17">
        <f>V4538*N4538*O4538</f>
        <v/>
      </c>
      <c r="X4538" s="12">
        <f>IF(LEFT(I4538,2)="MV",2*N4538*IF(L4538="1/C",O4538,1),0)</f>
        <v/>
      </c>
      <c r="Y4538" s="12">
        <f>IF(OR(LEFT(K4538,4)="LVAX",LEFT(K4538,6)="MV15AX",LEFT(K4538,4)="CTAX",LEFT(K4538,2)="W|"),2*N4538*O4538,0)</f>
        <v/>
      </c>
      <c r="Z4538" s="12" t="inlineStr"/>
      <c r="AA4538" s="12">
        <f>N4538*O4538</f>
        <v/>
      </c>
    </row>
    <row r="4539">
      <c r="A4539" s="12" t="inlineStr">
        <is>
          <t>I-FA-0001</t>
        </is>
      </c>
      <c r="B4539" s="12" t="inlineStr">
        <is>
          <t>I</t>
        </is>
      </c>
      <c r="C4539" s="12" t="inlineStr">
        <is>
          <t>Modular / portable power</t>
        </is>
      </c>
      <c r="D4539" s="12" t="inlineStr">
        <is>
          <t>Fire alarm / F&amp;G loop (to the local FACP / F&amp;G node)</t>
        </is>
      </c>
      <c r="E4539" s="12" t="inlineStr"/>
      <c r="F4539" s="12" t="inlineStr">
        <is>
          <t>PCM: power control module</t>
        </is>
      </c>
      <c r="G4539" s="12" t="inlineStr"/>
      <c r="H4539" s="12" t="inlineStr">
        <is>
          <t>BS black-start switchgear</t>
        </is>
      </c>
      <c r="I4539" s="12" t="inlineStr">
        <is>
          <t>Fire alarm</t>
        </is>
      </c>
      <c r="J4539" s="12" t="inlineStr">
        <is>
          <t>Fire alarm FPLR 2/C #14 shielded, red jacket (NEC 760)</t>
        </is>
      </c>
      <c r="K4539" s="12" t="inlineStr">
        <is>
          <t>FA|2/C|14</t>
        </is>
      </c>
      <c r="L4539" s="12" t="inlineStr">
        <is>
          <t>2/C</t>
        </is>
      </c>
      <c r="M4539" s="12" t="inlineStr">
        <is>
          <t>14</t>
        </is>
      </c>
      <c r="N4539" s="12" t="n">
        <v>1</v>
      </c>
      <c r="O4539" s="12" t="n">
        <v>1</v>
      </c>
      <c r="P4539" s="12" t="n"/>
      <c r="Q4539" s="12" t="n"/>
      <c r="R4539" s="12" t="n"/>
      <c r="S4539" s="12" t="inlineStr">
        <is>
          <t>Duct bank</t>
        </is>
      </c>
      <c r="T4539" s="17" t="n">
        <v>562</v>
      </c>
      <c r="U4539" s="17" t="n">
        <v>64</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I-FA-0002</t>
        </is>
      </c>
      <c r="B4540" s="12" t="inlineStr">
        <is>
          <t>I</t>
        </is>
      </c>
      <c r="C4540" s="12" t="inlineStr">
        <is>
          <t>Modular / portable power</t>
        </is>
      </c>
      <c r="D4540" s="12" t="inlineStr">
        <is>
          <t>Fire alarm / F&amp;G loop (to the local FACP / F&amp;G node)</t>
        </is>
      </c>
      <c r="E4540" s="12" t="inlineStr"/>
      <c r="F4540" s="12" t="inlineStr">
        <is>
          <t>PCM: power control module</t>
        </is>
      </c>
      <c r="G4540" s="12" t="inlineStr"/>
      <c r="H4540" s="12" t="inlineStr">
        <is>
          <t>Black-start genset (proposed; requires study)</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Duct bank</t>
        </is>
      </c>
      <c r="T4540" s="17" t="n">
        <v>624</v>
      </c>
      <c r="U4540" s="17" t="n">
        <v>32</v>
      </c>
      <c r="V4540" s="17">
        <f>ROUNDUP((T4540+U4540+2*'Read Me'!$B$13)*(1+'Read Me'!$B$12),-1)</f>
        <v/>
      </c>
      <c r="W4540" s="17">
        <f>V4540*N4540*O4540</f>
        <v/>
      </c>
      <c r="X4540" s="12">
        <f>IF(LEFT(I4540,2)="MV",2*N4540*IF(L4540="1/C",O4540,1),0)</f>
        <v/>
      </c>
      <c r="Y4540" s="12">
        <f>IF(OR(LEFT(K4540,4)="LVAX",LEFT(K4540,6)="MV15AX",LEFT(K4540,4)="CTAX",LEFT(K4540,2)="W|"),2*N4540*O4540,0)</f>
        <v/>
      </c>
      <c r="Z4540" s="12" t="inlineStr"/>
      <c r="AA4540" s="12">
        <f>N4540*O4540</f>
        <v/>
      </c>
    </row>
    <row r="4541">
      <c r="A4541" s="12" t="inlineStr">
        <is>
          <t>I-FA-0003</t>
        </is>
      </c>
      <c r="B4541" s="12" t="inlineStr">
        <is>
          <t>I</t>
        </is>
      </c>
      <c r="C4541" s="12" t="inlineStr">
        <is>
          <t>Modular / portable power</t>
        </is>
      </c>
      <c r="D4541" s="12" t="inlineStr">
        <is>
          <t>Fire alarm / F&amp;G loop (to the local FACP / F&amp;G node)</t>
        </is>
      </c>
      <c r="E4541" s="12" t="inlineStr"/>
      <c r="F4541" s="12" t="inlineStr">
        <is>
          <t>PCM: power control module</t>
        </is>
      </c>
      <c r="G4541" s="12" t="inlineStr"/>
      <c r="H4541" s="12" t="inlineStr">
        <is>
          <t>Black-start genset (proposed; requires study)</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Duct bank</t>
        </is>
      </c>
      <c r="T4541" s="17" t="n">
        <v>624</v>
      </c>
      <c r="U4541" s="17" t="n">
        <v>40</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I-FA-0004</t>
        </is>
      </c>
      <c r="B4542" s="12" t="inlineStr">
        <is>
          <t>I</t>
        </is>
      </c>
      <c r="C4542" s="12" t="inlineStr">
        <is>
          <t>Modular / portable power</t>
        </is>
      </c>
      <c r="D4542" s="12" t="inlineStr">
        <is>
          <t>Fire alarm / F&amp;G loop (to the local FACP / F&amp;G node)</t>
        </is>
      </c>
      <c r="E4542" s="12" t="inlineStr"/>
      <c r="F4542" s="12" t="inlineStr">
        <is>
          <t>PCM: power control module</t>
        </is>
      </c>
      <c r="G4542" s="12" t="inlineStr"/>
      <c r="H4542" s="12" t="inlineStr">
        <is>
          <t>CONDITIONAL: BESS black-start alternative</t>
        </is>
      </c>
      <c r="I4542" s="12" t="inlineStr">
        <is>
          <t>Fire alarm</t>
        </is>
      </c>
      <c r="J4542" s="12" t="inlineStr">
        <is>
          <t>Fire alarm FPLR 2/C #14 shielded, red jacket (NEC 760)</t>
        </is>
      </c>
      <c r="K4542" s="12" t="inlineStr">
        <is>
          <t>FA|2/C|14</t>
        </is>
      </c>
      <c r="L4542" s="12" t="inlineStr">
        <is>
          <t>2/C</t>
        </is>
      </c>
      <c r="M4542" s="12" t="inlineStr">
        <is>
          <t>14</t>
        </is>
      </c>
      <c r="N4542" s="12" t="n">
        <v>1</v>
      </c>
      <c r="O4542" s="12" t="n">
        <v>1</v>
      </c>
      <c r="P4542" s="12" t="n"/>
      <c r="Q4542" s="12" t="n"/>
      <c r="R4542" s="12" t="n"/>
      <c r="S4542" s="12" t="inlineStr">
        <is>
          <t>Duct bank</t>
        </is>
      </c>
      <c r="T4542" s="17" t="n">
        <v>550</v>
      </c>
      <c r="U4542" s="17" t="n">
        <v>32</v>
      </c>
      <c r="V4542" s="17">
        <f>ROUNDUP((T4542+U4542+2*'Read Me'!$B$13)*(1+'Read Me'!$B$12),-1)</f>
        <v/>
      </c>
      <c r="W4542" s="17">
        <f>V4542*N4542*O4542</f>
        <v/>
      </c>
      <c r="X4542" s="12">
        <f>IF(LEFT(I4542,2)="MV",2*N4542*IF(L4542="1/C",O4542,1),0)</f>
        <v/>
      </c>
      <c r="Y4542" s="12">
        <f>IF(OR(LEFT(K4542,4)="LVAX",LEFT(K4542,6)="MV15AX",LEFT(K4542,4)="CTAX",LEFT(K4542,2)="W|"),2*N4542*O4542,0)</f>
        <v/>
      </c>
      <c r="Z4542" s="12" t="inlineStr"/>
      <c r="AA4542" s="12">
        <f>N4542*O4542</f>
        <v/>
      </c>
    </row>
    <row r="4543">
      <c r="A4543" s="12" t="inlineStr">
        <is>
          <t>I-FA-0005</t>
        </is>
      </c>
      <c r="B4543" s="12" t="inlineStr">
        <is>
          <t>I</t>
        </is>
      </c>
      <c r="C4543" s="12" t="inlineStr">
        <is>
          <t>Modular / portable power</t>
        </is>
      </c>
      <c r="D4543" s="12" t="inlineStr">
        <is>
          <t>Fire alarm / F&amp;G loop (to the local FACP / F&amp;G node)</t>
        </is>
      </c>
      <c r="E4543" s="12" t="inlineStr"/>
      <c r="F4543" s="12" t="inlineStr">
        <is>
          <t>SC-1 PCM + 15 kV GCB</t>
        </is>
      </c>
      <c r="G4543" s="12" t="inlineStr"/>
      <c r="H4543" s="12" t="inlineStr">
        <is>
          <t>CONDITIONAL: SC-1 inlet chiller / evaporative cooler</t>
        </is>
      </c>
      <c r="I4543" s="12" t="inlineStr">
        <is>
          <t>Fire alarm</t>
        </is>
      </c>
      <c r="J4543" s="12" t="inlineStr">
        <is>
          <t>Fire alarm FPLR 2/C #14 shielded, red jacket (NEC 760)</t>
        </is>
      </c>
      <c r="K4543" s="12" t="inlineStr">
        <is>
          <t>FA|2/C|14</t>
        </is>
      </c>
      <c r="L4543" s="12" t="inlineStr">
        <is>
          <t>2/C</t>
        </is>
      </c>
      <c r="M4543" s="12" t="inlineStr">
        <is>
          <t>14</t>
        </is>
      </c>
      <c r="N4543" s="12" t="n">
        <v>1</v>
      </c>
      <c r="O4543" s="12" t="n">
        <v>1</v>
      </c>
      <c r="P4543" s="12" t="n"/>
      <c r="Q4543" s="12" t="n"/>
      <c r="R4543" s="12" t="n"/>
      <c r="S4543" s="12" t="inlineStr">
        <is>
          <t>Tray</t>
        </is>
      </c>
      <c r="T4543" s="17" t="n">
        <v>0</v>
      </c>
      <c r="U4543" s="17" t="n">
        <v>114</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I-FA-0006</t>
        </is>
      </c>
      <c r="B4544" s="12" t="inlineStr">
        <is>
          <t>I</t>
        </is>
      </c>
      <c r="C4544" s="12" t="inlineStr">
        <is>
          <t>Modular / portable power</t>
        </is>
      </c>
      <c r="D4544" s="12" t="inlineStr">
        <is>
          <t>Fire alarm / F&amp;G loop (to the local FACP / F&amp;G node)</t>
        </is>
      </c>
      <c r="E4544" s="12" t="inlineStr"/>
      <c r="F4544" s="12" t="inlineStr">
        <is>
          <t>SC-2 PCM + 15 kV GCB</t>
        </is>
      </c>
      <c r="G4544" s="12" t="inlineStr"/>
      <c r="H4544" s="12" t="inlineStr">
        <is>
          <t>CONDITIONAL: SC-2 inlet chiller / evaporative cooler</t>
        </is>
      </c>
      <c r="I4544" s="12" t="inlineStr">
        <is>
          <t>Fire alarm</t>
        </is>
      </c>
      <c r="J4544" s="12" t="inlineStr">
        <is>
          <t>Fire alarm FPLR 2/C #14 shielded, red jacket (NEC 760)</t>
        </is>
      </c>
      <c r="K4544" s="12" t="inlineStr">
        <is>
          <t>FA|2/C|14</t>
        </is>
      </c>
      <c r="L4544" s="12" t="inlineStr">
        <is>
          <t>2/C</t>
        </is>
      </c>
      <c r="M4544" s="12" t="inlineStr">
        <is>
          <t>14</t>
        </is>
      </c>
      <c r="N4544" s="12" t="n">
        <v>1</v>
      </c>
      <c r="O4544" s="12" t="n">
        <v>1</v>
      </c>
      <c r="P4544" s="12" t="n"/>
      <c r="Q4544" s="12" t="n"/>
      <c r="R4544" s="12" t="n"/>
      <c r="S4544" s="12" t="inlineStr">
        <is>
          <t>Duct bank</t>
        </is>
      </c>
      <c r="T4544" s="17" t="n">
        <v>75</v>
      </c>
      <c r="U4544" s="17" t="n">
        <v>32</v>
      </c>
      <c r="V4544" s="17">
        <f>ROUNDUP((T4544+U4544+2*'Read Me'!$B$13)*(1+'Read Me'!$B$12),-1)</f>
        <v/>
      </c>
      <c r="W4544" s="17">
        <f>V4544*N4544*O4544</f>
        <v/>
      </c>
      <c r="X4544" s="12">
        <f>IF(LEFT(I4544,2)="MV",2*N4544*IF(L4544="1/C",O4544,1),0)</f>
        <v/>
      </c>
      <c r="Y4544" s="12">
        <f>IF(OR(LEFT(K4544,4)="LVAX",LEFT(K4544,6)="MV15AX",LEFT(K4544,4)="CTAX",LEFT(K4544,2)="W|"),2*N4544*O4544,0)</f>
        <v/>
      </c>
      <c r="Z4544" s="12" t="inlineStr"/>
      <c r="AA4544" s="12">
        <f>N4544*O4544</f>
        <v/>
      </c>
    </row>
    <row r="4545">
      <c r="A4545" s="12" t="inlineStr">
        <is>
          <t>I-FA-0007</t>
        </is>
      </c>
      <c r="B4545" s="12" t="inlineStr">
        <is>
          <t>I</t>
        </is>
      </c>
      <c r="C4545" s="12" t="inlineStr">
        <is>
          <t>Modular / portable power</t>
        </is>
      </c>
      <c r="D4545" s="12" t="inlineStr">
        <is>
          <t>Fire alarm / F&amp;G loop (to the local FACP / F&amp;G node)</t>
        </is>
      </c>
      <c r="E4545" s="12" t="inlineStr">
        <is>
          <t>PAD-EH</t>
        </is>
      </c>
      <c r="F4545" s="12" t="inlineStr">
        <is>
          <t>PAD-EH 13.8 kV switchgear e-house</t>
        </is>
      </c>
      <c r="G4545" s="12" t="inlineStr">
        <is>
          <t>CONT-1</t>
        </is>
      </c>
      <c r="H4545" s="12" t="inlineStr">
        <is>
          <t>CONT-1: containerized genset 13.8 kV (40 ft)</t>
        </is>
      </c>
      <c r="I4545" s="12" t="inlineStr">
        <is>
          <t>Fire alarm</t>
        </is>
      </c>
      <c r="J4545" s="12" t="inlineStr">
        <is>
          <t>Fire alarm FPLR 2/C #14 shielded, red jacket (NEC 760)</t>
        </is>
      </c>
      <c r="K4545" s="12" t="inlineStr">
        <is>
          <t>FA|2/C|14</t>
        </is>
      </c>
      <c r="L4545" s="12" t="inlineStr">
        <is>
          <t>2/C</t>
        </is>
      </c>
      <c r="M4545" s="12" t="inlineStr">
        <is>
          <t>14</t>
        </is>
      </c>
      <c r="N4545" s="12" t="n">
        <v>1</v>
      </c>
      <c r="O4545" s="12" t="n">
        <v>1</v>
      </c>
      <c r="P4545" s="12" t="n"/>
      <c r="Q4545" s="12" t="n"/>
      <c r="R4545" s="12" t="n"/>
      <c r="S4545" s="12" t="inlineStr">
        <is>
          <t>Surface</t>
        </is>
      </c>
      <c r="T4545" s="17" t="n">
        <v>298</v>
      </c>
      <c r="U4545" s="17" t="n">
        <v>37</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I-FA-0008</t>
        </is>
      </c>
      <c r="B4546" s="12" t="inlineStr">
        <is>
          <t>I</t>
        </is>
      </c>
      <c r="C4546" s="12" t="inlineStr">
        <is>
          <t>Modular / portable power</t>
        </is>
      </c>
      <c r="D4546" s="12" t="inlineStr">
        <is>
          <t>Fire alarm / F&amp;G loop (to the local FACP / F&amp;G node)</t>
        </is>
      </c>
      <c r="E4546" s="12" t="inlineStr">
        <is>
          <t>PAD-EH</t>
        </is>
      </c>
      <c r="F4546" s="12" t="inlineStr">
        <is>
          <t>PAD-EH 13.8 kV switchgear e-house</t>
        </is>
      </c>
      <c r="G4546" s="12" t="inlineStr">
        <is>
          <t>CONT-2</t>
        </is>
      </c>
      <c r="H4546" s="12" t="inlineStr">
        <is>
          <t>CONT-2: containerized genset 13.8 kV (40 ft)</t>
        </is>
      </c>
      <c r="I4546" s="12" t="inlineStr">
        <is>
          <t>Fire alarm</t>
        </is>
      </c>
      <c r="J4546" s="12" t="inlineStr">
        <is>
          <t>Fire alarm FPLR 2/C #14 shielded, red jacket (NEC 760)</t>
        </is>
      </c>
      <c r="K4546" s="12" t="inlineStr">
        <is>
          <t>FA|2/C|14</t>
        </is>
      </c>
      <c r="L4546" s="12" t="inlineStr">
        <is>
          <t>2/C</t>
        </is>
      </c>
      <c r="M4546" s="12" t="inlineStr">
        <is>
          <t>14</t>
        </is>
      </c>
      <c r="N4546" s="12" t="n">
        <v>1</v>
      </c>
      <c r="O4546" s="12" t="n">
        <v>1</v>
      </c>
      <c r="P4546" s="12" t="n"/>
      <c r="Q4546" s="12" t="n"/>
      <c r="R4546" s="12" t="n"/>
      <c r="S4546" s="12" t="inlineStr">
        <is>
          <t>Surface</t>
        </is>
      </c>
      <c r="T4546" s="17" t="n">
        <v>267</v>
      </c>
      <c r="U4546" s="17" t="n">
        <v>37</v>
      </c>
      <c r="V4546" s="17">
        <f>ROUNDUP((T4546+U4546+2*'Read Me'!$B$13)*(1+'Read Me'!$B$12),-1)</f>
        <v/>
      </c>
      <c r="W4546" s="17">
        <f>V4546*N4546*O4546</f>
        <v/>
      </c>
      <c r="X4546" s="12">
        <f>IF(LEFT(I4546,2)="MV",2*N4546*IF(L4546="1/C",O4546,1),0)</f>
        <v/>
      </c>
      <c r="Y4546" s="12">
        <f>IF(OR(LEFT(K4546,4)="LVAX",LEFT(K4546,6)="MV15AX",LEFT(K4546,4)="CTAX",LEFT(K4546,2)="W|"),2*N4546*O4546,0)</f>
        <v/>
      </c>
      <c r="Z4546" s="12" t="inlineStr"/>
      <c r="AA4546" s="12">
        <f>N4546*O4546</f>
        <v/>
      </c>
    </row>
    <row r="4547">
      <c r="A4547" s="12" t="inlineStr">
        <is>
          <t>I-FA-0009</t>
        </is>
      </c>
      <c r="B4547" s="12" t="inlineStr">
        <is>
          <t>I</t>
        </is>
      </c>
      <c r="C4547" s="12" t="inlineStr">
        <is>
          <t>Modular / portable power</t>
        </is>
      </c>
      <c r="D4547" s="12" t="inlineStr">
        <is>
          <t>Fire alarm / F&amp;G loop (to the local FACP / F&amp;G node)</t>
        </is>
      </c>
      <c r="E4547" s="12" t="inlineStr">
        <is>
          <t>PAD-EH</t>
        </is>
      </c>
      <c r="F4547" s="12" t="inlineStr">
        <is>
          <t>PAD-EH 13.8 kV switchgear e-house</t>
        </is>
      </c>
      <c r="G4547" s="12" t="inlineStr">
        <is>
          <t>CONT-3</t>
        </is>
      </c>
      <c r="H4547" s="12" t="inlineStr">
        <is>
          <t>CONT-3: containerized gas genset 13.8 kV (40 ft)</t>
        </is>
      </c>
      <c r="I4547" s="12" t="inlineStr">
        <is>
          <t>Fire alarm</t>
        </is>
      </c>
      <c r="J4547" s="12" t="inlineStr">
        <is>
          <t>Fire alarm FPLR 2/C #14 shielded, red jacket (NEC 760)</t>
        </is>
      </c>
      <c r="K4547" s="12" t="inlineStr">
        <is>
          <t>FA|2/C|14</t>
        </is>
      </c>
      <c r="L4547" s="12" t="inlineStr">
        <is>
          <t>2/C</t>
        </is>
      </c>
      <c r="M4547" s="12" t="inlineStr">
        <is>
          <t>14</t>
        </is>
      </c>
      <c r="N4547" s="12" t="n">
        <v>1</v>
      </c>
      <c r="O4547" s="12" t="n">
        <v>1</v>
      </c>
      <c r="P4547" s="12" t="n"/>
      <c r="Q4547" s="12" t="n"/>
      <c r="R4547" s="12" t="n"/>
      <c r="S4547" s="12" t="inlineStr">
        <is>
          <t>Surface</t>
        </is>
      </c>
      <c r="T4547" s="17" t="n">
        <v>191</v>
      </c>
      <c r="U4547" s="17" t="n">
        <v>32</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I-FA-0010</t>
        </is>
      </c>
      <c r="B4548" s="12" t="inlineStr">
        <is>
          <t>I</t>
        </is>
      </c>
      <c r="C4548" s="12" t="inlineStr">
        <is>
          <t>Modular / portable power</t>
        </is>
      </c>
      <c r="D4548" s="12" t="inlineStr">
        <is>
          <t>Fire alarm / F&amp;G loop (to the local FACP / F&amp;G node)</t>
        </is>
      </c>
      <c r="E4548" s="12" t="inlineStr">
        <is>
          <t>PAD-EH</t>
        </is>
      </c>
      <c r="F4548" s="12" t="inlineStr">
        <is>
          <t>PAD-EH 13.8 kV switchgear e-house</t>
        </is>
      </c>
      <c r="G4548" s="12" t="inlineStr">
        <is>
          <t>CONT-4</t>
        </is>
      </c>
      <c r="H4548" s="12" t="inlineStr">
        <is>
          <t>CONT-4: containerized gas genset 13.8 kV (40 ft)</t>
        </is>
      </c>
      <c r="I4548" s="12" t="inlineStr">
        <is>
          <t>Fire alarm</t>
        </is>
      </c>
      <c r="J4548" s="12" t="inlineStr">
        <is>
          <t>Fire alarm FPLR 2/C #14 shielded, red jacket (NEC 760)</t>
        </is>
      </c>
      <c r="K4548" s="12" t="inlineStr">
        <is>
          <t>FA|2/C|14</t>
        </is>
      </c>
      <c r="L4548" s="12" t="inlineStr">
        <is>
          <t>2/C</t>
        </is>
      </c>
      <c r="M4548" s="12" t="inlineStr">
        <is>
          <t>14</t>
        </is>
      </c>
      <c r="N4548" s="12" t="n">
        <v>1</v>
      </c>
      <c r="O4548" s="12" t="n">
        <v>1</v>
      </c>
      <c r="P4548" s="12" t="n"/>
      <c r="Q4548" s="12" t="n"/>
      <c r="R4548" s="12" t="n"/>
      <c r="S4548" s="12" t="inlineStr">
        <is>
          <t>Duct bank</t>
        </is>
      </c>
      <c r="T4548" s="17" t="n">
        <v>62</v>
      </c>
      <c r="U4548" s="17" t="n">
        <v>81</v>
      </c>
      <c r="V4548" s="17">
        <f>ROUNDUP((T4548+U4548+2*'Read Me'!$B$13)*(1+'Read Me'!$B$12),-1)</f>
        <v/>
      </c>
      <c r="W4548" s="17">
        <f>V4548*N4548*O4548</f>
        <v/>
      </c>
      <c r="X4548" s="12">
        <f>IF(LEFT(I4548,2)="MV",2*N4548*IF(L4548="1/C",O4548,1),0)</f>
        <v/>
      </c>
      <c r="Y4548" s="12">
        <f>IF(OR(LEFT(K4548,4)="LVAX",LEFT(K4548,6)="MV15AX",LEFT(K4548,4)="CTAX",LEFT(K4548,2)="W|"),2*N4548*O4548,0)</f>
        <v/>
      </c>
      <c r="Z4548" s="12" t="inlineStr"/>
      <c r="AA4548" s="12">
        <f>N4548*O4548</f>
        <v/>
      </c>
    </row>
    <row r="4549">
      <c r="A4549" s="12" t="inlineStr">
        <is>
          <t>I-FA-0011</t>
        </is>
      </c>
      <c r="B4549" s="12" t="inlineStr">
        <is>
          <t>I</t>
        </is>
      </c>
      <c r="C4549" s="12" t="inlineStr">
        <is>
          <t>Modular / portable power</t>
        </is>
      </c>
      <c r="D4549" s="12" t="inlineStr">
        <is>
          <t>Fire alarm / F&amp;G loop (to the local FACP / F&amp;G node)</t>
        </is>
      </c>
      <c r="E4549" s="12" t="inlineStr">
        <is>
          <t>PAD-EH</t>
        </is>
      </c>
      <c r="F4549" s="12" t="inlineStr">
        <is>
          <t>PAD-EH 13.8 kV switchgear e-house</t>
        </is>
      </c>
      <c r="G4549" s="12" t="inlineStr">
        <is>
          <t>CONT-5</t>
        </is>
      </c>
      <c r="H4549" s="12" t="inlineStr">
        <is>
          <t>CONT-5: containerized gas genset 13.8 kV (40 ft)</t>
        </is>
      </c>
      <c r="I4549" s="12" t="inlineStr">
        <is>
          <t>Fire alarm</t>
        </is>
      </c>
      <c r="J4549" s="12" t="inlineStr">
        <is>
          <t>Fire alarm FPLR 2/C #14 shielded, red jacket (NEC 760)</t>
        </is>
      </c>
      <c r="K4549" s="12" t="inlineStr">
        <is>
          <t>FA|2/C|14</t>
        </is>
      </c>
      <c r="L4549" s="12" t="inlineStr">
        <is>
          <t>2/C</t>
        </is>
      </c>
      <c r="M4549" s="12" t="inlineStr">
        <is>
          <t>14</t>
        </is>
      </c>
      <c r="N4549" s="12" t="n">
        <v>1</v>
      </c>
      <c r="O4549" s="12" t="n">
        <v>1</v>
      </c>
      <c r="P4549" s="12" t="n"/>
      <c r="Q4549" s="12" t="n"/>
      <c r="R4549" s="12" t="n"/>
      <c r="S4549" s="12" t="inlineStr">
        <is>
          <t>Duct bank</t>
        </is>
      </c>
      <c r="T4549" s="17" t="n">
        <v>25</v>
      </c>
      <c r="U4549" s="17" t="n">
        <v>58</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I-FA-0012</t>
        </is>
      </c>
      <c r="B4550" s="12" t="inlineStr">
        <is>
          <t>I</t>
        </is>
      </c>
      <c r="C4550" s="12" t="inlineStr">
        <is>
          <t>Modular / portable power</t>
        </is>
      </c>
      <c r="D4550" s="12" t="inlineStr">
        <is>
          <t>Fire alarm / F&amp;G loop (to the local FACP / F&amp;G node)</t>
        </is>
      </c>
      <c r="E4550" s="12" t="inlineStr">
        <is>
          <t>PAD-EH</t>
        </is>
      </c>
      <c r="F4550" s="12" t="inlineStr">
        <is>
          <t>PAD-EH 13.8 kV switchgear e-house</t>
        </is>
      </c>
      <c r="G4550" s="12" t="inlineStr">
        <is>
          <t>CONT-6</t>
        </is>
      </c>
      <c r="H4550" s="12" t="inlineStr">
        <is>
          <t>CONT-6: containerized gas genset 13.8 kV (40 ft)</t>
        </is>
      </c>
      <c r="I4550" s="12" t="inlineStr">
        <is>
          <t>Fire alarm</t>
        </is>
      </c>
      <c r="J4550" s="12" t="inlineStr">
        <is>
          <t>Fire alarm FPLR 2/C #14 shielded, red jacket (NEC 760)</t>
        </is>
      </c>
      <c r="K4550" s="12" t="inlineStr">
        <is>
          <t>FA|2/C|14</t>
        </is>
      </c>
      <c r="L4550" s="12" t="inlineStr">
        <is>
          <t>2/C</t>
        </is>
      </c>
      <c r="M4550" s="12" t="inlineStr">
        <is>
          <t>14</t>
        </is>
      </c>
      <c r="N4550" s="12" t="n">
        <v>1</v>
      </c>
      <c r="O4550" s="12" t="n">
        <v>1</v>
      </c>
      <c r="P4550" s="12" t="n"/>
      <c r="Q4550" s="12" t="n"/>
      <c r="R4550" s="12" t="n"/>
      <c r="S4550" s="12" t="inlineStr">
        <is>
          <t>Surface</t>
        </is>
      </c>
      <c r="T4550" s="17" t="n">
        <v>228</v>
      </c>
      <c r="U4550" s="17" t="n">
        <v>46</v>
      </c>
      <c r="V4550" s="17">
        <f>ROUNDUP((T4550+U4550+2*'Read Me'!$B$13)*(1+'Read Me'!$B$12),-1)</f>
        <v/>
      </c>
      <c r="W4550" s="17">
        <f>V4550*N4550*O4550</f>
        <v/>
      </c>
      <c r="X4550" s="12">
        <f>IF(LEFT(I4550,2)="MV",2*N4550*IF(L4550="1/C",O4550,1),0)</f>
        <v/>
      </c>
      <c r="Y4550" s="12">
        <f>IF(OR(LEFT(K4550,4)="LVAX",LEFT(K4550,6)="MV15AX",LEFT(K4550,4)="CTAX",LEFT(K4550,2)="W|"),2*N4550*O4550,0)</f>
        <v/>
      </c>
      <c r="Z4550" s="12" t="inlineStr"/>
      <c r="AA4550" s="12">
        <f>N4550*O4550</f>
        <v/>
      </c>
    </row>
    <row r="4551">
      <c r="A4551" s="12" t="inlineStr">
        <is>
          <t>I-FA-0013</t>
        </is>
      </c>
      <c r="B4551" s="12" t="inlineStr">
        <is>
          <t>I</t>
        </is>
      </c>
      <c r="C4551" s="12" t="inlineStr">
        <is>
          <t>Modular / portable power</t>
        </is>
      </c>
      <c r="D4551" s="12" t="inlineStr">
        <is>
          <t>Fire alarm / F&amp;G loop (to the local FACP / F&amp;G node)</t>
        </is>
      </c>
      <c r="E4551" s="12" t="inlineStr">
        <is>
          <t>PAD-EH</t>
        </is>
      </c>
      <c r="F4551" s="12" t="inlineStr">
        <is>
          <t>PAD-EH 13.8 kV switchgear e-house</t>
        </is>
      </c>
      <c r="G4551" s="12" t="inlineStr">
        <is>
          <t>CONT-7</t>
        </is>
      </c>
      <c r="H4551" s="12" t="inlineStr">
        <is>
          <t>CONT-7: containerized gas genset 13.8 kV (40 ft)</t>
        </is>
      </c>
      <c r="I4551" s="12" t="inlineStr">
        <is>
          <t>Fire alarm</t>
        </is>
      </c>
      <c r="J4551" s="12" t="inlineStr">
        <is>
          <t>Fire alarm FPLR 2/C #14 shielded, red jacket (NEC 760)</t>
        </is>
      </c>
      <c r="K4551" s="12" t="inlineStr">
        <is>
          <t>FA|2/C|14</t>
        </is>
      </c>
      <c r="L4551" s="12" t="inlineStr">
        <is>
          <t>2/C</t>
        </is>
      </c>
      <c r="M4551" s="12" t="inlineStr">
        <is>
          <t>14</t>
        </is>
      </c>
      <c r="N4551" s="12" t="n">
        <v>1</v>
      </c>
      <c r="O4551" s="12" t="n">
        <v>1</v>
      </c>
      <c r="P4551" s="12" t="n"/>
      <c r="Q4551" s="12" t="n"/>
      <c r="R4551" s="12" t="n"/>
      <c r="S4551" s="12" t="inlineStr">
        <is>
          <t>Surface</t>
        </is>
      </c>
      <c r="T4551" s="17" t="n">
        <v>228</v>
      </c>
      <c r="U4551" s="17" t="n">
        <v>46</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I-FA-0014</t>
        </is>
      </c>
      <c r="B4552" s="12" t="inlineStr">
        <is>
          <t>I</t>
        </is>
      </c>
      <c r="C4552" s="12" t="inlineStr">
        <is>
          <t>Modular / portable power</t>
        </is>
      </c>
      <c r="D4552" s="12" t="inlineStr">
        <is>
          <t>Fire alarm / F&amp;G loop (to the local FACP / F&amp;G node)</t>
        </is>
      </c>
      <c r="E4552" s="12" t="inlineStr">
        <is>
          <t>PAD-EH</t>
        </is>
      </c>
      <c r="F4552" s="12" t="inlineStr">
        <is>
          <t>PAD-EH 13.8 kV switchgear e-house</t>
        </is>
      </c>
      <c r="G4552" s="12" t="inlineStr">
        <is>
          <t>CONT-8</t>
        </is>
      </c>
      <c r="H4552" s="12" t="inlineStr">
        <is>
          <t>CONT-8: containerized gas genset 13.8 kV (40 ft)</t>
        </is>
      </c>
      <c r="I4552" s="12" t="inlineStr">
        <is>
          <t>Fire alarm</t>
        </is>
      </c>
      <c r="J4552" s="12" t="inlineStr">
        <is>
          <t>Fire alarm FPLR 2/C #14 shielded, red jacket (NEC 760)</t>
        </is>
      </c>
      <c r="K4552" s="12" t="inlineStr">
        <is>
          <t>FA|2/C|14</t>
        </is>
      </c>
      <c r="L4552" s="12" t="inlineStr">
        <is>
          <t>2/C</t>
        </is>
      </c>
      <c r="M4552" s="12" t="inlineStr">
        <is>
          <t>14</t>
        </is>
      </c>
      <c r="N4552" s="12" t="n">
        <v>1</v>
      </c>
      <c r="O4552" s="12" t="n">
        <v>1</v>
      </c>
      <c r="P4552" s="12" t="n"/>
      <c r="Q4552" s="12" t="n"/>
      <c r="R4552" s="12" t="n"/>
      <c r="S4552" s="12" t="inlineStr">
        <is>
          <t>Surface</t>
        </is>
      </c>
      <c r="T4552" s="17" t="n">
        <v>16</v>
      </c>
      <c r="U4552" s="17" t="n">
        <v>117</v>
      </c>
      <c r="V4552" s="17">
        <f>ROUNDUP((T4552+U4552+2*'Read Me'!$B$13)*(1+'Read Me'!$B$12),-1)</f>
        <v/>
      </c>
      <c r="W4552" s="17">
        <f>V4552*N4552*O4552</f>
        <v/>
      </c>
      <c r="X4552" s="12">
        <f>IF(LEFT(I4552,2)="MV",2*N4552*IF(L4552="1/C",O4552,1),0)</f>
        <v/>
      </c>
      <c r="Y4552" s="12">
        <f>IF(OR(LEFT(K4552,4)="LVAX",LEFT(K4552,6)="MV15AX",LEFT(K4552,4)="CTAX",LEFT(K4552,2)="W|"),2*N4552*O4552,0)</f>
        <v/>
      </c>
      <c r="Z4552" s="12" t="inlineStr"/>
      <c r="AA4552" s="12">
        <f>N4552*O4552</f>
        <v/>
      </c>
    </row>
    <row r="4553">
      <c r="A4553" s="12" t="inlineStr">
        <is>
          <t>I-FA-0015</t>
        </is>
      </c>
      <c r="B4553" s="12" t="inlineStr">
        <is>
          <t>I</t>
        </is>
      </c>
      <c r="C4553" s="12" t="inlineStr">
        <is>
          <t>Modular / portable power</t>
        </is>
      </c>
      <c r="D4553" s="12" t="inlineStr">
        <is>
          <t>Fire alarm / F&amp;G loop (to the local FACP / F&amp;G node)</t>
        </is>
      </c>
      <c r="E4553" s="12" t="inlineStr">
        <is>
          <t>PAD-EH</t>
        </is>
      </c>
      <c r="F4553" s="12" t="inlineStr">
        <is>
          <t>PAD-EH 13.8 kV switchgear e-house</t>
        </is>
      </c>
      <c r="G4553" s="12" t="inlineStr">
        <is>
          <t>FC-10</t>
        </is>
      </c>
      <c r="H4553" s="12" t="inlineStr">
        <is>
          <t>FC-10: SOFC module (Bloom ES5 class, 200-300 kW)</t>
        </is>
      </c>
      <c r="I4553" s="12" t="inlineStr">
        <is>
          <t>Fire alarm</t>
        </is>
      </c>
      <c r="J4553" s="12" t="inlineStr">
        <is>
          <t>Fire alarm FPLR 2/C #14 shielded, red jacket (NEC 760)</t>
        </is>
      </c>
      <c r="K4553" s="12" t="inlineStr">
        <is>
          <t>FA|2/C|14</t>
        </is>
      </c>
      <c r="L4553" s="12" t="inlineStr">
        <is>
          <t>2/C</t>
        </is>
      </c>
      <c r="M4553" s="12" t="inlineStr">
        <is>
          <t>14</t>
        </is>
      </c>
      <c r="N4553" s="12" t="n">
        <v>1</v>
      </c>
      <c r="O4553" s="12" t="n">
        <v>1</v>
      </c>
      <c r="P4553" s="12" t="n"/>
      <c r="Q4553" s="12" t="n"/>
      <c r="R4553" s="12" t="n"/>
      <c r="S4553" s="12" t="inlineStr">
        <is>
          <t>Duct bank</t>
        </is>
      </c>
      <c r="T4553" s="17" t="n">
        <v>286</v>
      </c>
      <c r="U4553" s="17" t="n">
        <v>50</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I-FA-0016</t>
        </is>
      </c>
      <c r="B4554" s="12" t="inlineStr">
        <is>
          <t>I</t>
        </is>
      </c>
      <c r="C4554" s="12" t="inlineStr">
        <is>
          <t>Modular / portable power</t>
        </is>
      </c>
      <c r="D4554" s="12" t="inlineStr">
        <is>
          <t>Fire alarm / F&amp;G loop (to the local FACP / F&amp;G node)</t>
        </is>
      </c>
      <c r="E4554" s="12" t="inlineStr">
        <is>
          <t>PAD-EH</t>
        </is>
      </c>
      <c r="F4554" s="12" t="inlineStr">
        <is>
          <t>PAD-EH 13.8 kV switchgear e-house</t>
        </is>
      </c>
      <c r="G4554" s="12" t="inlineStr">
        <is>
          <t>FC-11</t>
        </is>
      </c>
      <c r="H4554" s="12" t="inlineStr">
        <is>
          <t>FC-11: SOFC module (Bloom ES5 class, 200-300 kW)</t>
        </is>
      </c>
      <c r="I4554" s="12" t="inlineStr">
        <is>
          <t>Fire alarm</t>
        </is>
      </c>
      <c r="J4554" s="12" t="inlineStr">
        <is>
          <t>Fire alarm FPLR 2/C #14 shielded, red jacket (NEC 760)</t>
        </is>
      </c>
      <c r="K4554" s="12" t="inlineStr">
        <is>
          <t>FA|2/C|14</t>
        </is>
      </c>
      <c r="L4554" s="12" t="inlineStr">
        <is>
          <t>2/C</t>
        </is>
      </c>
      <c r="M4554" s="12" t="inlineStr">
        <is>
          <t>14</t>
        </is>
      </c>
      <c r="N4554" s="12" t="n">
        <v>1</v>
      </c>
      <c r="O4554" s="12" t="n">
        <v>1</v>
      </c>
      <c r="P4554" s="12" t="n"/>
      <c r="Q4554" s="12" t="n"/>
      <c r="R4554" s="12" t="n"/>
      <c r="S4554" s="12" t="inlineStr">
        <is>
          <t>Duct bank</t>
        </is>
      </c>
      <c r="T4554" s="17" t="n">
        <v>272</v>
      </c>
      <c r="U4554" s="17" t="n">
        <v>50</v>
      </c>
      <c r="V4554" s="17">
        <f>ROUNDUP((T4554+U4554+2*'Read Me'!$B$13)*(1+'Read Me'!$B$12),-1)</f>
        <v/>
      </c>
      <c r="W4554" s="17">
        <f>V4554*N4554*O4554</f>
        <v/>
      </c>
      <c r="X4554" s="12">
        <f>IF(LEFT(I4554,2)="MV",2*N4554*IF(L4554="1/C",O4554,1),0)</f>
        <v/>
      </c>
      <c r="Y4554" s="12">
        <f>IF(OR(LEFT(K4554,4)="LVAX",LEFT(K4554,6)="MV15AX",LEFT(K4554,4)="CTAX",LEFT(K4554,2)="W|"),2*N4554*O4554,0)</f>
        <v/>
      </c>
      <c r="Z4554" s="12" t="inlineStr"/>
      <c r="AA4554" s="12">
        <f>N4554*O4554</f>
        <v/>
      </c>
    </row>
    <row r="4555">
      <c r="A4555" s="12" t="inlineStr">
        <is>
          <t>I-FA-0017</t>
        </is>
      </c>
      <c r="B4555" s="12" t="inlineStr">
        <is>
          <t>I</t>
        </is>
      </c>
      <c r="C4555" s="12" t="inlineStr">
        <is>
          <t>Modular / portable power</t>
        </is>
      </c>
      <c r="D4555" s="12" t="inlineStr">
        <is>
          <t>Fire alarm / F&amp;G loop (to the local FACP / F&amp;G node)</t>
        </is>
      </c>
      <c r="E4555" s="12" t="inlineStr">
        <is>
          <t>PAD-EH</t>
        </is>
      </c>
      <c r="F4555" s="12" t="inlineStr">
        <is>
          <t>PAD-EH 13.8 kV switchgear e-house</t>
        </is>
      </c>
      <c r="G4555" s="12" t="inlineStr">
        <is>
          <t>FC-12</t>
        </is>
      </c>
      <c r="H4555" s="12" t="inlineStr">
        <is>
          <t>FC-12: SOFC module (Bloom ES5 class, 200-300 kW)</t>
        </is>
      </c>
      <c r="I4555" s="12" t="inlineStr">
        <is>
          <t>Fire alarm</t>
        </is>
      </c>
      <c r="J4555" s="12" t="inlineStr">
        <is>
          <t>Fire alarm FPLR 2/C #14 shielded, red jacket (NEC 760)</t>
        </is>
      </c>
      <c r="K4555" s="12" t="inlineStr">
        <is>
          <t>FA|2/C|14</t>
        </is>
      </c>
      <c r="L4555" s="12" t="inlineStr">
        <is>
          <t>2/C</t>
        </is>
      </c>
      <c r="M4555" s="12" t="inlineStr">
        <is>
          <t>14</t>
        </is>
      </c>
      <c r="N4555" s="12" t="n">
        <v>1</v>
      </c>
      <c r="O4555" s="12" t="n">
        <v>1</v>
      </c>
      <c r="P4555" s="12" t="n"/>
      <c r="Q4555" s="12" t="n"/>
      <c r="R4555" s="12" t="n"/>
      <c r="S4555" s="12" t="inlineStr">
        <is>
          <t>Duct bank</t>
        </is>
      </c>
      <c r="T4555" s="17" t="n">
        <v>272</v>
      </c>
      <c r="U4555" s="17" t="n">
        <v>41</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I-FA-0018</t>
        </is>
      </c>
      <c r="B4556" s="12" t="inlineStr">
        <is>
          <t>I</t>
        </is>
      </c>
      <c r="C4556" s="12" t="inlineStr">
        <is>
          <t>Modular / portable power</t>
        </is>
      </c>
      <c r="D4556" s="12" t="inlineStr">
        <is>
          <t>Fire alarm / F&amp;G loop (to the local FACP / F&amp;G node)</t>
        </is>
      </c>
      <c r="E4556" s="12" t="inlineStr">
        <is>
          <t>PAD-EH</t>
        </is>
      </c>
      <c r="F4556" s="12" t="inlineStr">
        <is>
          <t>PAD-EH 13.8 kV switchgear e-house</t>
        </is>
      </c>
      <c r="G4556" s="12" t="inlineStr"/>
      <c r="H4556" s="12" t="inlineStr">
        <is>
          <t>FC-5..12 inverter / AC cabinet / desulfurizer</t>
        </is>
      </c>
      <c r="I4556" s="12" t="inlineStr">
        <is>
          <t>Fire alarm</t>
        </is>
      </c>
      <c r="J4556" s="12" t="inlineStr">
        <is>
          <t>Fire alarm FPLR 2/C #14 shielded, red jacket (NEC 760)</t>
        </is>
      </c>
      <c r="K4556" s="12" t="inlineStr">
        <is>
          <t>FA|2/C|14</t>
        </is>
      </c>
      <c r="L4556" s="12" t="inlineStr">
        <is>
          <t>2/C</t>
        </is>
      </c>
      <c r="M4556" s="12" t="inlineStr">
        <is>
          <t>14</t>
        </is>
      </c>
      <c r="N4556" s="12" t="n">
        <v>1</v>
      </c>
      <c r="O4556" s="12" t="n">
        <v>1</v>
      </c>
      <c r="P4556" s="12" t="n"/>
      <c r="Q4556" s="12" t="n"/>
      <c r="R4556" s="12" t="n"/>
      <c r="S4556" s="12" t="inlineStr">
        <is>
          <t>Surface</t>
        </is>
      </c>
      <c r="T4556" s="17" t="n">
        <v>202</v>
      </c>
      <c r="U4556" s="17" t="n">
        <v>37</v>
      </c>
      <c r="V4556" s="17">
        <f>ROUNDUP((T4556+U4556+2*'Read Me'!$B$13)*(1+'Read Me'!$B$12),-1)</f>
        <v/>
      </c>
      <c r="W4556" s="17">
        <f>V4556*N4556*O4556</f>
        <v/>
      </c>
      <c r="X4556" s="12">
        <f>IF(LEFT(I4556,2)="MV",2*N4556*IF(L4556="1/C",O4556,1),0)</f>
        <v/>
      </c>
      <c r="Y4556" s="12">
        <f>IF(OR(LEFT(K4556,4)="LVAX",LEFT(K4556,6)="MV15AX",LEFT(K4556,4)="CTAX",LEFT(K4556,2)="W|"),2*N4556*O4556,0)</f>
        <v/>
      </c>
      <c r="Z4556" s="12" t="inlineStr"/>
      <c r="AA4556" s="12">
        <f>N4556*O4556</f>
        <v/>
      </c>
    </row>
    <row r="4557">
      <c r="A4557" s="12" t="inlineStr">
        <is>
          <t>I-FA-0019</t>
        </is>
      </c>
      <c r="B4557" s="12" t="inlineStr">
        <is>
          <t>I</t>
        </is>
      </c>
      <c r="C4557" s="12" t="inlineStr">
        <is>
          <t>Modular / portable power</t>
        </is>
      </c>
      <c r="D4557" s="12" t="inlineStr">
        <is>
          <t>Fire alarm / F&amp;G loop (to the local FACP / F&amp;G node)</t>
        </is>
      </c>
      <c r="E4557" s="12" t="inlineStr">
        <is>
          <t>PAD-EH</t>
        </is>
      </c>
      <c r="F4557" s="12" t="inlineStr">
        <is>
          <t>PAD-EH 13.8 kV switchgear e-house</t>
        </is>
      </c>
      <c r="G4557" s="12" t="inlineStr">
        <is>
          <t>FC-5</t>
        </is>
      </c>
      <c r="H4557" s="12" t="inlineStr">
        <is>
          <t>FC-5: SOFC module (Bloom ES5 class, 200-300 kW)</t>
        </is>
      </c>
      <c r="I4557" s="12" t="inlineStr">
        <is>
          <t>Fire alarm</t>
        </is>
      </c>
      <c r="J4557" s="12" t="inlineStr">
        <is>
          <t>Fire alarm FPLR 2/C #14 shielded, red jacket (NEC 760)</t>
        </is>
      </c>
      <c r="K4557" s="12" t="inlineStr">
        <is>
          <t>FA|2/C|14</t>
        </is>
      </c>
      <c r="L4557" s="12" t="inlineStr">
        <is>
          <t>2/C</t>
        </is>
      </c>
      <c r="M4557" s="12" t="inlineStr">
        <is>
          <t>14</t>
        </is>
      </c>
      <c r="N4557" s="12" t="n">
        <v>1</v>
      </c>
      <c r="O4557" s="12" t="n">
        <v>1</v>
      </c>
      <c r="P4557" s="12" t="n"/>
      <c r="Q4557" s="12" t="n"/>
      <c r="R4557" s="12" t="n"/>
      <c r="S4557" s="12" t="inlineStr">
        <is>
          <t>Duct bank</t>
        </is>
      </c>
      <c r="T4557" s="17" t="n">
        <v>356</v>
      </c>
      <c r="U4557" s="17" t="n">
        <v>50</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I-FA-0020</t>
        </is>
      </c>
      <c r="B4558" s="12" t="inlineStr">
        <is>
          <t>I</t>
        </is>
      </c>
      <c r="C4558" s="12" t="inlineStr">
        <is>
          <t>Modular / portable power</t>
        </is>
      </c>
      <c r="D4558" s="12" t="inlineStr">
        <is>
          <t>Fire alarm / F&amp;G loop (to the local FACP / F&amp;G node)</t>
        </is>
      </c>
      <c r="E4558" s="12" t="inlineStr">
        <is>
          <t>PAD-EH</t>
        </is>
      </c>
      <c r="F4558" s="12" t="inlineStr">
        <is>
          <t>PAD-EH 13.8 kV switchgear e-house</t>
        </is>
      </c>
      <c r="G4558" s="12" t="inlineStr">
        <is>
          <t>FC-6</t>
        </is>
      </c>
      <c r="H4558" s="12" t="inlineStr">
        <is>
          <t>FC-6: SOFC module (Bloom ES5 class, 200-300 kW)</t>
        </is>
      </c>
      <c r="I4558" s="12" t="inlineStr">
        <is>
          <t>Fire alarm</t>
        </is>
      </c>
      <c r="J4558" s="12" t="inlineStr">
        <is>
          <t>Fire alarm FPLR 2/C #14 shielded, red jacket (NEC 760)</t>
        </is>
      </c>
      <c r="K4558" s="12" t="inlineStr">
        <is>
          <t>FA|2/C|14</t>
        </is>
      </c>
      <c r="L4558" s="12" t="inlineStr">
        <is>
          <t>2/C</t>
        </is>
      </c>
      <c r="M4558" s="12" t="inlineStr">
        <is>
          <t>14</t>
        </is>
      </c>
      <c r="N4558" s="12" t="n">
        <v>1</v>
      </c>
      <c r="O4558" s="12" t="n">
        <v>1</v>
      </c>
      <c r="P4558" s="12" t="n"/>
      <c r="Q4558" s="12" t="n"/>
      <c r="R4558" s="12" t="n"/>
      <c r="S4558" s="12" t="inlineStr">
        <is>
          <t>Duct bank</t>
        </is>
      </c>
      <c r="T4558" s="17" t="n">
        <v>342</v>
      </c>
      <c r="U4558" s="17" t="n">
        <v>50</v>
      </c>
      <c r="V4558" s="17">
        <f>ROUNDUP((T4558+U4558+2*'Read Me'!$B$13)*(1+'Read Me'!$B$12),-1)</f>
        <v/>
      </c>
      <c r="W4558" s="17">
        <f>V4558*N4558*O4558</f>
        <v/>
      </c>
      <c r="X4558" s="12">
        <f>IF(LEFT(I4558,2)="MV",2*N4558*IF(L4558="1/C",O4558,1),0)</f>
        <v/>
      </c>
      <c r="Y4558" s="12">
        <f>IF(OR(LEFT(K4558,4)="LVAX",LEFT(K4558,6)="MV15AX",LEFT(K4558,4)="CTAX",LEFT(K4558,2)="W|"),2*N4558*O4558,0)</f>
        <v/>
      </c>
      <c r="Z4558" s="12" t="inlineStr"/>
      <c r="AA4558" s="12">
        <f>N4558*O4558</f>
        <v/>
      </c>
    </row>
    <row r="4559">
      <c r="A4559" s="12" t="inlineStr">
        <is>
          <t>I-FA-0021</t>
        </is>
      </c>
      <c r="B4559" s="12" t="inlineStr">
        <is>
          <t>I</t>
        </is>
      </c>
      <c r="C4559" s="12" t="inlineStr">
        <is>
          <t>Modular / portable power</t>
        </is>
      </c>
      <c r="D4559" s="12" t="inlineStr">
        <is>
          <t>Fire alarm / F&amp;G loop (to the local FACP / F&amp;G node)</t>
        </is>
      </c>
      <c r="E4559" s="12" t="inlineStr">
        <is>
          <t>PAD-EH</t>
        </is>
      </c>
      <c r="F4559" s="12" t="inlineStr">
        <is>
          <t>PAD-EH 13.8 kV switchgear e-house</t>
        </is>
      </c>
      <c r="G4559" s="12" t="inlineStr">
        <is>
          <t>FC-7</t>
        </is>
      </c>
      <c r="H4559" s="12" t="inlineStr">
        <is>
          <t>FC-7: SOFC module (Bloom ES5 class, 200-300 kW)</t>
        </is>
      </c>
      <c r="I4559" s="12" t="inlineStr">
        <is>
          <t>Fire alarm</t>
        </is>
      </c>
      <c r="J4559" s="12" t="inlineStr">
        <is>
          <t>Fire alarm FPLR 2/C #14 shielded, red jacket (NEC 760)</t>
        </is>
      </c>
      <c r="K4559" s="12" t="inlineStr">
        <is>
          <t>FA|2/C|14</t>
        </is>
      </c>
      <c r="L4559" s="12" t="inlineStr">
        <is>
          <t>2/C</t>
        </is>
      </c>
      <c r="M4559" s="12" t="inlineStr">
        <is>
          <t>14</t>
        </is>
      </c>
      <c r="N4559" s="12" t="n">
        <v>1</v>
      </c>
      <c r="O4559" s="12" t="n">
        <v>1</v>
      </c>
      <c r="P4559" s="12" t="n"/>
      <c r="Q4559" s="12" t="n"/>
      <c r="R4559" s="12" t="n"/>
      <c r="S4559" s="12" t="inlineStr">
        <is>
          <t>Duct bank</t>
        </is>
      </c>
      <c r="T4559" s="17" t="n">
        <v>328</v>
      </c>
      <c r="U4559" s="17" t="n">
        <v>50</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I-FA-0022</t>
        </is>
      </c>
      <c r="B4560" s="12" t="inlineStr">
        <is>
          <t>I</t>
        </is>
      </c>
      <c r="C4560" s="12" t="inlineStr">
        <is>
          <t>Modular / portable power</t>
        </is>
      </c>
      <c r="D4560" s="12" t="inlineStr">
        <is>
          <t>Fire alarm / F&amp;G loop (to the local FACP / F&amp;G node)</t>
        </is>
      </c>
      <c r="E4560" s="12" t="inlineStr">
        <is>
          <t>PAD-EH</t>
        </is>
      </c>
      <c r="F4560" s="12" t="inlineStr">
        <is>
          <t>PAD-EH 13.8 kV switchgear e-house</t>
        </is>
      </c>
      <c r="G4560" s="12" t="inlineStr">
        <is>
          <t>FC-8</t>
        </is>
      </c>
      <c r="H4560" s="12" t="inlineStr">
        <is>
          <t>FC-8: SOFC module (Bloom ES5 class, 200-300 kW)</t>
        </is>
      </c>
      <c r="I4560" s="12" t="inlineStr">
        <is>
          <t>Fire alarm</t>
        </is>
      </c>
      <c r="J4560" s="12" t="inlineStr">
        <is>
          <t>Fire alarm FPLR 2/C #14 shielded, red jacket (NEC 760)</t>
        </is>
      </c>
      <c r="K4560" s="12" t="inlineStr">
        <is>
          <t>FA|2/C|14</t>
        </is>
      </c>
      <c r="L4560" s="12" t="inlineStr">
        <is>
          <t>2/C</t>
        </is>
      </c>
      <c r="M4560" s="12" t="inlineStr">
        <is>
          <t>14</t>
        </is>
      </c>
      <c r="N4560" s="12" t="n">
        <v>1</v>
      </c>
      <c r="O4560" s="12" t="n">
        <v>1</v>
      </c>
      <c r="P4560" s="12" t="n"/>
      <c r="Q4560" s="12" t="n"/>
      <c r="R4560" s="12" t="n"/>
      <c r="S4560" s="12" t="inlineStr">
        <is>
          <t>Duct bank</t>
        </is>
      </c>
      <c r="T4560" s="17" t="n">
        <v>314</v>
      </c>
      <c r="U4560" s="17" t="n">
        <v>50</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I-FA-0023</t>
        </is>
      </c>
      <c r="B4561" s="12" t="inlineStr">
        <is>
          <t>I</t>
        </is>
      </c>
      <c r="C4561" s="12" t="inlineStr">
        <is>
          <t>Modular / portable power</t>
        </is>
      </c>
      <c r="D4561" s="12" t="inlineStr">
        <is>
          <t>Fire alarm / F&amp;G loop (to the local FACP / F&amp;G node)</t>
        </is>
      </c>
      <c r="E4561" s="12" t="inlineStr">
        <is>
          <t>PAD-EH</t>
        </is>
      </c>
      <c r="F4561" s="12" t="inlineStr">
        <is>
          <t>PAD-EH 13.8 kV switchgear e-house</t>
        </is>
      </c>
      <c r="G4561" s="12" t="inlineStr">
        <is>
          <t>FC-9</t>
        </is>
      </c>
      <c r="H4561" s="12" t="inlineStr">
        <is>
          <t>FC-9: SOFC module (Bloom ES5 class, 200-300 kW)</t>
        </is>
      </c>
      <c r="I4561" s="12" t="inlineStr">
        <is>
          <t>Fire alarm</t>
        </is>
      </c>
      <c r="J4561" s="12" t="inlineStr">
        <is>
          <t>Fire alarm FPLR 2/C #14 shielded, red jacket (NEC 760)</t>
        </is>
      </c>
      <c r="K4561" s="12" t="inlineStr">
        <is>
          <t>FA|2/C|14</t>
        </is>
      </c>
      <c r="L4561" s="12" t="inlineStr">
        <is>
          <t>2/C</t>
        </is>
      </c>
      <c r="M4561" s="12" t="inlineStr">
        <is>
          <t>14</t>
        </is>
      </c>
      <c r="N4561" s="12" t="n">
        <v>1</v>
      </c>
      <c r="O4561" s="12" t="n">
        <v>1</v>
      </c>
      <c r="P4561" s="12" t="n"/>
      <c r="Q4561" s="12" t="n"/>
      <c r="R4561" s="12" t="n"/>
      <c r="S4561" s="12" t="inlineStr">
        <is>
          <t>Duct bank</t>
        </is>
      </c>
      <c r="T4561" s="17" t="n">
        <v>300</v>
      </c>
      <c r="U4561" s="17" t="n">
        <v>50</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I-FA-0024</t>
        </is>
      </c>
      <c r="B4562" s="12" t="inlineStr">
        <is>
          <t>I</t>
        </is>
      </c>
      <c r="C4562" s="12" t="inlineStr">
        <is>
          <t>Modular / portable power</t>
        </is>
      </c>
      <c r="D4562" s="12" t="inlineStr">
        <is>
          <t>Fire alarm / F&amp;G loop (to the local FACP / F&amp;G node)</t>
        </is>
      </c>
      <c r="E4562" s="12" t="inlineStr">
        <is>
          <t>PAD-EH</t>
        </is>
      </c>
      <c r="F4562" s="12" t="inlineStr">
        <is>
          <t>PAD-EH 13.8 kV switchgear e-house</t>
        </is>
      </c>
      <c r="G4562" s="12" t="inlineStr">
        <is>
          <t>GB-1.1</t>
        </is>
      </c>
      <c r="H4562" s="12" t="inlineStr">
        <is>
          <t>GB-1.1: modular gas genset ~450 kW, 480 V (block 1)</t>
        </is>
      </c>
      <c r="I4562" s="12" t="inlineStr">
        <is>
          <t>Fire alarm</t>
        </is>
      </c>
      <c r="J4562" s="12" t="inlineStr">
        <is>
          <t>Fire alarm FPLR 2/C #14 shielded, red jacket (NEC 760)</t>
        </is>
      </c>
      <c r="K4562" s="12" t="inlineStr">
        <is>
          <t>FA|2/C|14</t>
        </is>
      </c>
      <c r="L4562" s="12" t="inlineStr">
        <is>
          <t>2/C</t>
        </is>
      </c>
      <c r="M4562" s="12" t="inlineStr">
        <is>
          <t>14</t>
        </is>
      </c>
      <c r="N4562" s="12" t="n">
        <v>1</v>
      </c>
      <c r="O4562" s="12" t="n">
        <v>1</v>
      </c>
      <c r="P4562" s="12" t="n"/>
      <c r="Q4562" s="12" t="n"/>
      <c r="R4562" s="12" t="n"/>
      <c r="S4562" s="12" t="inlineStr">
        <is>
          <t>Surface</t>
        </is>
      </c>
      <c r="T4562" s="17" t="n">
        <v>160</v>
      </c>
      <c r="U4562" s="17" t="n">
        <v>37</v>
      </c>
      <c r="V4562" s="17">
        <f>ROUNDUP((T4562+U4562+2*'Read Me'!$B$13)*(1+'Read Me'!$B$12),-1)</f>
        <v/>
      </c>
      <c r="W4562" s="17">
        <f>V4562*N4562*O4562</f>
        <v/>
      </c>
      <c r="X4562" s="12">
        <f>IF(LEFT(I4562,2)="MV",2*N4562*IF(L4562="1/C",O4562,1),0)</f>
        <v/>
      </c>
      <c r="Y4562" s="12">
        <f>IF(OR(LEFT(K4562,4)="LVAX",LEFT(K4562,6)="MV15AX",LEFT(K4562,4)="CTAX",LEFT(K4562,2)="W|"),2*N4562*O4562,0)</f>
        <v/>
      </c>
      <c r="Z4562" s="12" t="inlineStr"/>
      <c r="AA4562" s="12">
        <f>N4562*O4562</f>
        <v/>
      </c>
    </row>
    <row r="4563">
      <c r="A4563" s="12" t="inlineStr">
        <is>
          <t>I-FA-0025</t>
        </is>
      </c>
      <c r="B4563" s="12" t="inlineStr">
        <is>
          <t>I</t>
        </is>
      </c>
      <c r="C4563" s="12" t="inlineStr">
        <is>
          <t>Modular / portable power</t>
        </is>
      </c>
      <c r="D4563" s="12" t="inlineStr">
        <is>
          <t>Fire alarm / F&amp;G loop (to the local FACP / F&amp;G node)</t>
        </is>
      </c>
      <c r="E4563" s="12" t="inlineStr">
        <is>
          <t>PAD-EH</t>
        </is>
      </c>
      <c r="F4563" s="12" t="inlineStr">
        <is>
          <t>PAD-EH 13.8 kV switchgear e-house</t>
        </is>
      </c>
      <c r="G4563" s="12" t="inlineStr">
        <is>
          <t>GB-1.2</t>
        </is>
      </c>
      <c r="H4563" s="12" t="inlineStr">
        <is>
          <t>GB-1.2: modular gas genset ~450 kW, 480 V (block 1)</t>
        </is>
      </c>
      <c r="I4563" s="12" t="inlineStr">
        <is>
          <t>Fire alarm</t>
        </is>
      </c>
      <c r="J4563" s="12" t="inlineStr">
        <is>
          <t>Fire alarm FPLR 2/C #14 shielded, red jacket (NEC 760)</t>
        </is>
      </c>
      <c r="K4563" s="12" t="inlineStr">
        <is>
          <t>FA|2/C|14</t>
        </is>
      </c>
      <c r="L4563" s="12" t="inlineStr">
        <is>
          <t>2/C</t>
        </is>
      </c>
      <c r="M4563" s="12" t="inlineStr">
        <is>
          <t>14</t>
        </is>
      </c>
      <c r="N4563" s="12" t="n">
        <v>1</v>
      </c>
      <c r="O4563" s="12" t="n">
        <v>1</v>
      </c>
      <c r="P4563" s="12" t="n"/>
      <c r="Q4563" s="12" t="n"/>
      <c r="R4563" s="12" t="n"/>
      <c r="S4563" s="12" t="inlineStr">
        <is>
          <t>Surface</t>
        </is>
      </c>
      <c r="T4563" s="17" t="n">
        <v>158</v>
      </c>
      <c r="U4563" s="17" t="n">
        <v>32</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I-FA-0026</t>
        </is>
      </c>
      <c r="B4564" s="12" t="inlineStr">
        <is>
          <t>I</t>
        </is>
      </c>
      <c r="C4564" s="12" t="inlineStr">
        <is>
          <t>Modular / portable power</t>
        </is>
      </c>
      <c r="D4564" s="12" t="inlineStr">
        <is>
          <t>Fire alarm / F&amp;G loop (to the local FACP / F&amp;G node)</t>
        </is>
      </c>
      <c r="E4564" s="12" t="inlineStr">
        <is>
          <t>PAD-EH</t>
        </is>
      </c>
      <c r="F4564" s="12" t="inlineStr">
        <is>
          <t>PAD-EH 13.8 kV switchgear e-house</t>
        </is>
      </c>
      <c r="G4564" s="12" t="inlineStr">
        <is>
          <t>GB-1.3</t>
        </is>
      </c>
      <c r="H4564" s="12" t="inlineStr">
        <is>
          <t>GB-1.3: modular gas genset ~450 kW, 480 V (block 1)</t>
        </is>
      </c>
      <c r="I4564" s="12" t="inlineStr">
        <is>
          <t>Fire alarm</t>
        </is>
      </c>
      <c r="J4564" s="12" t="inlineStr">
        <is>
          <t>Fire alarm FPLR 2/C #14 shielded, red jacket (NEC 760)</t>
        </is>
      </c>
      <c r="K4564" s="12" t="inlineStr">
        <is>
          <t>FA|2/C|14</t>
        </is>
      </c>
      <c r="L4564" s="12" t="inlineStr">
        <is>
          <t>2/C</t>
        </is>
      </c>
      <c r="M4564" s="12" t="inlineStr">
        <is>
          <t>14</t>
        </is>
      </c>
      <c r="N4564" s="12" t="n">
        <v>1</v>
      </c>
      <c r="O4564" s="12" t="n">
        <v>1</v>
      </c>
      <c r="P4564" s="12" t="n"/>
      <c r="Q4564" s="12" t="n"/>
      <c r="R4564" s="12" t="n"/>
      <c r="S4564" s="12" t="inlineStr">
        <is>
          <t>Surface</t>
        </is>
      </c>
      <c r="T4564" s="17" t="n">
        <v>145</v>
      </c>
      <c r="U4564" s="17" t="n">
        <v>35</v>
      </c>
      <c r="V4564" s="17">
        <f>ROUNDUP((T4564+U4564+2*'Read Me'!$B$13)*(1+'Read Me'!$B$12),-1)</f>
        <v/>
      </c>
      <c r="W4564" s="17">
        <f>V4564*N4564*O4564</f>
        <v/>
      </c>
      <c r="X4564" s="12">
        <f>IF(LEFT(I4564,2)="MV",2*N4564*IF(L4564="1/C",O4564,1),0)</f>
        <v/>
      </c>
      <c r="Y4564" s="12">
        <f>IF(OR(LEFT(K4564,4)="LVAX",LEFT(K4564,6)="MV15AX",LEFT(K4564,4)="CTAX",LEFT(K4564,2)="W|"),2*N4564*O4564,0)</f>
        <v/>
      </c>
      <c r="Z4564" s="12" t="inlineStr"/>
      <c r="AA4564" s="12">
        <f>N4564*O4564</f>
        <v/>
      </c>
    </row>
    <row r="4565">
      <c r="A4565" s="12" t="inlineStr">
        <is>
          <t>I-FA-0027</t>
        </is>
      </c>
      <c r="B4565" s="12" t="inlineStr">
        <is>
          <t>I</t>
        </is>
      </c>
      <c r="C4565" s="12" t="inlineStr">
        <is>
          <t>Modular / portable power</t>
        </is>
      </c>
      <c r="D4565" s="12" t="inlineStr">
        <is>
          <t>Fire alarm / F&amp;G loop (to the local FACP / F&amp;G node)</t>
        </is>
      </c>
      <c r="E4565" s="12" t="inlineStr">
        <is>
          <t>PAD-EH</t>
        </is>
      </c>
      <c r="F4565" s="12" t="inlineStr">
        <is>
          <t>PAD-EH 13.8 kV switchgear e-house</t>
        </is>
      </c>
      <c r="G4565" s="12" t="inlineStr">
        <is>
          <t>GB-1.4</t>
        </is>
      </c>
      <c r="H4565" s="12" t="inlineStr">
        <is>
          <t>GB-1.4: modular gas genset ~450 kW, 480 V (block 1)</t>
        </is>
      </c>
      <c r="I4565" s="12" t="inlineStr">
        <is>
          <t>Fire alarm</t>
        </is>
      </c>
      <c r="J4565" s="12" t="inlineStr">
        <is>
          <t>Fire alarm FPLR 2/C #14 shielded, red jacket (NEC 760)</t>
        </is>
      </c>
      <c r="K4565" s="12" t="inlineStr">
        <is>
          <t>FA|2/C|14</t>
        </is>
      </c>
      <c r="L4565" s="12" t="inlineStr">
        <is>
          <t>2/C</t>
        </is>
      </c>
      <c r="M4565" s="12" t="inlineStr">
        <is>
          <t>14</t>
        </is>
      </c>
      <c r="N4565" s="12" t="n">
        <v>1</v>
      </c>
      <c r="O4565" s="12" t="n">
        <v>1</v>
      </c>
      <c r="P4565" s="12" t="n"/>
      <c r="Q4565" s="12" t="n"/>
      <c r="R4565" s="12" t="n"/>
      <c r="S4565" s="12" t="inlineStr">
        <is>
          <t>Surface</t>
        </is>
      </c>
      <c r="T4565" s="17" t="n">
        <v>148</v>
      </c>
      <c r="U4565" s="17" t="n">
        <v>39</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I-FA-0028</t>
        </is>
      </c>
      <c r="B4566" s="12" t="inlineStr">
        <is>
          <t>I</t>
        </is>
      </c>
      <c r="C4566" s="12" t="inlineStr">
        <is>
          <t>Modular / portable power</t>
        </is>
      </c>
      <c r="D4566" s="12" t="inlineStr">
        <is>
          <t>Fire alarm / F&amp;G loop (to the local FACP / F&amp;G node)</t>
        </is>
      </c>
      <c r="E4566" s="12" t="inlineStr">
        <is>
          <t>PAD-EH</t>
        </is>
      </c>
      <c r="F4566" s="12" t="inlineStr">
        <is>
          <t>PAD-EH 13.8 kV switchgear e-house</t>
        </is>
      </c>
      <c r="G4566" s="12" t="inlineStr">
        <is>
          <t>GB-2.1</t>
        </is>
      </c>
      <c r="H4566" s="12" t="inlineStr">
        <is>
          <t>GB-2.1: modular gas genset ~450 kW, 480 V (block 2)</t>
        </is>
      </c>
      <c r="I4566" s="12" t="inlineStr">
        <is>
          <t>Fire alarm</t>
        </is>
      </c>
      <c r="J4566" s="12" t="inlineStr">
        <is>
          <t>Fire alarm FPLR 2/C #14 shielded, red jacket (NEC 760)</t>
        </is>
      </c>
      <c r="K4566" s="12" t="inlineStr">
        <is>
          <t>FA|2/C|14</t>
        </is>
      </c>
      <c r="L4566" s="12" t="inlineStr">
        <is>
          <t>2/C</t>
        </is>
      </c>
      <c r="M4566" s="12" t="inlineStr">
        <is>
          <t>14</t>
        </is>
      </c>
      <c r="N4566" s="12" t="n">
        <v>1</v>
      </c>
      <c r="O4566" s="12" t="n">
        <v>1</v>
      </c>
      <c r="P4566" s="12" t="n"/>
      <c r="Q4566" s="12" t="n"/>
      <c r="R4566" s="12" t="n"/>
      <c r="S4566" s="12" t="inlineStr">
        <is>
          <t>Surface</t>
        </is>
      </c>
      <c r="T4566" s="17" t="n">
        <v>206</v>
      </c>
      <c r="U4566" s="17" t="n">
        <v>37</v>
      </c>
      <c r="V4566" s="17">
        <f>ROUNDUP((T4566+U4566+2*'Read Me'!$B$13)*(1+'Read Me'!$B$12),-1)</f>
        <v/>
      </c>
      <c r="W4566" s="17">
        <f>V4566*N4566*O4566</f>
        <v/>
      </c>
      <c r="X4566" s="12">
        <f>IF(LEFT(I4566,2)="MV",2*N4566*IF(L4566="1/C",O4566,1),0)</f>
        <v/>
      </c>
      <c r="Y4566" s="12">
        <f>IF(OR(LEFT(K4566,4)="LVAX",LEFT(K4566,6)="MV15AX",LEFT(K4566,4)="CTAX",LEFT(K4566,2)="W|"),2*N4566*O4566,0)</f>
        <v/>
      </c>
      <c r="Z4566" s="12" t="inlineStr"/>
      <c r="AA4566" s="12">
        <f>N4566*O4566</f>
        <v/>
      </c>
    </row>
    <row r="4567">
      <c r="A4567" s="12" t="inlineStr">
        <is>
          <t>I-FA-0029</t>
        </is>
      </c>
      <c r="B4567" s="12" t="inlineStr">
        <is>
          <t>I</t>
        </is>
      </c>
      <c r="C4567" s="12" t="inlineStr">
        <is>
          <t>Modular / portable power</t>
        </is>
      </c>
      <c r="D4567" s="12" t="inlineStr">
        <is>
          <t>Fire alarm / F&amp;G loop (to the local FACP / F&amp;G node)</t>
        </is>
      </c>
      <c r="E4567" s="12" t="inlineStr">
        <is>
          <t>PAD-EH</t>
        </is>
      </c>
      <c r="F4567" s="12" t="inlineStr">
        <is>
          <t>PAD-EH 13.8 kV switchgear e-house</t>
        </is>
      </c>
      <c r="G4567" s="12" t="inlineStr">
        <is>
          <t>GB-2.2</t>
        </is>
      </c>
      <c r="H4567" s="12" t="inlineStr">
        <is>
          <t>GB-2.2: modular gas genset ~450 kW, 480 V (block 2)</t>
        </is>
      </c>
      <c r="I4567" s="12" t="inlineStr">
        <is>
          <t>Fire alarm</t>
        </is>
      </c>
      <c r="J4567" s="12" t="inlineStr">
        <is>
          <t>Fire alarm FPLR 2/C #14 shielded, red jacket (NEC 760)</t>
        </is>
      </c>
      <c r="K4567" s="12" t="inlineStr">
        <is>
          <t>FA|2/C|14</t>
        </is>
      </c>
      <c r="L4567" s="12" t="inlineStr">
        <is>
          <t>2/C</t>
        </is>
      </c>
      <c r="M4567" s="12" t="inlineStr">
        <is>
          <t>14</t>
        </is>
      </c>
      <c r="N4567" s="12" t="n">
        <v>1</v>
      </c>
      <c r="O4567" s="12" t="n">
        <v>1</v>
      </c>
      <c r="P4567" s="12" t="n"/>
      <c r="Q4567" s="12" t="n"/>
      <c r="R4567" s="12" t="n"/>
      <c r="S4567" s="12" t="inlineStr">
        <is>
          <t>Surface</t>
        </is>
      </c>
      <c r="T4567" s="17" t="n">
        <v>204</v>
      </c>
      <c r="U4567" s="17" t="n">
        <v>32</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I-FA-0030</t>
        </is>
      </c>
      <c r="B4568" s="12" t="inlineStr">
        <is>
          <t>I</t>
        </is>
      </c>
      <c r="C4568" s="12" t="inlineStr">
        <is>
          <t>Modular / portable power</t>
        </is>
      </c>
      <c r="D4568" s="12" t="inlineStr">
        <is>
          <t>Fire alarm / F&amp;G loop (to the local FACP / F&amp;G node)</t>
        </is>
      </c>
      <c r="E4568" s="12" t="inlineStr">
        <is>
          <t>PAD-EH</t>
        </is>
      </c>
      <c r="F4568" s="12" t="inlineStr">
        <is>
          <t>PAD-EH 13.8 kV switchgear e-house</t>
        </is>
      </c>
      <c r="G4568" s="12" t="inlineStr">
        <is>
          <t>GB-2.3</t>
        </is>
      </c>
      <c r="H4568" s="12" t="inlineStr">
        <is>
          <t>GB-2.3: modular gas genset ~450 kW, 480 V (block 2)</t>
        </is>
      </c>
      <c r="I4568" s="12" t="inlineStr">
        <is>
          <t>Fire alarm</t>
        </is>
      </c>
      <c r="J4568" s="12" t="inlineStr">
        <is>
          <t>Fire alarm FPLR 2/C #14 shielded, red jacket (NEC 760)</t>
        </is>
      </c>
      <c r="K4568" s="12" t="inlineStr">
        <is>
          <t>FA|2/C|14</t>
        </is>
      </c>
      <c r="L4568" s="12" t="inlineStr">
        <is>
          <t>2/C</t>
        </is>
      </c>
      <c r="M4568" s="12" t="inlineStr">
        <is>
          <t>14</t>
        </is>
      </c>
      <c r="N4568" s="12" t="n">
        <v>1</v>
      </c>
      <c r="O4568" s="12" t="n">
        <v>1</v>
      </c>
      <c r="P4568" s="12" t="n"/>
      <c r="Q4568" s="12" t="n"/>
      <c r="R4568" s="12" t="n"/>
      <c r="S4568" s="12" t="inlineStr">
        <is>
          <t>Surface</t>
        </is>
      </c>
      <c r="T4568" s="17" t="n">
        <v>194</v>
      </c>
      <c r="U4568" s="17" t="n">
        <v>32</v>
      </c>
      <c r="V4568" s="17">
        <f>ROUNDUP((T4568+U4568+2*'Read Me'!$B$13)*(1+'Read Me'!$B$12),-1)</f>
        <v/>
      </c>
      <c r="W4568" s="17">
        <f>V4568*N4568*O4568</f>
        <v/>
      </c>
      <c r="X4568" s="12">
        <f>IF(LEFT(I4568,2)="MV",2*N4568*IF(L4568="1/C",O4568,1),0)</f>
        <v/>
      </c>
      <c r="Y4568" s="12">
        <f>IF(OR(LEFT(K4568,4)="LVAX",LEFT(K4568,6)="MV15AX",LEFT(K4568,4)="CTAX",LEFT(K4568,2)="W|"),2*N4568*O4568,0)</f>
        <v/>
      </c>
      <c r="Z4568" s="12" t="inlineStr"/>
      <c r="AA4568" s="12">
        <f>N4568*O4568</f>
        <v/>
      </c>
    </row>
    <row r="4569">
      <c r="A4569" s="12" t="inlineStr">
        <is>
          <t>I-FA-0031</t>
        </is>
      </c>
      <c r="B4569" s="12" t="inlineStr">
        <is>
          <t>I</t>
        </is>
      </c>
      <c r="C4569" s="12" t="inlineStr">
        <is>
          <t>Modular / portable power</t>
        </is>
      </c>
      <c r="D4569" s="12" t="inlineStr">
        <is>
          <t>Fire alarm / F&amp;G loop (to the local FACP / F&amp;G node)</t>
        </is>
      </c>
      <c r="E4569" s="12" t="inlineStr">
        <is>
          <t>PAD-EH</t>
        </is>
      </c>
      <c r="F4569" s="12" t="inlineStr">
        <is>
          <t>PAD-EH 13.8 kV switchgear e-house</t>
        </is>
      </c>
      <c r="G4569" s="12" t="inlineStr">
        <is>
          <t>GB-2.4</t>
        </is>
      </c>
      <c r="H4569" s="12" t="inlineStr">
        <is>
          <t>GB-2.4: modular gas genset ~450 kW, 480 V (block 2)</t>
        </is>
      </c>
      <c r="I4569" s="12" t="inlineStr">
        <is>
          <t>Fire alarm</t>
        </is>
      </c>
      <c r="J4569" s="12" t="inlineStr">
        <is>
          <t>Fire alarm FPLR 2/C #14 shielded, red jacket (NEC 760)</t>
        </is>
      </c>
      <c r="K4569" s="12" t="inlineStr">
        <is>
          <t>FA|2/C|14</t>
        </is>
      </c>
      <c r="L4569" s="12" t="inlineStr">
        <is>
          <t>2/C</t>
        </is>
      </c>
      <c r="M4569" s="12" t="inlineStr">
        <is>
          <t>14</t>
        </is>
      </c>
      <c r="N4569" s="12" t="n">
        <v>1</v>
      </c>
      <c r="O4569" s="12" t="n">
        <v>1</v>
      </c>
      <c r="P4569" s="12" t="n"/>
      <c r="Q4569" s="12" t="n"/>
      <c r="R4569" s="12" t="n"/>
      <c r="S4569" s="12" t="inlineStr">
        <is>
          <t>Surface</t>
        </is>
      </c>
      <c r="T4569" s="17" t="n">
        <v>194</v>
      </c>
      <c r="U4569" s="17" t="n">
        <v>39</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I-FA-0032</t>
        </is>
      </c>
      <c r="B4570" s="12" t="inlineStr">
        <is>
          <t>I</t>
        </is>
      </c>
      <c r="C4570" s="12" t="inlineStr">
        <is>
          <t>Modular / portable power</t>
        </is>
      </c>
      <c r="D4570" s="12" t="inlineStr">
        <is>
          <t>Fire alarm / F&amp;G loop (to the local FACP / F&amp;G node)</t>
        </is>
      </c>
      <c r="E4570" s="12" t="inlineStr">
        <is>
          <t>PAD-EH</t>
        </is>
      </c>
      <c r="F4570" s="12" t="inlineStr">
        <is>
          <t>PAD-EH 13.8 kV switchgear e-house</t>
        </is>
      </c>
      <c r="G4570" s="12" t="inlineStr">
        <is>
          <t>GB-3.1</t>
        </is>
      </c>
      <c r="H4570" s="12" t="inlineStr">
        <is>
          <t>GB-3.1: modular gas genset ~450 kW, 480 V (block 3)</t>
        </is>
      </c>
      <c r="I4570" s="12" t="inlineStr">
        <is>
          <t>Fire alarm</t>
        </is>
      </c>
      <c r="J4570" s="12" t="inlineStr">
        <is>
          <t>Fire alarm FPLR 2/C #14 shielded, red jacket (NEC 760)</t>
        </is>
      </c>
      <c r="K4570" s="12" t="inlineStr">
        <is>
          <t>FA|2/C|14</t>
        </is>
      </c>
      <c r="L4570" s="12" t="inlineStr">
        <is>
          <t>2/C</t>
        </is>
      </c>
      <c r="M4570" s="12" t="inlineStr">
        <is>
          <t>14</t>
        </is>
      </c>
      <c r="N4570" s="12" t="n">
        <v>1</v>
      </c>
      <c r="O4570" s="12" t="n">
        <v>1</v>
      </c>
      <c r="P4570" s="12" t="n"/>
      <c r="Q4570" s="12" t="n"/>
      <c r="R4570" s="12" t="n"/>
      <c r="S4570" s="12" t="inlineStr">
        <is>
          <t>Surface</t>
        </is>
      </c>
      <c r="T4570" s="17" t="n">
        <v>140</v>
      </c>
      <c r="U4570" s="17" t="n">
        <v>37</v>
      </c>
      <c r="V4570" s="17">
        <f>ROUNDUP((T4570+U4570+2*'Read Me'!$B$13)*(1+'Read Me'!$B$12),-1)</f>
        <v/>
      </c>
      <c r="W4570" s="17">
        <f>V4570*N4570*O4570</f>
        <v/>
      </c>
      <c r="X4570" s="12">
        <f>IF(LEFT(I4570,2)="MV",2*N4570*IF(L4570="1/C",O4570,1),0)</f>
        <v/>
      </c>
      <c r="Y4570" s="12">
        <f>IF(OR(LEFT(K4570,4)="LVAX",LEFT(K4570,6)="MV15AX",LEFT(K4570,4)="CTAX",LEFT(K4570,2)="W|"),2*N4570*O4570,0)</f>
        <v/>
      </c>
      <c r="Z4570" s="12" t="inlineStr"/>
      <c r="AA4570" s="12">
        <f>N4570*O4570</f>
        <v/>
      </c>
    </row>
    <row r="4571">
      <c r="A4571" s="12" t="inlineStr">
        <is>
          <t>I-FA-0033</t>
        </is>
      </c>
      <c r="B4571" s="12" t="inlineStr">
        <is>
          <t>I</t>
        </is>
      </c>
      <c r="C4571" s="12" t="inlineStr">
        <is>
          <t>Modular / portable power</t>
        </is>
      </c>
      <c r="D4571" s="12" t="inlineStr">
        <is>
          <t>Fire alarm / F&amp;G loop (to the local FACP / F&amp;G node)</t>
        </is>
      </c>
      <c r="E4571" s="12" t="inlineStr">
        <is>
          <t>PAD-EH</t>
        </is>
      </c>
      <c r="F4571" s="12" t="inlineStr">
        <is>
          <t>PAD-EH 13.8 kV switchgear e-house</t>
        </is>
      </c>
      <c r="G4571" s="12" t="inlineStr">
        <is>
          <t>GB-3.2</t>
        </is>
      </c>
      <c r="H4571" s="12" t="inlineStr">
        <is>
          <t>GB-3.2: modular gas genset ~450 kW, 480 V (block 3)</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Surface</t>
        </is>
      </c>
      <c r="T4571" s="17" t="n">
        <v>138</v>
      </c>
      <c r="U4571" s="17" t="n">
        <v>32</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I-FA-0034</t>
        </is>
      </c>
      <c r="B4572" s="12" t="inlineStr">
        <is>
          <t>I</t>
        </is>
      </c>
      <c r="C4572" s="12" t="inlineStr">
        <is>
          <t>Modular / portable power</t>
        </is>
      </c>
      <c r="D4572" s="12" t="inlineStr">
        <is>
          <t>Fire alarm / F&amp;G loop (to the local FACP / F&amp;G node)</t>
        </is>
      </c>
      <c r="E4572" s="12" t="inlineStr">
        <is>
          <t>PAD-EH</t>
        </is>
      </c>
      <c r="F4572" s="12" t="inlineStr">
        <is>
          <t>PAD-EH 13.8 kV switchgear e-house</t>
        </is>
      </c>
      <c r="G4572" s="12" t="inlineStr">
        <is>
          <t>GB-3.3</t>
        </is>
      </c>
      <c r="H4572" s="12" t="inlineStr">
        <is>
          <t>GB-3.3: modular gas genset ~450 kW, 480 V (block 3)</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Surface</t>
        </is>
      </c>
      <c r="T4572" s="17" t="n">
        <v>125</v>
      </c>
      <c r="U4572" s="17" t="n">
        <v>35</v>
      </c>
      <c r="V4572" s="17">
        <f>ROUNDUP((T4572+U4572+2*'Read Me'!$B$13)*(1+'Read Me'!$B$12),-1)</f>
        <v/>
      </c>
      <c r="W4572" s="17">
        <f>V4572*N4572*O4572</f>
        <v/>
      </c>
      <c r="X4572" s="12">
        <f>IF(LEFT(I4572,2)="MV",2*N4572*IF(L4572="1/C",O4572,1),0)</f>
        <v/>
      </c>
      <c r="Y4572" s="12">
        <f>IF(OR(LEFT(K4572,4)="LVAX",LEFT(K4572,6)="MV15AX",LEFT(K4572,4)="CTAX",LEFT(K4572,2)="W|"),2*N4572*O4572,0)</f>
        <v/>
      </c>
      <c r="Z4572" s="12" t="inlineStr"/>
      <c r="AA4572" s="12">
        <f>N4572*O4572</f>
        <v/>
      </c>
    </row>
    <row r="4573">
      <c r="A4573" s="12" t="inlineStr">
        <is>
          <t>I-FA-0035</t>
        </is>
      </c>
      <c r="B4573" s="12" t="inlineStr">
        <is>
          <t>I</t>
        </is>
      </c>
      <c r="C4573" s="12" t="inlineStr">
        <is>
          <t>Modular / portable power</t>
        </is>
      </c>
      <c r="D4573" s="12" t="inlineStr">
        <is>
          <t>Fire alarm / F&amp;G loop (to the local FACP / F&amp;G node)</t>
        </is>
      </c>
      <c r="E4573" s="12" t="inlineStr">
        <is>
          <t>PAD-EH</t>
        </is>
      </c>
      <c r="F4573" s="12" t="inlineStr">
        <is>
          <t>PAD-EH 13.8 kV switchgear e-house</t>
        </is>
      </c>
      <c r="G4573" s="12" t="inlineStr">
        <is>
          <t>GB-3.4</t>
        </is>
      </c>
      <c r="H4573" s="12" t="inlineStr">
        <is>
          <t>GB-3.4: modular gas genset ~450 kW, 480 V (block 3)</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Surface</t>
        </is>
      </c>
      <c r="T4573" s="17" t="n">
        <v>128</v>
      </c>
      <c r="U4573" s="17" t="n">
        <v>39</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I-FA-0036</t>
        </is>
      </c>
      <c r="B4574" s="12" t="inlineStr">
        <is>
          <t>I</t>
        </is>
      </c>
      <c r="C4574" s="12" t="inlineStr">
        <is>
          <t>Modular / portable power</t>
        </is>
      </c>
      <c r="D4574" s="12" t="inlineStr">
        <is>
          <t>Fire alarm / F&amp;G loop (to the local FACP / F&amp;G node)</t>
        </is>
      </c>
      <c r="E4574" s="12" t="inlineStr">
        <is>
          <t>PAD-EH</t>
        </is>
      </c>
      <c r="F4574" s="12" t="inlineStr">
        <is>
          <t>PAD-EH 13.8 kV switchgear e-house</t>
        </is>
      </c>
      <c r="G4574" s="12" t="inlineStr">
        <is>
          <t>GB-4.1</t>
        </is>
      </c>
      <c r="H4574" s="12" t="inlineStr">
        <is>
          <t>GB-4.1: modular gas genset ~450 kW, 480 V (block 4)</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Surface</t>
        </is>
      </c>
      <c r="T4574" s="17" t="n">
        <v>186</v>
      </c>
      <c r="U4574" s="17" t="n">
        <v>37</v>
      </c>
      <c r="V4574" s="17">
        <f>ROUNDUP((T4574+U4574+2*'Read Me'!$B$13)*(1+'Read Me'!$B$12),-1)</f>
        <v/>
      </c>
      <c r="W4574" s="17">
        <f>V4574*N4574*O4574</f>
        <v/>
      </c>
      <c r="X4574" s="12">
        <f>IF(LEFT(I4574,2)="MV",2*N4574*IF(L4574="1/C",O4574,1),0)</f>
        <v/>
      </c>
      <c r="Y4574" s="12">
        <f>IF(OR(LEFT(K4574,4)="LVAX",LEFT(K4574,6)="MV15AX",LEFT(K4574,4)="CTAX",LEFT(K4574,2)="W|"),2*N4574*O4574,0)</f>
        <v/>
      </c>
      <c r="Z4574" s="12" t="inlineStr"/>
      <c r="AA4574" s="12">
        <f>N4574*O4574</f>
        <v/>
      </c>
    </row>
    <row r="4575">
      <c r="A4575" s="12" t="inlineStr">
        <is>
          <t>I-FA-0037</t>
        </is>
      </c>
      <c r="B4575" s="12" t="inlineStr">
        <is>
          <t>I</t>
        </is>
      </c>
      <c r="C4575" s="12" t="inlineStr">
        <is>
          <t>Modular / portable power</t>
        </is>
      </c>
      <c r="D4575" s="12" t="inlineStr">
        <is>
          <t>Fire alarm / F&amp;G loop (to the local FACP / F&amp;G node)</t>
        </is>
      </c>
      <c r="E4575" s="12" t="inlineStr">
        <is>
          <t>PAD-EH</t>
        </is>
      </c>
      <c r="F4575" s="12" t="inlineStr">
        <is>
          <t>PAD-EH 13.8 kV switchgear e-house</t>
        </is>
      </c>
      <c r="G4575" s="12" t="inlineStr">
        <is>
          <t>GB-4.2</t>
        </is>
      </c>
      <c r="H4575" s="12" t="inlineStr">
        <is>
          <t>GB-4.2: modular gas genset ~450 kW, 480 V (block 4)</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Surface</t>
        </is>
      </c>
      <c r="T4575" s="17" t="n">
        <v>184</v>
      </c>
      <c r="U4575" s="17" t="n">
        <v>32</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I-FA-0038</t>
        </is>
      </c>
      <c r="B4576" s="12" t="inlineStr">
        <is>
          <t>I</t>
        </is>
      </c>
      <c r="C4576" s="12" t="inlineStr">
        <is>
          <t>Modular / portable power</t>
        </is>
      </c>
      <c r="D4576" s="12" t="inlineStr">
        <is>
          <t>Fire alarm / F&amp;G loop (to the local FACP / F&amp;G node)</t>
        </is>
      </c>
      <c r="E4576" s="12" t="inlineStr">
        <is>
          <t>PAD-EH</t>
        </is>
      </c>
      <c r="F4576" s="12" t="inlineStr">
        <is>
          <t>PAD-EH 13.8 kV switchgear e-house</t>
        </is>
      </c>
      <c r="G4576" s="12" t="inlineStr">
        <is>
          <t>GB-4.3</t>
        </is>
      </c>
      <c r="H4576" s="12" t="inlineStr">
        <is>
          <t>GB-4.3: modular gas genset ~450 kW, 480 V (block 4)</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Surface</t>
        </is>
      </c>
      <c r="T4576" s="17" t="n">
        <v>171</v>
      </c>
      <c r="U4576" s="17" t="n">
        <v>35</v>
      </c>
      <c r="V4576" s="17">
        <f>ROUNDUP((T4576+U4576+2*'Read Me'!$B$13)*(1+'Read Me'!$B$12),-1)</f>
        <v/>
      </c>
      <c r="W4576" s="17">
        <f>V4576*N4576*O4576</f>
        <v/>
      </c>
      <c r="X4576" s="12">
        <f>IF(LEFT(I4576,2)="MV",2*N4576*IF(L4576="1/C",O4576,1),0)</f>
        <v/>
      </c>
      <c r="Y4576" s="12">
        <f>IF(OR(LEFT(K4576,4)="LVAX",LEFT(K4576,6)="MV15AX",LEFT(K4576,4)="CTAX",LEFT(K4576,2)="W|"),2*N4576*O4576,0)</f>
        <v/>
      </c>
      <c r="Z4576" s="12" t="inlineStr"/>
      <c r="AA4576" s="12">
        <f>N4576*O4576</f>
        <v/>
      </c>
    </row>
    <row r="4577">
      <c r="A4577" s="12" t="inlineStr">
        <is>
          <t>I-FA-0039</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is>
          <t>GB-4.4</t>
        </is>
      </c>
      <c r="H4577" s="12" t="inlineStr">
        <is>
          <t>GB-4.4: modular gas genset ~450 kW, 480 V (block 4)</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7" t="n">
        <v>174</v>
      </c>
      <c r="U4577" s="17" t="n">
        <v>39</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I-FA-0040</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GB-5.1</t>
        </is>
      </c>
      <c r="H4578" s="12" t="inlineStr">
        <is>
          <t>GB-5.1: modular gas genset ~450 kW, 480 V (block 5)</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7" t="n">
        <v>284</v>
      </c>
      <c r="U4578" s="17" t="n">
        <v>37</v>
      </c>
      <c r="V4578" s="17">
        <f>ROUNDUP((T4578+U4578+2*'Read Me'!$B$13)*(1+'Read Me'!$B$12),-1)</f>
        <v/>
      </c>
      <c r="W4578" s="17">
        <f>V4578*N4578*O4578</f>
        <v/>
      </c>
      <c r="X4578" s="12">
        <f>IF(LEFT(I4578,2)="MV",2*N4578*IF(L4578="1/C",O4578,1),0)</f>
        <v/>
      </c>
      <c r="Y4578" s="12">
        <f>IF(OR(LEFT(K4578,4)="LVAX",LEFT(K4578,6)="MV15AX",LEFT(K4578,4)="CTAX",LEFT(K4578,2)="W|"),2*N4578*O4578,0)</f>
        <v/>
      </c>
      <c r="Z4578" s="12" t="inlineStr"/>
      <c r="AA4578" s="12">
        <f>N4578*O4578</f>
        <v/>
      </c>
    </row>
    <row r="4579">
      <c r="A4579" s="12" t="inlineStr">
        <is>
          <t>I-FA-0041</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GB-5.2</t>
        </is>
      </c>
      <c r="H4579" s="12" t="inlineStr">
        <is>
          <t>GB-5.2: modular gas genset ~450 kW, 480 V (block 5)</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7" t="n">
        <v>282</v>
      </c>
      <c r="U4579" s="17" t="n">
        <v>32</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I-FA-0042</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GB-5.3</t>
        </is>
      </c>
      <c r="H4580" s="12" t="inlineStr">
        <is>
          <t>GB-5.3: modular gas genset ~450 kW, 480 V (block 5)</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7" t="n">
        <v>269</v>
      </c>
      <c r="U4580" s="17" t="n">
        <v>35</v>
      </c>
      <c r="V4580" s="17">
        <f>ROUNDUP((T4580+U4580+2*'Read Me'!$B$13)*(1+'Read Me'!$B$12),-1)</f>
        <v/>
      </c>
      <c r="W4580" s="17">
        <f>V4580*N4580*O4580</f>
        <v/>
      </c>
      <c r="X4580" s="12">
        <f>IF(LEFT(I4580,2)="MV",2*N4580*IF(L4580="1/C",O4580,1),0)</f>
        <v/>
      </c>
      <c r="Y4580" s="12">
        <f>IF(OR(LEFT(K4580,4)="LVAX",LEFT(K4580,6)="MV15AX",LEFT(K4580,4)="CTAX",LEFT(K4580,2)="W|"),2*N4580*O4580,0)</f>
        <v/>
      </c>
      <c r="Z4580" s="12" t="inlineStr"/>
      <c r="AA4580" s="12">
        <f>N4580*O4580</f>
        <v/>
      </c>
    </row>
    <row r="4581">
      <c r="A4581" s="12" t="inlineStr">
        <is>
          <t>I-FA-0043</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GB-5.4</t>
        </is>
      </c>
      <c r="H4581" s="12" t="inlineStr">
        <is>
          <t>GB-5.4: modular gas genset ~450 kW, 480 V (block 5)</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7" t="n">
        <v>272</v>
      </c>
      <c r="U4581" s="17" t="n">
        <v>39</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I-FA-0044</t>
        </is>
      </c>
      <c r="B4582" s="12" t="inlineStr">
        <is>
          <t>I</t>
        </is>
      </c>
      <c r="C4582" s="12" t="inlineStr">
        <is>
          <t>Modular / portable power</t>
        </is>
      </c>
      <c r="D4582" s="12" t="inlineStr">
        <is>
          <t>Fire alarm / F&amp;G loop (to the local FACP / F&amp;G node)</t>
        </is>
      </c>
      <c r="E4582" s="12" t="inlineStr">
        <is>
          <t>PAD-EH</t>
        </is>
      </c>
      <c r="F4582" s="12" t="inlineStr">
        <is>
          <t>PAD-EH 13.8 kV switchgear e-house</t>
        </is>
      </c>
      <c r="G4582" s="12" t="inlineStr">
        <is>
          <t>GB-6.1</t>
        </is>
      </c>
      <c r="H4582" s="12" t="inlineStr">
        <is>
          <t>GB-6.1: modular gas genset ~450 kW, 480 V (block 6)</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Surface</t>
        </is>
      </c>
      <c r="T4582" s="17" t="n">
        <v>330</v>
      </c>
      <c r="U4582" s="17" t="n">
        <v>37</v>
      </c>
      <c r="V4582" s="17">
        <f>ROUNDUP((T4582+U4582+2*'Read Me'!$B$13)*(1+'Read Me'!$B$12),-1)</f>
        <v/>
      </c>
      <c r="W4582" s="17">
        <f>V4582*N4582*O4582</f>
        <v/>
      </c>
      <c r="X4582" s="12">
        <f>IF(LEFT(I4582,2)="MV",2*N4582*IF(L4582="1/C",O4582,1),0)</f>
        <v/>
      </c>
      <c r="Y4582" s="12">
        <f>IF(OR(LEFT(K4582,4)="LVAX",LEFT(K4582,6)="MV15AX",LEFT(K4582,4)="CTAX",LEFT(K4582,2)="W|"),2*N4582*O4582,0)</f>
        <v/>
      </c>
      <c r="Z4582" s="12" t="inlineStr"/>
      <c r="AA4582" s="12">
        <f>N4582*O4582</f>
        <v/>
      </c>
    </row>
    <row r="4583">
      <c r="A4583" s="12" t="inlineStr">
        <is>
          <t>I-FA-0045</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is>
          <t>GB-6.2</t>
        </is>
      </c>
      <c r="H4583" s="12" t="inlineStr">
        <is>
          <t>GB-6.2: modular gas genset ~450 kW, 480 V (block 6)</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Surface</t>
        </is>
      </c>
      <c r="T4583" s="17" t="n">
        <v>328</v>
      </c>
      <c r="U4583" s="17" t="n">
        <v>32</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I-FA-0046</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GB-6.3</t>
        </is>
      </c>
      <c r="H4584" s="12" t="inlineStr">
        <is>
          <t>GB-6.3: modular gas genset ~450 kW, 480 V (block 6)</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Surface</t>
        </is>
      </c>
      <c r="T4584" s="17" t="n">
        <v>315</v>
      </c>
      <c r="U4584" s="17" t="n">
        <v>35</v>
      </c>
      <c r="V4584" s="17">
        <f>ROUNDUP((T4584+U4584+2*'Read Me'!$B$13)*(1+'Read Me'!$B$12),-1)</f>
        <v/>
      </c>
      <c r="W4584" s="17">
        <f>V4584*N4584*O4584</f>
        <v/>
      </c>
      <c r="X4584" s="12">
        <f>IF(LEFT(I4584,2)="MV",2*N4584*IF(L4584="1/C",O4584,1),0)</f>
        <v/>
      </c>
      <c r="Y4584" s="12">
        <f>IF(OR(LEFT(K4584,4)="LVAX",LEFT(K4584,6)="MV15AX",LEFT(K4584,4)="CTAX",LEFT(K4584,2)="W|"),2*N4584*O4584,0)</f>
        <v/>
      </c>
      <c r="Z4584" s="12" t="inlineStr"/>
      <c r="AA4584" s="12">
        <f>N4584*O4584</f>
        <v/>
      </c>
    </row>
    <row r="4585">
      <c r="A4585" s="12" t="inlineStr">
        <is>
          <t>I-FA-0047</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is>
          <t>GB-6.4</t>
        </is>
      </c>
      <c r="H4585" s="12" t="inlineStr">
        <is>
          <t>GB-6.4: modular gas genset ~450 kW, 480 V (block 6)</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Surface</t>
        </is>
      </c>
      <c r="T4585" s="17" t="n">
        <v>318</v>
      </c>
      <c r="U4585" s="17" t="n">
        <v>39</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I-FA-0048</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GBS-1</t>
        </is>
      </c>
      <c r="H4586" s="12" t="inlineStr">
        <is>
          <t>GBS-1: block 1 480 V paralleling switchgear (4 gensets)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Surface</t>
        </is>
      </c>
      <c r="T4586" s="17" t="n">
        <v>145</v>
      </c>
      <c r="U4586" s="17" t="n">
        <v>32</v>
      </c>
      <c r="V4586" s="17">
        <f>ROUNDUP((T4586+U4586+2*'Read Me'!$B$13)*(1+'Read Me'!$B$12),-1)</f>
        <v/>
      </c>
      <c r="W4586" s="17">
        <f>V4586*N4586*O4586</f>
        <v/>
      </c>
      <c r="X4586" s="12">
        <f>IF(LEFT(I4586,2)="MV",2*N4586*IF(L4586="1/C",O4586,1),0)</f>
        <v/>
      </c>
      <c r="Y4586" s="12">
        <f>IF(OR(LEFT(K4586,4)="LVAX",LEFT(K4586,6)="MV15AX",LEFT(K4586,4)="CTAX",LEFT(K4586,2)="W|"),2*N4586*O4586,0)</f>
        <v/>
      </c>
      <c r="Z4586" s="12" t="inlineStr"/>
      <c r="AA4586" s="12">
        <f>N4586*O4586</f>
        <v/>
      </c>
    </row>
    <row r="4587">
      <c r="A4587" s="12" t="inlineStr">
        <is>
          <t>I-FA-0049</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GBS-2</t>
        </is>
      </c>
      <c r="H4587" s="12" t="inlineStr">
        <is>
          <t>GBS-2: block 2 480 V paralleling switchgear (4 gensets)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Surface</t>
        </is>
      </c>
      <c r="T4587" s="17" t="n">
        <v>191</v>
      </c>
      <c r="U4587" s="17" t="n">
        <v>32</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I-FA-0050</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GBS-3</t>
        </is>
      </c>
      <c r="H4588" s="12" t="inlineStr">
        <is>
          <t>GBS-3: block 3 480 V paralleling switchgear (4 gensets)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Surface</t>
        </is>
      </c>
      <c r="T4588" s="17" t="n">
        <v>125</v>
      </c>
      <c r="U4588" s="17" t="n">
        <v>32</v>
      </c>
      <c r="V4588" s="17">
        <f>ROUNDUP((T4588+U4588+2*'Read Me'!$B$13)*(1+'Read Me'!$B$12),-1)</f>
        <v/>
      </c>
      <c r="W4588" s="17">
        <f>V4588*N4588*O4588</f>
        <v/>
      </c>
      <c r="X4588" s="12">
        <f>IF(LEFT(I4588,2)="MV",2*N4588*IF(L4588="1/C",O4588,1),0)</f>
        <v/>
      </c>
      <c r="Y4588" s="12">
        <f>IF(OR(LEFT(K4588,4)="LVAX",LEFT(K4588,6)="MV15AX",LEFT(K4588,4)="CTAX",LEFT(K4588,2)="W|"),2*N4588*O4588,0)</f>
        <v/>
      </c>
      <c r="Z4588" s="12" t="inlineStr"/>
      <c r="AA4588" s="12">
        <f>N4588*O4588</f>
        <v/>
      </c>
    </row>
    <row r="4589">
      <c r="A4589" s="12" t="inlineStr">
        <is>
          <t>I-FA-0051</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GBS-4</t>
        </is>
      </c>
      <c r="H4589" s="12" t="inlineStr">
        <is>
          <t>GBS-4: block 4 480 V paralleling switchgear (4 gensets)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Surface</t>
        </is>
      </c>
      <c r="T4589" s="17" t="n">
        <v>171</v>
      </c>
      <c r="U4589" s="17" t="n">
        <v>32</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I-FA-0052</t>
        </is>
      </c>
      <c r="B4590" s="12" t="inlineStr">
        <is>
          <t>I</t>
        </is>
      </c>
      <c r="C4590" s="12" t="inlineStr">
        <is>
          <t>Modular / portable power</t>
        </is>
      </c>
      <c r="D4590" s="12" t="inlineStr">
        <is>
          <t>Fire alarm / F&amp;G loop (to the local FACP / F&amp;G node)</t>
        </is>
      </c>
      <c r="E4590" s="12" t="inlineStr">
        <is>
          <t>PAD-EH</t>
        </is>
      </c>
      <c r="F4590" s="12" t="inlineStr">
        <is>
          <t>PAD-EH 13.8 kV switchgear e-house</t>
        </is>
      </c>
      <c r="G4590" s="12" t="inlineStr">
        <is>
          <t>GBS-5</t>
        </is>
      </c>
      <c r="H4590" s="12" t="inlineStr">
        <is>
          <t>GBS-5: block 5 480 V paralleling switchgear (4 gensets)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Surface</t>
        </is>
      </c>
      <c r="T4590" s="17" t="n">
        <v>269</v>
      </c>
      <c r="U4590" s="17" t="n">
        <v>32</v>
      </c>
      <c r="V4590" s="17">
        <f>ROUNDUP((T4590+U4590+2*'Read Me'!$B$13)*(1+'Read Me'!$B$12),-1)</f>
        <v/>
      </c>
      <c r="W4590" s="17">
        <f>V4590*N4590*O4590</f>
        <v/>
      </c>
      <c r="X4590" s="12">
        <f>IF(LEFT(I4590,2)="MV",2*N4590*IF(L4590="1/C",O4590,1),0)</f>
        <v/>
      </c>
      <c r="Y4590" s="12">
        <f>IF(OR(LEFT(K4590,4)="LVAX",LEFT(K4590,6)="MV15AX",LEFT(K4590,4)="CTAX",LEFT(K4590,2)="W|"),2*N4590*O4590,0)</f>
        <v/>
      </c>
      <c r="Z4590" s="12" t="inlineStr"/>
      <c r="AA4590" s="12">
        <f>N4590*O4590</f>
        <v/>
      </c>
    </row>
    <row r="4591">
      <c r="A4591" s="12" t="inlineStr">
        <is>
          <t>I-FA-0053</t>
        </is>
      </c>
      <c r="B4591" s="12" t="inlineStr">
        <is>
          <t>I</t>
        </is>
      </c>
      <c r="C4591" s="12" t="inlineStr">
        <is>
          <t>Modular / portable power</t>
        </is>
      </c>
      <c r="D4591" s="12" t="inlineStr">
        <is>
          <t>Fire alarm / F&amp;G loop (to the local FACP / F&amp;G node)</t>
        </is>
      </c>
      <c r="E4591" s="12" t="inlineStr">
        <is>
          <t>PAD-EH</t>
        </is>
      </c>
      <c r="F4591" s="12" t="inlineStr">
        <is>
          <t>PAD-EH 13.8 kV switchgear e-house</t>
        </is>
      </c>
      <c r="G4591" s="12" t="inlineStr">
        <is>
          <t>GBS-6</t>
        </is>
      </c>
      <c r="H4591" s="12" t="inlineStr">
        <is>
          <t>GBS-6: block 6 480 V paralleling switchgear (4 gensets)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Surface</t>
        </is>
      </c>
      <c r="T4591" s="17" t="n">
        <v>315</v>
      </c>
      <c r="U4591" s="17" t="n">
        <v>32</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I-FA-0054</t>
        </is>
      </c>
      <c r="B4592" s="12" t="inlineStr">
        <is>
          <t>I</t>
        </is>
      </c>
      <c r="C4592" s="12" t="inlineStr">
        <is>
          <t>Modular / portable power</t>
        </is>
      </c>
      <c r="D4592" s="12" t="inlineStr">
        <is>
          <t>Fire alarm / F&amp;G loop (to the local FACP / F&amp;G node)</t>
        </is>
      </c>
      <c r="E4592" s="12" t="inlineStr">
        <is>
          <t>PAD-EH</t>
        </is>
      </c>
      <c r="F4592" s="12" t="inlineStr">
        <is>
          <t>PAD-EH 13.8 kV switchgear e-house</t>
        </is>
      </c>
      <c r="G4592" s="12" t="inlineStr">
        <is>
          <t>GEN-E</t>
        </is>
      </c>
      <c r="H4592" s="12" t="inlineStr">
        <is>
          <t>GEN-E: enclosed industrial gas genset 2 MW</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Surface</t>
        </is>
      </c>
      <c r="T4592" s="17" t="n">
        <v>153</v>
      </c>
      <c r="U4592" s="17" t="n">
        <v>32</v>
      </c>
      <c r="V4592" s="17">
        <f>ROUNDUP((T4592+U4592+2*'Read Me'!$B$13)*(1+'Read Me'!$B$12),-1)</f>
        <v/>
      </c>
      <c r="W4592" s="17">
        <f>V4592*N4592*O4592</f>
        <v/>
      </c>
      <c r="X4592" s="12">
        <f>IF(LEFT(I4592,2)="MV",2*N4592*IF(L4592="1/C",O4592,1),0)</f>
        <v/>
      </c>
      <c r="Y4592" s="12">
        <f>IF(OR(LEFT(K4592,4)="LVAX",LEFT(K4592,6)="MV15AX",LEFT(K4592,4)="CTAX",LEFT(K4592,2)="W|"),2*N4592*O4592,0)</f>
        <v/>
      </c>
      <c r="Z4592" s="12" t="inlineStr"/>
      <c r="AA4592" s="12">
        <f>N4592*O4592</f>
        <v/>
      </c>
    </row>
    <row r="4593">
      <c r="A4593" s="12" t="inlineStr">
        <is>
          <t>I-FA-0055</t>
        </is>
      </c>
      <c r="B4593" s="12" t="inlineStr">
        <is>
          <t>I</t>
        </is>
      </c>
      <c r="C4593" s="12" t="inlineStr">
        <is>
          <t>Modular / portable power</t>
        </is>
      </c>
      <c r="D4593" s="12" t="inlineStr">
        <is>
          <t>Fire alarm / F&amp;G loop (to the local FACP / F&amp;G node)</t>
        </is>
      </c>
      <c r="E4593" s="12" t="inlineStr">
        <is>
          <t>PAD-EH</t>
        </is>
      </c>
      <c r="F4593" s="12" t="inlineStr">
        <is>
          <t>PAD-EH 13.8 kV switchgear e-house</t>
        </is>
      </c>
      <c r="G4593" s="12" t="inlineStr">
        <is>
          <t>GEN-O</t>
        </is>
      </c>
      <c r="H4593" s="12" t="inlineStr">
        <is>
          <t>GEN-O: open engine-generator skid</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Surface</t>
        </is>
      </c>
      <c r="T4593" s="17" t="n">
        <v>153</v>
      </c>
      <c r="U4593" s="17" t="n">
        <v>79</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I-FA-0056</t>
        </is>
      </c>
      <c r="B4594" s="12" t="inlineStr">
        <is>
          <t>I</t>
        </is>
      </c>
      <c r="C4594" s="12" t="inlineStr">
        <is>
          <t>Modular / portable power</t>
        </is>
      </c>
      <c r="D4594" s="12" t="inlineStr">
        <is>
          <t>Fire alarm / F&amp;G loop (to the local FACP / F&amp;G node)</t>
        </is>
      </c>
      <c r="E4594" s="12" t="inlineStr"/>
      <c r="F4594" s="12" t="inlineStr">
        <is>
          <t>PCM: power control module</t>
        </is>
      </c>
      <c r="G4594" s="12" t="inlineStr"/>
      <c r="H4594" s="12" t="inlineStr">
        <is>
          <t>Lube oil / starting air / oily water building</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Tray</t>
        </is>
      </c>
      <c r="T4594" s="17" t="n">
        <v>40</v>
      </c>
      <c r="U4594" s="17" t="n">
        <v>164</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I-FA-0057</t>
        </is>
      </c>
      <c r="B4595" s="12" t="inlineStr">
        <is>
          <t>I</t>
        </is>
      </c>
      <c r="C4595" s="12" t="inlineStr">
        <is>
          <t>Modular / portable power</t>
        </is>
      </c>
      <c r="D4595" s="12" t="inlineStr">
        <is>
          <t>Fire alarm / F&amp;G loop (to the local FACP / F&amp;G node)</t>
        </is>
      </c>
      <c r="E4595" s="12" t="inlineStr">
        <is>
          <t>PAD-EH</t>
        </is>
      </c>
      <c r="F4595" s="12" t="inlineStr">
        <is>
          <t>PAD-EH 13.8 kV switchgear e-house</t>
        </is>
      </c>
      <c r="G4595" s="12" t="inlineStr">
        <is>
          <t>MOB-1</t>
        </is>
      </c>
      <c r="H4595" s="12" t="inlineStr">
        <is>
          <t>MOB-1: trailer genset</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Surface</t>
        </is>
      </c>
      <c r="T4595" s="17" t="n">
        <v>374</v>
      </c>
      <c r="U4595" s="17" t="n">
        <v>37</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I-FA-0058</t>
        </is>
      </c>
      <c r="B4596" s="12" t="inlineStr">
        <is>
          <t>I</t>
        </is>
      </c>
      <c r="C4596" s="12" t="inlineStr">
        <is>
          <t>Modular / portable power</t>
        </is>
      </c>
      <c r="D4596" s="12" t="inlineStr">
        <is>
          <t>Fire alarm / F&amp;G loop (to the local FACP / F&amp;G node)</t>
        </is>
      </c>
      <c r="E4596" s="12" t="inlineStr"/>
      <c r="F4596" s="12" t="inlineStr">
        <is>
          <t>PCM: power control module</t>
        </is>
      </c>
      <c r="G4596" s="12" t="inlineStr">
        <is>
          <t>MOD-EH</t>
        </is>
      </c>
      <c r="H4596" s="12" t="inlineStr">
        <is>
          <t>MOD-EH: 13.8 kV modular collector e-house</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7" t="n">
        <v>355</v>
      </c>
      <c r="U4596" s="17" t="n">
        <v>32</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I-FA-0059</t>
        </is>
      </c>
      <c r="B4597" s="12" t="inlineStr">
        <is>
          <t>I</t>
        </is>
      </c>
      <c r="C4597" s="12" t="inlineStr">
        <is>
          <t>Modular / portable power</t>
        </is>
      </c>
      <c r="D4597" s="12" t="inlineStr">
        <is>
          <t>Fire alarm / F&amp;G loop (to the local FACP / F&amp;G node)</t>
        </is>
      </c>
      <c r="E4597" s="12" t="inlineStr">
        <is>
          <t>PAD-EH</t>
        </is>
      </c>
      <c r="F4597" s="12" t="inlineStr">
        <is>
          <t>PAD-EH 13.8 kV switchgear e-house</t>
        </is>
      </c>
      <c r="G4597" s="12" t="inlineStr">
        <is>
          <t>MT-4</t>
        </is>
      </c>
      <c r="H4597" s="12" t="inlineStr">
        <is>
          <t>MT-4: microturbine 1 MW (Capstone C1000 class)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Surface</t>
        </is>
      </c>
      <c r="T4597" s="17" t="n">
        <v>198</v>
      </c>
      <c r="U4597" s="17" t="n">
        <v>47</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I-FA-0060</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MT-5</t>
        </is>
      </c>
      <c r="H4598" s="12" t="inlineStr">
        <is>
          <t>MT-5: microturbine 1 MW (Capstone C1000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Surface</t>
        </is>
      </c>
      <c r="T4598" s="17" t="n">
        <v>198</v>
      </c>
      <c r="U4598" s="17" t="n">
        <v>37</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I-FA-0061</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MT-6</t>
        </is>
      </c>
      <c r="H4599" s="12" t="inlineStr">
        <is>
          <t>MT-6: microturbine 1 MW (Capstone C1000 class)</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Surface</t>
        </is>
      </c>
      <c r="T4599" s="17" t="n">
        <v>67</v>
      </c>
      <c r="U4599" s="17" t="n">
        <v>90</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I-FA-0062</t>
        </is>
      </c>
      <c r="B4600" s="12" t="inlineStr">
        <is>
          <t>I</t>
        </is>
      </c>
      <c r="C4600" s="12" t="inlineStr">
        <is>
          <t>Modular / portable power</t>
        </is>
      </c>
      <c r="D4600" s="12" t="inlineStr">
        <is>
          <t>Fire alarm / F&amp;G loop (to the local FACP / F&amp;G node)</t>
        </is>
      </c>
      <c r="E4600" s="12" t="inlineStr"/>
      <c r="F4600" s="12" t="inlineStr">
        <is>
          <t>PCM: power control module</t>
        </is>
      </c>
      <c r="G4600" s="12" t="inlineStr"/>
      <c r="H4600" s="12" t="inlineStr">
        <is>
          <t>PCM: power control module</t>
        </is>
      </c>
      <c r="I4600" s="12" t="inlineStr">
        <is>
          <t>Fire alarm</t>
        </is>
      </c>
      <c r="J4600" s="12" t="inlineStr">
        <is>
          <t>Fire alarm FPLR 2/C #14 shielded, red jacket (NEC 760)</t>
        </is>
      </c>
      <c r="K4600" s="12" t="inlineStr">
        <is>
          <t>FA|2/C|14</t>
        </is>
      </c>
      <c r="L4600" s="12" t="inlineStr">
        <is>
          <t>2/C</t>
        </is>
      </c>
      <c r="M4600" s="12" t="inlineStr">
        <is>
          <t>14</t>
        </is>
      </c>
      <c r="N4600" s="12" t="n">
        <v>1</v>
      </c>
      <c r="O4600" s="12" t="n">
        <v>1</v>
      </c>
      <c r="P4600" s="12" t="n"/>
      <c r="Q4600" s="12" t="n"/>
      <c r="R4600" s="12" t="n"/>
      <c r="S4600" s="12" t="inlineStr">
        <is>
          <t>Tray</t>
        </is>
      </c>
      <c r="T4600" s="17" t="n">
        <v>0</v>
      </c>
      <c r="U4600" s="17" t="n">
        <v>32</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I-FA-0063</t>
        </is>
      </c>
      <c r="B4601" s="12" t="inlineStr">
        <is>
          <t>I</t>
        </is>
      </c>
      <c r="C4601" s="12" t="inlineStr">
        <is>
          <t>Modular / portable power</t>
        </is>
      </c>
      <c r="D4601" s="12" t="inlineStr">
        <is>
          <t>Fire alarm / F&amp;G loop (to the local FACP / F&amp;G node)</t>
        </is>
      </c>
      <c r="E4601" s="12" t="inlineStr"/>
      <c r="F4601" s="12" t="inlineStr">
        <is>
          <t>PCM: power control module</t>
        </is>
      </c>
      <c r="G4601" s="12" t="inlineStr"/>
      <c r="H4601" s="12" t="inlineStr">
        <is>
          <t>RICE CEMS</t>
        </is>
      </c>
      <c r="I4601" s="12" t="inlineStr">
        <is>
          <t>Fire alarm</t>
        </is>
      </c>
      <c r="J4601" s="12" t="inlineStr">
        <is>
          <t>Fire alarm FPLR 2/C #14 shielded, red jacket (NEC 760)</t>
        </is>
      </c>
      <c r="K4601" s="12" t="inlineStr">
        <is>
          <t>FA|2/C|14</t>
        </is>
      </c>
      <c r="L4601" s="12" t="inlineStr">
        <is>
          <t>2/C</t>
        </is>
      </c>
      <c r="M4601" s="12" t="inlineStr">
        <is>
          <t>14</t>
        </is>
      </c>
      <c r="N4601" s="12" t="n">
        <v>1</v>
      </c>
      <c r="O4601" s="12" t="n">
        <v>1</v>
      </c>
      <c r="P4601" s="12" t="n"/>
      <c r="Q4601" s="12" t="n"/>
      <c r="R4601" s="12" t="n"/>
      <c r="S4601" s="12" t="inlineStr">
        <is>
          <t>Duct bank</t>
        </is>
      </c>
      <c r="T4601" s="17" t="n">
        <v>260</v>
      </c>
      <c r="U4601" s="17" t="n">
        <v>131</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I-FA-0064</t>
        </is>
      </c>
      <c r="B4602" s="12" t="inlineStr">
        <is>
          <t>I</t>
        </is>
      </c>
      <c r="C4602" s="12" t="inlineStr">
        <is>
          <t>Modular / portable power</t>
        </is>
      </c>
      <c r="D4602" s="12" t="inlineStr">
        <is>
          <t>Fire alarm / F&amp;G loop (to the local FACP / F&amp;G node)</t>
        </is>
      </c>
      <c r="E4602" s="12" t="inlineStr"/>
      <c r="F4602" s="12" t="inlineStr">
        <is>
          <t>PCM: power control module</t>
        </is>
      </c>
      <c r="G4602" s="12" t="inlineStr">
        <is>
          <t>RICE</t>
        </is>
      </c>
      <c r="H4602" s="12" t="inlineStr">
        <is>
          <t>RICE engine hall (8 engines)</t>
        </is>
      </c>
      <c r="I4602" s="12" t="inlineStr">
        <is>
          <t>Fire alarm</t>
        </is>
      </c>
      <c r="J4602" s="12" t="inlineStr">
        <is>
          <t>Fire alarm FPLR 2/C #14 shielded, red jacket (NEC 760)</t>
        </is>
      </c>
      <c r="K4602" s="12" t="inlineStr">
        <is>
          <t>FA|2/C|14</t>
        </is>
      </c>
      <c r="L4602" s="12" t="inlineStr">
        <is>
          <t>2/C</t>
        </is>
      </c>
      <c r="M4602" s="12" t="inlineStr">
        <is>
          <t>14</t>
        </is>
      </c>
      <c r="N4602" s="12" t="n">
        <v>1</v>
      </c>
      <c r="O4602" s="12" t="n">
        <v>1</v>
      </c>
      <c r="P4602" s="12" t="n"/>
      <c r="Q4602" s="12" t="n"/>
      <c r="R4602" s="12" t="n"/>
      <c r="S4602" s="12" t="inlineStr">
        <is>
          <t>Duct bank</t>
        </is>
      </c>
      <c r="T4602" s="17" t="n">
        <v>367</v>
      </c>
      <c r="U4602" s="17" t="n">
        <v>95</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I-FA-0065</t>
        </is>
      </c>
      <c r="B4603" s="12" t="inlineStr">
        <is>
          <t>I</t>
        </is>
      </c>
      <c r="C4603" s="12" t="inlineStr">
        <is>
          <t>Modular / portable power</t>
        </is>
      </c>
      <c r="D4603" s="12" t="inlineStr">
        <is>
          <t>SC-1 CEMS shelter fire alarm loop</t>
        </is>
      </c>
      <c r="E4603" s="12" t="inlineStr"/>
      <c r="F4603" s="12" t="inlineStr">
        <is>
          <t>SC-1 PCM + 15 kV GCB</t>
        </is>
      </c>
      <c r="G4603" s="12" t="inlineStr"/>
      <c r="H4603" s="12" t="inlineStr">
        <is>
          <t>SC-1 CEMS shelter</t>
        </is>
      </c>
      <c r="I4603" s="12" t="inlineStr">
        <is>
          <t>Fire alarm</t>
        </is>
      </c>
      <c r="J4603" s="12" t="inlineStr">
        <is>
          <t>Fire alarm FPLR 2/C #14 shielded, red jacket (NEC 760)</t>
        </is>
      </c>
      <c r="K4603" s="12" t="inlineStr">
        <is>
          <t>FA|2/C|14</t>
        </is>
      </c>
      <c r="L4603" s="12" t="inlineStr">
        <is>
          <t>2/C</t>
        </is>
      </c>
      <c r="M4603" s="12" t="inlineStr">
        <is>
          <t>14</t>
        </is>
      </c>
      <c r="N4603" s="12" t="n">
        <v>1</v>
      </c>
      <c r="O4603" s="12" t="n">
        <v>1</v>
      </c>
      <c r="P4603" s="12" t="n"/>
      <c r="Q4603" s="12" t="n"/>
      <c r="R4603" s="12" t="n"/>
      <c r="S4603" s="12" t="inlineStr">
        <is>
          <t>Tray</t>
        </is>
      </c>
      <c r="T4603" s="17" t="n">
        <v>0</v>
      </c>
      <c r="U4603" s="17" t="n">
        <v>229</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I-FA-0066</t>
        </is>
      </c>
      <c r="B4604" s="12" t="inlineStr">
        <is>
          <t>I</t>
        </is>
      </c>
      <c r="C4604" s="12" t="inlineStr">
        <is>
          <t>Modular / portable power</t>
        </is>
      </c>
      <c r="D4604" s="12" t="inlineStr">
        <is>
          <t>SC-1 PCM fire alarm / F&amp;G node to the plant FACP</t>
        </is>
      </c>
      <c r="E4604" s="12" t="inlineStr">
        <is>
          <t>CR</t>
        </is>
      </c>
      <c r="F4604" s="12" t="inlineStr">
        <is>
          <t>Control / admin building (main control room)</t>
        </is>
      </c>
      <c r="G4604" s="12" t="inlineStr"/>
      <c r="H4604" s="12" t="inlineStr">
        <is>
          <t>SC-1 PCM + 15 kV GCB</t>
        </is>
      </c>
      <c r="I4604" s="12" t="inlineStr">
        <is>
          <t>Fire alarm</t>
        </is>
      </c>
      <c r="J4604" s="12" t="inlineStr">
        <is>
          <t>Fire alarm FPLR 2/C #14 shielded, red jacket (NEC 760)</t>
        </is>
      </c>
      <c r="K4604" s="12" t="inlineStr">
        <is>
          <t>FA|2/C|14</t>
        </is>
      </c>
      <c r="L4604" s="12" t="inlineStr">
        <is>
          <t>2/C</t>
        </is>
      </c>
      <c r="M4604" s="12" t="inlineStr">
        <is>
          <t>14</t>
        </is>
      </c>
      <c r="N4604" s="12" t="n">
        <v>1</v>
      </c>
      <c r="O4604" s="12" t="n">
        <v>1</v>
      </c>
      <c r="P4604" s="12" t="n"/>
      <c r="Q4604" s="12" t="n"/>
      <c r="R4604" s="12" t="n"/>
      <c r="S4604" s="12" t="inlineStr">
        <is>
          <t>Duct bank</t>
        </is>
      </c>
      <c r="T4604" s="17" t="n">
        <v>4738</v>
      </c>
      <c r="U4604" s="17" t="n">
        <v>36</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I-FA-0067</t>
        </is>
      </c>
      <c r="B4605" s="12" t="inlineStr">
        <is>
          <t>I</t>
        </is>
      </c>
      <c r="C4605" s="12" t="inlineStr">
        <is>
          <t>Modular / portable power</t>
        </is>
      </c>
      <c r="D4605" s="12" t="inlineStr">
        <is>
          <t>Fire alarm / F&amp;G loop (to the local FACP / F&amp;G node)</t>
        </is>
      </c>
      <c r="E4605" s="12" t="inlineStr"/>
      <c r="F4605" s="12" t="inlineStr">
        <is>
          <t>SC-1 PCM + 15 kV GCB</t>
        </is>
      </c>
      <c r="G4605" s="12" t="inlineStr">
        <is>
          <t>SC-1</t>
        </is>
      </c>
      <c r="H4605" s="12" t="inlineStr">
        <is>
          <t>SC-1: aeroderivative simple-cycle unit (LM6000 class)</t>
        </is>
      </c>
      <c r="I4605" s="12" t="inlineStr">
        <is>
          <t>Fire alarm</t>
        </is>
      </c>
      <c r="J4605" s="12" t="inlineStr">
        <is>
          <t>Fire alarm FPLR 2/C #14 shielded, red jacket (NEC 760)</t>
        </is>
      </c>
      <c r="K4605" s="12" t="inlineStr">
        <is>
          <t>FA|2/C|14</t>
        </is>
      </c>
      <c r="L4605" s="12" t="inlineStr">
        <is>
          <t>2/C</t>
        </is>
      </c>
      <c r="M4605" s="12" t="inlineStr">
        <is>
          <t>14</t>
        </is>
      </c>
      <c r="N4605" s="12" t="n">
        <v>1</v>
      </c>
      <c r="O4605" s="12" t="n">
        <v>1</v>
      </c>
      <c r="P4605" s="12" t="n"/>
      <c r="Q4605" s="12" t="n"/>
      <c r="R4605" s="12" t="n"/>
      <c r="S4605" s="12" t="inlineStr">
        <is>
          <t>Tray</t>
        </is>
      </c>
      <c r="T4605" s="17" t="n">
        <v>0</v>
      </c>
      <c r="U4605" s="17" t="n">
        <v>64</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I-FA-0068</t>
        </is>
      </c>
      <c r="B4606" s="12" t="inlineStr">
        <is>
          <t>I</t>
        </is>
      </c>
      <c r="C4606" s="12" t="inlineStr">
        <is>
          <t>Modular / portable power</t>
        </is>
      </c>
      <c r="D4606" s="12" t="inlineStr">
        <is>
          <t>SC-2 CEMS shelter fire alarm loop</t>
        </is>
      </c>
      <c r="E4606" s="12" t="inlineStr"/>
      <c r="F4606" s="12" t="inlineStr">
        <is>
          <t>SC-2 PCM + 15 kV GCB</t>
        </is>
      </c>
      <c r="G4606" s="12" t="inlineStr"/>
      <c r="H4606" s="12" t="inlineStr">
        <is>
          <t>SC-2 CEMS shelter</t>
        </is>
      </c>
      <c r="I4606" s="12" t="inlineStr">
        <is>
          <t>Fire alarm</t>
        </is>
      </c>
      <c r="J4606" s="12" t="inlineStr">
        <is>
          <t>Fire alarm FPLR 2/C #14 shielded, red jacket (NEC 760)</t>
        </is>
      </c>
      <c r="K4606" s="12" t="inlineStr">
        <is>
          <t>FA|2/C|14</t>
        </is>
      </c>
      <c r="L4606" s="12" t="inlineStr">
        <is>
          <t>2/C</t>
        </is>
      </c>
      <c r="M4606" s="12" t="inlineStr">
        <is>
          <t>14</t>
        </is>
      </c>
      <c r="N4606" s="12" t="n">
        <v>1</v>
      </c>
      <c r="O4606" s="12" t="n">
        <v>1</v>
      </c>
      <c r="P4606" s="12" t="n"/>
      <c r="Q4606" s="12" t="n"/>
      <c r="R4606" s="12" t="n"/>
      <c r="S4606" s="12" t="inlineStr">
        <is>
          <t>Duct bank</t>
        </is>
      </c>
      <c r="T4606" s="17" t="n">
        <v>25</v>
      </c>
      <c r="U4606" s="17" t="n">
        <v>197</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I-FA-0069</t>
        </is>
      </c>
      <c r="B4607" s="12" t="inlineStr">
        <is>
          <t>I</t>
        </is>
      </c>
      <c r="C4607" s="12" t="inlineStr">
        <is>
          <t>Modular / portable power</t>
        </is>
      </c>
      <c r="D4607" s="12" t="inlineStr">
        <is>
          <t>SC-2 PCM fire alarm / F&amp;G node to the plant FACP</t>
        </is>
      </c>
      <c r="E4607" s="12" t="inlineStr">
        <is>
          <t>CR</t>
        </is>
      </c>
      <c r="F4607" s="12" t="inlineStr">
        <is>
          <t>Control / admin building (main control room)</t>
        </is>
      </c>
      <c r="G4607" s="12" t="inlineStr"/>
      <c r="H4607" s="12" t="inlineStr">
        <is>
          <t>SC-2 PCM + 15 kV GCB</t>
        </is>
      </c>
      <c r="I4607" s="12" t="inlineStr">
        <is>
          <t>Fire alarm</t>
        </is>
      </c>
      <c r="J4607" s="12" t="inlineStr">
        <is>
          <t>Fire alarm FPLR 2/C #14 shielded, red jacket (NEC 760)</t>
        </is>
      </c>
      <c r="K4607" s="12" t="inlineStr">
        <is>
          <t>FA|2/C|14</t>
        </is>
      </c>
      <c r="L4607" s="12" t="inlineStr">
        <is>
          <t>2/C</t>
        </is>
      </c>
      <c r="M4607" s="12" t="inlineStr">
        <is>
          <t>14</t>
        </is>
      </c>
      <c r="N4607" s="12" t="n">
        <v>1</v>
      </c>
      <c r="O4607" s="12" t="n">
        <v>1</v>
      </c>
      <c r="P4607" s="12" t="n"/>
      <c r="Q4607" s="12" t="n"/>
      <c r="R4607" s="12" t="n"/>
      <c r="S4607" s="12" t="inlineStr">
        <is>
          <t>Trench</t>
        </is>
      </c>
      <c r="T4607" s="17" t="n">
        <v>4547</v>
      </c>
      <c r="U4607" s="17" t="n">
        <v>90</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I-FA-0070</t>
        </is>
      </c>
      <c r="B4608" s="12" t="inlineStr">
        <is>
          <t>I</t>
        </is>
      </c>
      <c r="C4608" s="12" t="inlineStr">
        <is>
          <t>Modular / portable power</t>
        </is>
      </c>
      <c r="D4608" s="12" t="inlineStr">
        <is>
          <t>Fire alarm / F&amp;G loop (to the local FACP / F&amp;G node)</t>
        </is>
      </c>
      <c r="E4608" s="12" t="inlineStr"/>
      <c r="F4608" s="12" t="inlineStr">
        <is>
          <t>SC-2 PCM + 15 kV GCB</t>
        </is>
      </c>
      <c r="G4608" s="12" t="inlineStr">
        <is>
          <t>SC-2</t>
        </is>
      </c>
      <c r="H4608" s="12" t="inlineStr">
        <is>
          <t>SC-2: aeroderivative simple-cycle unit (LM6000 class)</t>
        </is>
      </c>
      <c r="I4608" s="12" t="inlineStr">
        <is>
          <t>Fire alarm</t>
        </is>
      </c>
      <c r="J4608" s="12" t="inlineStr">
        <is>
          <t>Fire alarm FPLR 2/C #14 shielded, red jacket (NEC 760)</t>
        </is>
      </c>
      <c r="K4608" s="12" t="inlineStr">
        <is>
          <t>FA|2/C|14</t>
        </is>
      </c>
      <c r="L4608" s="12" t="inlineStr">
        <is>
          <t>2/C</t>
        </is>
      </c>
      <c r="M4608" s="12" t="inlineStr">
        <is>
          <t>14</t>
        </is>
      </c>
      <c r="N4608" s="12" t="n">
        <v>1</v>
      </c>
      <c r="O4608" s="12" t="n">
        <v>1</v>
      </c>
      <c r="P4608" s="12" t="n"/>
      <c r="Q4608" s="12" t="n"/>
      <c r="R4608" s="12" t="n"/>
      <c r="S4608" s="12" t="inlineStr">
        <is>
          <t>Duct bank</t>
        </is>
      </c>
      <c r="T4608" s="17" t="n">
        <v>25</v>
      </c>
      <c r="U4608" s="17" t="n">
        <v>32</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I-FA-0071</t>
        </is>
      </c>
      <c r="B4609" s="12" t="inlineStr">
        <is>
          <t>I</t>
        </is>
      </c>
      <c r="C4609" s="12" t="inlineStr">
        <is>
          <t>Modular / portable power</t>
        </is>
      </c>
      <c r="D4609" s="12" t="inlineStr">
        <is>
          <t>Fire alarm / F&amp;G loop (to the local FACP / F&amp;G node)</t>
        </is>
      </c>
      <c r="E4609" s="12" t="inlineStr">
        <is>
          <t>PAD-EH</t>
        </is>
      </c>
      <c r="F4609" s="12" t="inlineStr">
        <is>
          <t>PAD-EH 13.8 kV switchgear e-house</t>
        </is>
      </c>
      <c r="G4609" s="12" t="inlineStr">
        <is>
          <t>TM-1</t>
        </is>
      </c>
      <c r="H4609" s="12" t="inlineStr">
        <is>
          <t>TM-1: trailer-mounted aeroderivative GT (TM2500 class, ~35 MW)</t>
        </is>
      </c>
      <c r="I4609" s="12" t="inlineStr">
        <is>
          <t>Fire alarm</t>
        </is>
      </c>
      <c r="J4609" s="12" t="inlineStr">
        <is>
          <t>Fire alarm FPLR 2/C #14 shielded, red jacket (NEC 760)</t>
        </is>
      </c>
      <c r="K4609" s="12" t="inlineStr">
        <is>
          <t>FA|2/C|14</t>
        </is>
      </c>
      <c r="L4609" s="12" t="inlineStr">
        <is>
          <t>2/C</t>
        </is>
      </c>
      <c r="M4609" s="12" t="inlineStr">
        <is>
          <t>14</t>
        </is>
      </c>
      <c r="N4609" s="12" t="n">
        <v>1</v>
      </c>
      <c r="O4609" s="12" t="n">
        <v>1</v>
      </c>
      <c r="P4609" s="12" t="n"/>
      <c r="Q4609" s="12" t="n"/>
      <c r="R4609" s="12" t="n"/>
      <c r="S4609" s="12" t="inlineStr">
        <is>
          <t>Surface</t>
        </is>
      </c>
      <c r="T4609" s="17" t="n">
        <v>370</v>
      </c>
      <c r="U4609" s="17" t="n">
        <v>50</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I-FA-0072</t>
        </is>
      </c>
      <c r="B4610" s="12" t="inlineStr">
        <is>
          <t>I</t>
        </is>
      </c>
      <c r="C4610" s="12" t="inlineStr">
        <is>
          <t>Modular / portable power</t>
        </is>
      </c>
      <c r="D4610" s="12" t="inlineStr">
        <is>
          <t>Fire alarm / F&amp;G loop (to the local FACP / F&amp;G node)</t>
        </is>
      </c>
      <c r="E4610" s="12" t="inlineStr">
        <is>
          <t>PAD-EH</t>
        </is>
      </c>
      <c r="F4610" s="12" t="inlineStr">
        <is>
          <t>PAD-EH 13.8 kV switchgear e-house</t>
        </is>
      </c>
      <c r="G4610" s="12" t="inlineStr">
        <is>
          <t>TM-2</t>
        </is>
      </c>
      <c r="H4610" s="12" t="inlineStr">
        <is>
          <t>TM-2: trailer-mounted aeroderivative GT (TM2500 class, ~35 MW)</t>
        </is>
      </c>
      <c r="I4610" s="12" t="inlineStr">
        <is>
          <t>Fire alarm</t>
        </is>
      </c>
      <c r="J4610" s="12" t="inlineStr">
        <is>
          <t>Fire alarm FPLR 2/C #14 shielded, red jacket (NEC 760)</t>
        </is>
      </c>
      <c r="K4610" s="12" t="inlineStr">
        <is>
          <t>FA|2/C|14</t>
        </is>
      </c>
      <c r="L4610" s="12" t="inlineStr">
        <is>
          <t>2/C</t>
        </is>
      </c>
      <c r="M4610" s="12" t="inlineStr">
        <is>
          <t>14</t>
        </is>
      </c>
      <c r="N4610" s="12" t="n">
        <v>1</v>
      </c>
      <c r="O4610" s="12" t="n">
        <v>1</v>
      </c>
      <c r="P4610" s="12" t="n"/>
      <c r="Q4610" s="12" t="n"/>
      <c r="R4610" s="12" t="n"/>
      <c r="S4610" s="12" t="inlineStr">
        <is>
          <t>Surface</t>
        </is>
      </c>
      <c r="T4610" s="17" t="n">
        <v>370</v>
      </c>
      <c r="U4610" s="17" t="n">
        <v>56</v>
      </c>
      <c r="V4610" s="17">
        <f>ROUNDUP((T4610+U4610+2*'Read Me'!$B$13)*(1+'Read Me'!$B$12),-1)</f>
        <v/>
      </c>
      <c r="W4610" s="17">
        <f>V4610*N4610*O4610</f>
        <v/>
      </c>
      <c r="X4610" s="12">
        <f>IF(LEFT(I4610,2)="MV",2*N4610*IF(L4610="1/C",O4610,1),0)</f>
        <v/>
      </c>
      <c r="Y4610" s="12">
        <f>IF(OR(LEFT(K4610,4)="LVAX",LEFT(K4610,6)="MV15AX",LEFT(K4610,4)="CTAX",LEFT(K4610,2)="W|"),2*N4610*O4610,0)</f>
        <v/>
      </c>
      <c r="Z4610" s="12" t="inlineStr"/>
      <c r="AA4610" s="12">
        <f>N4610*O4610</f>
        <v/>
      </c>
    </row>
    <row r="4611">
      <c r="A4611" s="12" t="inlineStr">
        <is>
          <t>I-I-0001</t>
        </is>
      </c>
      <c r="B4611" s="12" t="inlineStr">
        <is>
          <t>I</t>
        </is>
      </c>
      <c r="C4611" s="12" t="inlineStr">
        <is>
          <t>Modular / portable power</t>
        </is>
      </c>
      <c r="D4611" s="12" t="inlineStr">
        <is>
          <t>Analog instrument to JB JB-Aqueous ammonia (S-AI01: 6 x 1 pr (field cables)</t>
        </is>
      </c>
      <c r="E4611" s="12" t="inlineStr"/>
      <c r="F4611" s="12" t="inlineStr">
        <is>
          <t>Aqueous ammonia (SC units)</t>
        </is>
      </c>
      <c r="G4611" s="12" t="inlineStr">
        <is>
          <t>JB-Aqueous ammonia (S-AI01</t>
        </is>
      </c>
      <c r="H4611" s="12" t="inlineStr">
        <is>
          <t>Aqueous ammonia (SC units)</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6</v>
      </c>
      <c r="O4611" s="12" t="n">
        <v>1</v>
      </c>
      <c r="P4611" s="12" t="n"/>
      <c r="Q4611" s="12" t="n"/>
      <c r="R4611" s="12" t="n"/>
      <c r="S4611" s="12" t="inlineStr">
        <is>
          <t>Tray / conduit</t>
        </is>
      </c>
      <c r="T4611" s="17" t="n">
        <v>55</v>
      </c>
      <c r="U4611" s="17" t="n">
        <v>10</v>
      </c>
      <c r="V4611" s="17">
        <f>ROUNDUP((T4611+U4611+2*'Read Me'!$B$13)*(1+'Read Me'!$B$12),-1)</f>
        <v/>
      </c>
      <c r="W4611" s="17">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I-I-0002</t>
        </is>
      </c>
      <c r="B4612" s="12" t="inlineStr">
        <is>
          <t>I</t>
        </is>
      </c>
      <c r="C4612" s="12" t="inlineStr">
        <is>
          <t>Modular / portable power</t>
        </is>
      </c>
      <c r="D4612" s="12" t="inlineStr">
        <is>
          <t>Home run JB-Aqueous ammonia (S-AI01 to the control / marshalling room</t>
        </is>
      </c>
      <c r="E4612" s="12" t="inlineStr"/>
      <c r="F4612" s="12" t="inlineStr">
        <is>
          <t>SC-2 PCM + 15 kV GCB</t>
        </is>
      </c>
      <c r="G4612" s="12" t="inlineStr">
        <is>
          <t>JB-Aqueous ammonia (S-AI01</t>
        </is>
      </c>
      <c r="H4612" s="12" t="inlineStr">
        <is>
          <t>Aqueous ammonia (SC units)</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Tray</t>
        </is>
      </c>
      <c r="T4612" s="17" t="n">
        <v>0</v>
      </c>
      <c r="U4612" s="17" t="n">
        <v>98</v>
      </c>
      <c r="V4612" s="17">
        <f>ROUNDUP((T4612+U4612+2*'Read Me'!$B$13)*(1+'Read Me'!$B$12),-1)</f>
        <v/>
      </c>
      <c r="W4612" s="17">
        <f>V4612*N4612*O4612</f>
        <v/>
      </c>
      <c r="X4612" s="12">
        <f>IF(LEFT(I4612,2)="MV",2*N4612*IF(L4612="1/C",O4612,1),0)</f>
        <v/>
      </c>
      <c r="Y4612" s="12">
        <f>IF(OR(LEFT(K4612,4)="LVAX",LEFT(K4612,6)="MV15AX",LEFT(K4612,4)="CTAX",LEFT(K4612,2)="W|"),2*N4612*O4612,0)</f>
        <v/>
      </c>
      <c r="Z4612" s="12" t="inlineStr"/>
      <c r="AA4612" s="12">
        <f>N4612*O4612</f>
        <v/>
      </c>
    </row>
    <row r="4613">
      <c r="A4613" s="12" t="inlineStr">
        <is>
          <t>I-I-0003</t>
        </is>
      </c>
      <c r="B4613" s="12" t="inlineStr">
        <is>
          <t>I</t>
        </is>
      </c>
      <c r="C4613" s="12" t="inlineStr">
        <is>
          <t>Modular / portable power</t>
        </is>
      </c>
      <c r="D4613" s="12" t="inlineStr">
        <is>
          <t>Discrete device to JB JB-Aqueous ammonia (S-DI01: 6 x 1 pr (field cables)</t>
        </is>
      </c>
      <c r="E4613" s="12" t="inlineStr"/>
      <c r="F4613" s="12" t="inlineStr">
        <is>
          <t>Aqueous ammonia (SC units)</t>
        </is>
      </c>
      <c r="G4613" s="12" t="inlineStr">
        <is>
          <t>JB-Aqueous ammonia (S-DI01</t>
        </is>
      </c>
      <c r="H4613" s="12" t="inlineStr">
        <is>
          <t>Aqueous ammonia (SC units)</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6</v>
      </c>
      <c r="O4613" s="12" t="n">
        <v>1</v>
      </c>
      <c r="P4613" s="12" t="n"/>
      <c r="Q4613" s="12" t="n"/>
      <c r="R4613" s="12" t="n"/>
      <c r="S4613" s="12" t="inlineStr">
        <is>
          <t>Tray / conduit</t>
        </is>
      </c>
      <c r="T4613" s="17" t="n">
        <v>55</v>
      </c>
      <c r="U4613" s="17" t="n">
        <v>10</v>
      </c>
      <c r="V4613" s="17">
        <f>ROUNDUP((T4613+U4613+2*'Read Me'!$B$13)*(1+'Read Me'!$B$12),-1)</f>
        <v/>
      </c>
      <c r="W4613" s="17">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I-I-0004</t>
        </is>
      </c>
      <c r="B4614" s="12" t="inlineStr">
        <is>
          <t>I</t>
        </is>
      </c>
      <c r="C4614" s="12" t="inlineStr">
        <is>
          <t>Modular / portable power</t>
        </is>
      </c>
      <c r="D4614" s="12" t="inlineStr">
        <is>
          <t>Home run JB-Aqueous ammonia (S-DI01 to the control / marshalling room</t>
        </is>
      </c>
      <c r="E4614" s="12" t="inlineStr"/>
      <c r="F4614" s="12" t="inlineStr">
        <is>
          <t>SC-2 PCM + 15 kV GCB</t>
        </is>
      </c>
      <c r="G4614" s="12" t="inlineStr">
        <is>
          <t>JB-Aqueous ammonia (S-DI01</t>
        </is>
      </c>
      <c r="H4614" s="12" t="inlineStr">
        <is>
          <t>Aqueous ammonia (SC units)</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Tray</t>
        </is>
      </c>
      <c r="T4614" s="17" t="n">
        <v>0</v>
      </c>
      <c r="U4614" s="17" t="n">
        <v>98</v>
      </c>
      <c r="V4614" s="17">
        <f>ROUNDUP((T4614+U4614+2*'Read Me'!$B$13)*(1+'Read Me'!$B$12),-1)</f>
        <v/>
      </c>
      <c r="W4614" s="17">
        <f>V4614*N4614*O4614</f>
        <v/>
      </c>
      <c r="X4614" s="12">
        <f>IF(LEFT(I4614,2)="MV",2*N4614*IF(L4614="1/C",O4614,1),0)</f>
        <v/>
      </c>
      <c r="Y4614" s="12">
        <f>IF(OR(LEFT(K4614,4)="LVAX",LEFT(K4614,6)="MV15AX",LEFT(K4614,4)="CTAX",LEFT(K4614,2)="W|"),2*N4614*O4614,0)</f>
        <v/>
      </c>
      <c r="Z4614" s="12" t="inlineStr"/>
      <c r="AA4614" s="12">
        <f>N4614*O4614</f>
        <v/>
      </c>
    </row>
    <row r="4615">
      <c r="A4615" s="12" t="inlineStr">
        <is>
          <t>I-I-0005</t>
        </is>
      </c>
      <c r="B4615" s="12" t="inlineStr">
        <is>
          <t>I</t>
        </is>
      </c>
      <c r="C4615" s="12" t="inlineStr">
        <is>
          <t>Modular / portable power</t>
        </is>
      </c>
      <c r="D4615" s="12" t="inlineStr">
        <is>
          <t>Analog instrument to JB JB-Black-start genset-AI01: 20 x 1 pr (field cables)</t>
        </is>
      </c>
      <c r="E4615" s="12" t="inlineStr"/>
      <c r="F4615" s="12" t="inlineStr">
        <is>
          <t>Black-start genset (proposed; requires study)</t>
        </is>
      </c>
      <c r="G4615" s="12" t="inlineStr">
        <is>
          <t>JB-Black-start genset-AI01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7" t="n">
        <v>59</v>
      </c>
      <c r="U4615" s="17" t="n">
        <v>10</v>
      </c>
      <c r="V4615" s="17">
        <f>ROUNDUP((T4615+U4615+2*'Read Me'!$B$13)*(1+'Read Me'!$B$12),-1)</f>
        <v/>
      </c>
      <c r="W4615" s="17">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I-I-0006</t>
        </is>
      </c>
      <c r="B4616" s="12" t="inlineStr">
        <is>
          <t>I</t>
        </is>
      </c>
      <c r="C4616" s="12" t="inlineStr">
        <is>
          <t>Modular / portable power</t>
        </is>
      </c>
      <c r="D4616" s="12" t="inlineStr">
        <is>
          <t>Home run JB-Black-start genset-AI01 to the control / marshalling room</t>
        </is>
      </c>
      <c r="E4616" s="12" t="inlineStr"/>
      <c r="F4616" s="12" t="inlineStr">
        <is>
          <t>PCM: power control module</t>
        </is>
      </c>
      <c r="G4616" s="12" t="inlineStr">
        <is>
          <t>JB-Black-start genset-AI01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7" t="n">
        <v>624</v>
      </c>
      <c r="U4616" s="17" t="n">
        <v>32</v>
      </c>
      <c r="V4616" s="17">
        <f>ROUNDUP((T4616+U4616+2*'Read Me'!$B$13)*(1+'Read Me'!$B$12),-1)</f>
        <v/>
      </c>
      <c r="W4616" s="17">
        <f>V4616*N4616*O4616</f>
        <v/>
      </c>
      <c r="X4616" s="12">
        <f>IF(LEFT(I4616,2)="MV",2*N4616*IF(L4616="1/C",O4616,1),0)</f>
        <v/>
      </c>
      <c r="Y4616" s="12">
        <f>IF(OR(LEFT(K4616,4)="LVAX",LEFT(K4616,6)="MV15AX",LEFT(K4616,4)="CTAX",LEFT(K4616,2)="W|"),2*N4616*O4616,0)</f>
        <v/>
      </c>
      <c r="Z4616" s="12" t="inlineStr"/>
      <c r="AA4616" s="12">
        <f>N4616*O4616</f>
        <v/>
      </c>
    </row>
    <row r="4617">
      <c r="A4617" s="12" t="inlineStr">
        <is>
          <t>I-I-0007</t>
        </is>
      </c>
      <c r="B4617" s="12" t="inlineStr">
        <is>
          <t>I</t>
        </is>
      </c>
      <c r="C4617" s="12" t="inlineStr">
        <is>
          <t>Modular / portable power</t>
        </is>
      </c>
      <c r="D4617" s="12" t="inlineStr">
        <is>
          <t>Discrete device to JB JB-Black-start genset-DI01: 20 x 1 pr (field cables)</t>
        </is>
      </c>
      <c r="E4617" s="12" t="inlineStr"/>
      <c r="F4617" s="12" t="inlineStr">
        <is>
          <t>Black-start genset (proposed; requires study)</t>
        </is>
      </c>
      <c r="G4617" s="12" t="inlineStr">
        <is>
          <t>JB-Black-start genset-DI01</t>
        </is>
      </c>
      <c r="H4617" s="12" t="inlineStr">
        <is>
          <t>Black-start genset (proposed; requires study)</t>
        </is>
      </c>
      <c r="I4617" s="12" t="inlineStr">
        <is>
          <t>Instrumentation</t>
        </is>
      </c>
      <c r="J4617" s="12" t="inlineStr">
        <is>
          <t>Instrumentation PLTC / TC-ER 300 V, #18 twisted shielded pairs, overall shield</t>
        </is>
      </c>
      <c r="K4617" s="12" t="inlineStr">
        <is>
          <t>PLTC|1 pr|16</t>
        </is>
      </c>
      <c r="L4617" s="12" t="inlineStr">
        <is>
          <t>1 pr</t>
        </is>
      </c>
      <c r="M4617" s="12" t="inlineStr">
        <is>
          <t>16</t>
        </is>
      </c>
      <c r="N4617" s="12" t="n">
        <v>20</v>
      </c>
      <c r="O4617" s="12" t="n">
        <v>1</v>
      </c>
      <c r="P4617" s="12" t="n"/>
      <c r="Q4617" s="12" t="n"/>
      <c r="R4617" s="12" t="n"/>
      <c r="S4617" s="12" t="inlineStr">
        <is>
          <t>Tray / conduit</t>
        </is>
      </c>
      <c r="T4617" s="17" t="n">
        <v>59</v>
      </c>
      <c r="U4617" s="17" t="n">
        <v>10</v>
      </c>
      <c r="V4617" s="17">
        <f>ROUNDUP((T4617+U4617+2*'Read Me'!$B$13)*(1+'Read Me'!$B$12),-1)</f>
        <v/>
      </c>
      <c r="W4617" s="17">
        <f>V4617*N4617*O4617</f>
        <v/>
      </c>
      <c r="X4617" s="12">
        <f>IF(LEFT(I4617,2)="MV",2*N4617*IF(L4617="1/C",O4617,1),0)</f>
        <v/>
      </c>
      <c r="Y4617" s="12">
        <f>IF(OR(LEFT(K4617,4)="LVAX",LEFT(K4617,6)="MV15AX",LEFT(K4617,4)="CTAX",LEFT(K4617,2)="W|"),2*N4617*O4617,0)</f>
        <v/>
      </c>
      <c r="Z4617" s="12" t="inlineStr">
        <is>
          <t>device-to-JB field wiring, one cable per device</t>
        </is>
      </c>
      <c r="AA4617" s="12">
        <f>N4617*O4617</f>
        <v/>
      </c>
    </row>
    <row r="4618">
      <c r="A4618" s="12" t="inlineStr">
        <is>
          <t>I-I-0008</t>
        </is>
      </c>
      <c r="B4618" s="12" t="inlineStr">
        <is>
          <t>I</t>
        </is>
      </c>
      <c r="C4618" s="12" t="inlineStr">
        <is>
          <t>Modular / portable power</t>
        </is>
      </c>
      <c r="D4618" s="12" t="inlineStr">
        <is>
          <t>Home run JB-Black-start genset-DI01 to the control / marshalling room</t>
        </is>
      </c>
      <c r="E4618" s="12" t="inlineStr"/>
      <c r="F4618" s="12" t="inlineStr">
        <is>
          <t>PCM: power control module</t>
        </is>
      </c>
      <c r="G4618" s="12" t="inlineStr">
        <is>
          <t>JB-Black-start genset-DI01</t>
        </is>
      </c>
      <c r="H4618" s="12" t="inlineStr">
        <is>
          <t>Black-start genset (proposed; requires study)</t>
        </is>
      </c>
      <c r="I4618" s="12" t="inlineStr">
        <is>
          <t>Instrumentation</t>
        </is>
      </c>
      <c r="J4618" s="12" t="inlineStr">
        <is>
          <t>Instrumentation PLTC / TC-ER 300 V, #18 twisted shielded pairs, overall shield</t>
        </is>
      </c>
      <c r="K4618" s="12" t="inlineStr">
        <is>
          <t>PLTC|24 pr|18</t>
        </is>
      </c>
      <c r="L4618" s="12" t="inlineStr">
        <is>
          <t>24 pr</t>
        </is>
      </c>
      <c r="M4618" s="12" t="inlineStr">
        <is>
          <t>18</t>
        </is>
      </c>
      <c r="N4618" s="12" t="n">
        <v>1</v>
      </c>
      <c r="O4618" s="12" t="n">
        <v>1</v>
      </c>
      <c r="P4618" s="12" t="n"/>
      <c r="Q4618" s="12" t="n"/>
      <c r="R4618" s="12" t="n"/>
      <c r="S4618" s="12" t="inlineStr">
        <is>
          <t>Duct bank</t>
        </is>
      </c>
      <c r="T4618" s="17" t="n">
        <v>624</v>
      </c>
      <c r="U4618" s="17" t="n">
        <v>32</v>
      </c>
      <c r="V4618" s="17">
        <f>ROUNDUP((T4618+U4618+2*'Read Me'!$B$13)*(1+'Read Me'!$B$12),-1)</f>
        <v/>
      </c>
      <c r="W4618" s="17">
        <f>V4618*N4618*O4618</f>
        <v/>
      </c>
      <c r="X4618" s="12">
        <f>IF(LEFT(I4618,2)="MV",2*N4618*IF(L4618="1/C",O4618,1),0)</f>
        <v/>
      </c>
      <c r="Y4618" s="12">
        <f>IF(OR(LEFT(K4618,4)="LVAX",LEFT(K4618,6)="MV15AX",LEFT(K4618,4)="CTAX",LEFT(K4618,2)="W|"),2*N4618*O4618,0)</f>
        <v/>
      </c>
      <c r="Z4618" s="12" t="inlineStr"/>
      <c r="AA4618" s="12">
        <f>N4618*O4618</f>
        <v/>
      </c>
    </row>
    <row r="4619">
      <c r="A4619" s="12" t="inlineStr">
        <is>
          <t>I-I-0009</t>
        </is>
      </c>
      <c r="B4619" s="12" t="inlineStr">
        <is>
          <t>I</t>
        </is>
      </c>
      <c r="C4619" s="12" t="inlineStr">
        <is>
          <t>Modular / portable power</t>
        </is>
      </c>
      <c r="D4619" s="12" t="inlineStr">
        <is>
          <t>Analog instrument to JB JB-Black-start genset-AI01: 20 x 1 pr (field cables)</t>
        </is>
      </c>
      <c r="E4619" s="12" t="inlineStr"/>
      <c r="F4619" s="12" t="inlineStr">
        <is>
          <t>Black-start genset (proposed; requires study)</t>
        </is>
      </c>
      <c r="G4619" s="12" t="inlineStr">
        <is>
          <t>JB-Black-start genset-AI01</t>
        </is>
      </c>
      <c r="H4619" s="12" t="inlineStr">
        <is>
          <t>Black-start genset (proposed; requires study)</t>
        </is>
      </c>
      <c r="I4619" s="12" t="inlineStr">
        <is>
          <t>Instrumentation</t>
        </is>
      </c>
      <c r="J4619" s="12" t="inlineStr">
        <is>
          <t>Instrumentation PLTC / TC-ER 300 V, #18 twisted shielded pairs, overall shield</t>
        </is>
      </c>
      <c r="K4619" s="12" t="inlineStr">
        <is>
          <t>PLTC|1 pr|16</t>
        </is>
      </c>
      <c r="L4619" s="12" t="inlineStr">
        <is>
          <t>1 pr</t>
        </is>
      </c>
      <c r="M4619" s="12" t="inlineStr">
        <is>
          <t>16</t>
        </is>
      </c>
      <c r="N4619" s="12" t="n">
        <v>20</v>
      </c>
      <c r="O4619" s="12" t="n">
        <v>1</v>
      </c>
      <c r="P4619" s="12" t="n"/>
      <c r="Q4619" s="12" t="n"/>
      <c r="R4619" s="12" t="n"/>
      <c r="S4619" s="12" t="inlineStr">
        <is>
          <t>Tray / conduit</t>
        </is>
      </c>
      <c r="T4619" s="17" t="n">
        <v>59</v>
      </c>
      <c r="U4619" s="17" t="n">
        <v>10</v>
      </c>
      <c r="V4619" s="17">
        <f>ROUNDUP((T4619+U4619+2*'Read Me'!$B$13)*(1+'Read Me'!$B$12),-1)</f>
        <v/>
      </c>
      <c r="W4619" s="17">
        <f>V4619*N4619*O4619</f>
        <v/>
      </c>
      <c r="X4619" s="12">
        <f>IF(LEFT(I4619,2)="MV",2*N4619*IF(L4619="1/C",O4619,1),0)</f>
        <v/>
      </c>
      <c r="Y4619" s="12">
        <f>IF(OR(LEFT(K4619,4)="LVAX",LEFT(K4619,6)="MV15AX",LEFT(K4619,4)="CTAX",LEFT(K4619,2)="W|"),2*N4619*O4619,0)</f>
        <v/>
      </c>
      <c r="Z4619" s="12" t="inlineStr">
        <is>
          <t>device-to-JB field wiring, one cable per device</t>
        </is>
      </c>
      <c r="AA4619" s="12">
        <f>N4619*O4619</f>
        <v/>
      </c>
    </row>
    <row r="4620">
      <c r="A4620" s="12" t="inlineStr">
        <is>
          <t>I-I-0010</t>
        </is>
      </c>
      <c r="B4620" s="12" t="inlineStr">
        <is>
          <t>I</t>
        </is>
      </c>
      <c r="C4620" s="12" t="inlineStr">
        <is>
          <t>Modular / portable power</t>
        </is>
      </c>
      <c r="D4620" s="12" t="inlineStr">
        <is>
          <t>Home run JB-Black-start genset-AI01 to the control / marshalling room</t>
        </is>
      </c>
      <c r="E4620" s="12" t="inlineStr"/>
      <c r="F4620" s="12" t="inlineStr">
        <is>
          <t>PCM: power control module</t>
        </is>
      </c>
      <c r="G4620" s="12" t="inlineStr">
        <is>
          <t>JB-Black-start genset-AI01</t>
        </is>
      </c>
      <c r="H4620" s="12" t="inlineStr">
        <is>
          <t>Black-start genset (proposed; requires study)</t>
        </is>
      </c>
      <c r="I4620" s="12" t="inlineStr">
        <is>
          <t>Instrumentation</t>
        </is>
      </c>
      <c r="J4620" s="12" t="inlineStr">
        <is>
          <t>Instrumentation PLTC / TC-ER 300 V, #18 twisted shielded pairs, overall shield</t>
        </is>
      </c>
      <c r="K4620" s="12" t="inlineStr">
        <is>
          <t>PLTC|24 pr|18</t>
        </is>
      </c>
      <c r="L4620" s="12" t="inlineStr">
        <is>
          <t>24 pr</t>
        </is>
      </c>
      <c r="M4620" s="12" t="inlineStr">
        <is>
          <t>18</t>
        </is>
      </c>
      <c r="N4620" s="12" t="n">
        <v>1</v>
      </c>
      <c r="O4620" s="12" t="n">
        <v>1</v>
      </c>
      <c r="P4620" s="12" t="n"/>
      <c r="Q4620" s="12" t="n"/>
      <c r="R4620" s="12" t="n"/>
      <c r="S4620" s="12" t="inlineStr">
        <is>
          <t>Duct bank</t>
        </is>
      </c>
      <c r="T4620" s="17" t="n">
        <v>624</v>
      </c>
      <c r="U4620" s="17" t="n">
        <v>40</v>
      </c>
      <c r="V4620" s="17">
        <f>ROUNDUP((T4620+U4620+2*'Read Me'!$B$13)*(1+'Read Me'!$B$12),-1)</f>
        <v/>
      </c>
      <c r="W4620" s="17">
        <f>V4620*N4620*O4620</f>
        <v/>
      </c>
      <c r="X4620" s="12">
        <f>IF(LEFT(I4620,2)="MV",2*N4620*IF(L4620="1/C",O4620,1),0)</f>
        <v/>
      </c>
      <c r="Y4620" s="12">
        <f>IF(OR(LEFT(K4620,4)="LVAX",LEFT(K4620,6)="MV15AX",LEFT(K4620,4)="CTAX",LEFT(K4620,2)="W|"),2*N4620*O4620,0)</f>
        <v/>
      </c>
      <c r="Z4620" s="12" t="inlineStr"/>
      <c r="AA4620" s="12">
        <f>N4620*O4620</f>
        <v/>
      </c>
    </row>
    <row r="4621">
      <c r="A4621" s="12" t="inlineStr">
        <is>
          <t>I-I-0011</t>
        </is>
      </c>
      <c r="B4621" s="12" t="inlineStr">
        <is>
          <t>I</t>
        </is>
      </c>
      <c r="C4621" s="12" t="inlineStr">
        <is>
          <t>Modular / portable power</t>
        </is>
      </c>
      <c r="D4621" s="12" t="inlineStr">
        <is>
          <t>Discrete device to JB JB-Black-start genset-DI01: 20 x 1 pr (field cables)</t>
        </is>
      </c>
      <c r="E4621" s="12" t="inlineStr"/>
      <c r="F4621" s="12" t="inlineStr">
        <is>
          <t>Black-start genset (proposed; requires study)</t>
        </is>
      </c>
      <c r="G4621" s="12" t="inlineStr">
        <is>
          <t>JB-Black-start genset-DI01</t>
        </is>
      </c>
      <c r="H4621" s="12" t="inlineStr">
        <is>
          <t>Black-start genset (proposed; requires study)</t>
        </is>
      </c>
      <c r="I4621" s="12" t="inlineStr">
        <is>
          <t>Instrumentation</t>
        </is>
      </c>
      <c r="J4621" s="12" t="inlineStr">
        <is>
          <t>Instrumentation PLTC / TC-ER 300 V, #18 twisted shielded pairs, overall shield</t>
        </is>
      </c>
      <c r="K4621" s="12" t="inlineStr">
        <is>
          <t>PLTC|1 pr|16</t>
        </is>
      </c>
      <c r="L4621" s="12" t="inlineStr">
        <is>
          <t>1 pr</t>
        </is>
      </c>
      <c r="M4621" s="12" t="inlineStr">
        <is>
          <t>16</t>
        </is>
      </c>
      <c r="N4621" s="12" t="n">
        <v>20</v>
      </c>
      <c r="O4621" s="12" t="n">
        <v>1</v>
      </c>
      <c r="P4621" s="12" t="n"/>
      <c r="Q4621" s="12" t="n"/>
      <c r="R4621" s="12" t="n"/>
      <c r="S4621" s="12" t="inlineStr">
        <is>
          <t>Tray / conduit</t>
        </is>
      </c>
      <c r="T4621" s="17" t="n">
        <v>59</v>
      </c>
      <c r="U4621" s="17" t="n">
        <v>10</v>
      </c>
      <c r="V4621" s="17">
        <f>ROUNDUP((T4621+U4621+2*'Read Me'!$B$13)*(1+'Read Me'!$B$12),-1)</f>
        <v/>
      </c>
      <c r="W4621" s="17">
        <f>V4621*N4621*O4621</f>
        <v/>
      </c>
      <c r="X4621" s="12">
        <f>IF(LEFT(I4621,2)="MV",2*N4621*IF(L4621="1/C",O4621,1),0)</f>
        <v/>
      </c>
      <c r="Y4621" s="12">
        <f>IF(OR(LEFT(K4621,4)="LVAX",LEFT(K4621,6)="MV15AX",LEFT(K4621,4)="CTAX",LEFT(K4621,2)="W|"),2*N4621*O4621,0)</f>
        <v/>
      </c>
      <c r="Z4621" s="12" t="inlineStr">
        <is>
          <t>device-to-JB field wiring, one cable per device</t>
        </is>
      </c>
      <c r="AA4621" s="12">
        <f>N4621*O4621</f>
        <v/>
      </c>
    </row>
    <row r="4622">
      <c r="A4622" s="12" t="inlineStr">
        <is>
          <t>I-I-0012</t>
        </is>
      </c>
      <c r="B4622" s="12" t="inlineStr">
        <is>
          <t>I</t>
        </is>
      </c>
      <c r="C4622" s="12" t="inlineStr">
        <is>
          <t>Modular / portable power</t>
        </is>
      </c>
      <c r="D4622" s="12" t="inlineStr">
        <is>
          <t>Home run JB-Black-start genset-DI01 to the control / marshalling room</t>
        </is>
      </c>
      <c r="E4622" s="12" t="inlineStr"/>
      <c r="F4622" s="12" t="inlineStr">
        <is>
          <t>PCM: power control module</t>
        </is>
      </c>
      <c r="G4622" s="12" t="inlineStr">
        <is>
          <t>JB-Black-start genset-DI01</t>
        </is>
      </c>
      <c r="H4622" s="12" t="inlineStr">
        <is>
          <t>Black-start genset (proposed; requires study)</t>
        </is>
      </c>
      <c r="I4622" s="12" t="inlineStr">
        <is>
          <t>Instrumentation</t>
        </is>
      </c>
      <c r="J4622" s="12" t="inlineStr">
        <is>
          <t>Instrumentation PLTC / TC-ER 300 V, #18 twisted shielded pairs, overall shield</t>
        </is>
      </c>
      <c r="K4622" s="12" t="inlineStr">
        <is>
          <t>PLTC|24 pr|18</t>
        </is>
      </c>
      <c r="L4622" s="12" t="inlineStr">
        <is>
          <t>24 pr</t>
        </is>
      </c>
      <c r="M4622" s="12" t="inlineStr">
        <is>
          <t>18</t>
        </is>
      </c>
      <c r="N4622" s="12" t="n">
        <v>1</v>
      </c>
      <c r="O4622" s="12" t="n">
        <v>1</v>
      </c>
      <c r="P4622" s="12" t="n"/>
      <c r="Q4622" s="12" t="n"/>
      <c r="R4622" s="12" t="n"/>
      <c r="S4622" s="12" t="inlineStr">
        <is>
          <t>Duct bank</t>
        </is>
      </c>
      <c r="T4622" s="17" t="n">
        <v>624</v>
      </c>
      <c r="U4622" s="17" t="n">
        <v>40</v>
      </c>
      <c r="V4622" s="17">
        <f>ROUNDUP((T4622+U4622+2*'Read Me'!$B$13)*(1+'Read Me'!$B$12),-1)</f>
        <v/>
      </c>
      <c r="W4622" s="17">
        <f>V4622*N4622*O4622</f>
        <v/>
      </c>
      <c r="X4622" s="12">
        <f>IF(LEFT(I4622,2)="MV",2*N4622*IF(L4622="1/C",O4622,1),0)</f>
        <v/>
      </c>
      <c r="Y4622" s="12">
        <f>IF(OR(LEFT(K4622,4)="LVAX",LEFT(K4622,6)="MV15AX",LEFT(K4622,4)="CTAX",LEFT(K4622,2)="W|"),2*N4622*O4622,0)</f>
        <v/>
      </c>
      <c r="Z4622" s="12" t="inlineStr"/>
      <c r="AA4622" s="12">
        <f>N4622*O4622</f>
        <v/>
      </c>
    </row>
    <row r="4623">
      <c r="A4623" s="12" t="inlineStr">
        <is>
          <t>I-I-0013</t>
        </is>
      </c>
      <c r="B4623" s="12" t="inlineStr">
        <is>
          <t>I</t>
        </is>
      </c>
      <c r="C4623" s="12" t="inlineStr">
        <is>
          <t>Modular / portable power</t>
        </is>
      </c>
      <c r="D4623" s="12" t="inlineStr">
        <is>
          <t>Instrumentation</t>
        </is>
      </c>
      <c r="E4623" s="12" t="inlineStr"/>
      <c r="F4623" s="12" t="inlineStr">
        <is>
          <t>PCM: power control module</t>
        </is>
      </c>
      <c r="G4623" s="12" t="inlineStr"/>
      <c r="H4623" s="12" t="inlineStr">
        <is>
          <t>CONDITIONAL: BESS black-start alternative</t>
        </is>
      </c>
      <c r="I4623" s="12" t="inlineStr">
        <is>
          <t>Instrumentation</t>
        </is>
      </c>
      <c r="J4623" s="12" t="inlineStr">
        <is>
          <t>Instrumentation PLTC / TC-ER 300 V, #18 twisted shielded pairs, overall shield</t>
        </is>
      </c>
      <c r="K4623" s="12" t="inlineStr">
        <is>
          <t>PLTC|4 pr|18</t>
        </is>
      </c>
      <c r="L4623" s="12" t="inlineStr">
        <is>
          <t>4 pr</t>
        </is>
      </c>
      <c r="M4623" s="12" t="inlineStr">
        <is>
          <t>18</t>
        </is>
      </c>
      <c r="N4623" s="12" t="n">
        <v>1</v>
      </c>
      <c r="O4623" s="12" t="n">
        <v>1</v>
      </c>
      <c r="P4623" s="12" t="n"/>
      <c r="Q4623" s="12" t="n"/>
      <c r="R4623" s="12" t="n"/>
      <c r="S4623" s="12" t="inlineStr">
        <is>
          <t>Duct bank</t>
        </is>
      </c>
      <c r="T4623" s="17" t="n">
        <v>550</v>
      </c>
      <c r="U4623" s="17" t="n">
        <v>32</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I-I-0014</t>
        </is>
      </c>
      <c r="B4624" s="12" t="inlineStr">
        <is>
          <t>I</t>
        </is>
      </c>
      <c r="C4624" s="12" t="inlineStr">
        <is>
          <t>Modular / portable power</t>
        </is>
      </c>
      <c r="D4624" s="12" t="inlineStr">
        <is>
          <t>Thermocouples</t>
        </is>
      </c>
      <c r="E4624" s="12" t="inlineStr"/>
      <c r="F4624" s="12" t="inlineStr">
        <is>
          <t>PCM: power control module</t>
        </is>
      </c>
      <c r="G4624" s="12" t="inlineStr"/>
      <c r="H4624" s="12" t="inlineStr">
        <is>
          <t>CONDITIONAL: BESS black-start alternative</t>
        </is>
      </c>
      <c r="I4624" s="12" t="inlineStr">
        <is>
          <t>Instrumentation</t>
        </is>
      </c>
      <c r="J4624" s="12" t="inlineStr">
        <is>
          <t>Thermocouple extension KX, #16 shielded pairs, PLTC</t>
        </is>
      </c>
      <c r="K4624" s="12" t="inlineStr">
        <is>
          <t>TCX|12 pr|16</t>
        </is>
      </c>
      <c r="L4624" s="12" t="inlineStr">
        <is>
          <t>12 pr</t>
        </is>
      </c>
      <c r="M4624" s="12" t="inlineStr">
        <is>
          <t>16</t>
        </is>
      </c>
      <c r="N4624" s="12" t="n">
        <v>1</v>
      </c>
      <c r="O4624" s="12" t="n">
        <v>1</v>
      </c>
      <c r="P4624" s="12" t="n"/>
      <c r="Q4624" s="12" t="n"/>
      <c r="R4624" s="12" t="n"/>
      <c r="S4624" s="12" t="inlineStr">
        <is>
          <t>Duct bank</t>
        </is>
      </c>
      <c r="T4624" s="17" t="n">
        <v>550</v>
      </c>
      <c r="U4624" s="17" t="n">
        <v>32</v>
      </c>
      <c r="V4624" s="17">
        <f>ROUNDUP((T4624+U4624+2*'Read Me'!$B$13)*(1+'Read Me'!$B$12),-1)</f>
        <v/>
      </c>
      <c r="W4624" s="17">
        <f>V4624*N4624*O4624</f>
        <v/>
      </c>
      <c r="X4624" s="12">
        <f>IF(LEFT(I4624,2)="MV",2*N4624*IF(L4624="1/C",O4624,1),0)</f>
        <v/>
      </c>
      <c r="Y4624" s="12">
        <f>IF(OR(LEFT(K4624,4)="LVAX",LEFT(K4624,6)="MV15AX",LEFT(K4624,4)="CTAX",LEFT(K4624,2)="W|"),2*N4624*O4624,0)</f>
        <v/>
      </c>
      <c r="Z4624" s="12" t="inlineStr"/>
      <c r="AA4624" s="12">
        <f>N4624*O4624</f>
        <v/>
      </c>
    </row>
    <row r="4625">
      <c r="A4625" s="12" t="inlineStr">
        <is>
          <t>I-I-0015</t>
        </is>
      </c>
      <c r="B4625" s="12" t="inlineStr">
        <is>
          <t>I</t>
        </is>
      </c>
      <c r="C4625" s="12" t="inlineStr">
        <is>
          <t>Modular / portable power</t>
        </is>
      </c>
      <c r="D4625" s="12" t="inlineStr">
        <is>
          <t>Thermocouples</t>
        </is>
      </c>
      <c r="E4625" s="12" t="inlineStr"/>
      <c r="F4625" s="12" t="inlineStr">
        <is>
          <t>PCM: power control module</t>
        </is>
      </c>
      <c r="G4625" s="12" t="inlineStr"/>
      <c r="H4625" s="12" t="inlineStr">
        <is>
          <t>CONDITIONAL: BESS black-start alternative</t>
        </is>
      </c>
      <c r="I4625" s="12" t="inlineStr">
        <is>
          <t>Instrumentation</t>
        </is>
      </c>
      <c r="J4625" s="12" t="inlineStr">
        <is>
          <t>Thermocouple extension KX, #16 shielded pairs, PLTC</t>
        </is>
      </c>
      <c r="K4625" s="12" t="inlineStr">
        <is>
          <t>TCX|12 pr|16</t>
        </is>
      </c>
      <c r="L4625" s="12" t="inlineStr">
        <is>
          <t>12 pr</t>
        </is>
      </c>
      <c r="M4625" s="12" t="inlineStr">
        <is>
          <t>16</t>
        </is>
      </c>
      <c r="N4625" s="12" t="n">
        <v>1</v>
      </c>
      <c r="O4625" s="12" t="n">
        <v>1</v>
      </c>
      <c r="P4625" s="12" t="n"/>
      <c r="Q4625" s="12" t="n"/>
      <c r="R4625" s="12" t="n"/>
      <c r="S4625" s="12" t="inlineStr">
        <is>
          <t>Duct bank</t>
        </is>
      </c>
      <c r="T4625" s="17" t="n">
        <v>550</v>
      </c>
      <c r="U4625" s="17" t="n">
        <v>32</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I-I-0016</t>
        </is>
      </c>
      <c r="B4626" s="12" t="inlineStr">
        <is>
          <t>I</t>
        </is>
      </c>
      <c r="C4626" s="12" t="inlineStr">
        <is>
          <t>Modular / portable power</t>
        </is>
      </c>
      <c r="D4626" s="12" t="inlineStr">
        <is>
          <t>Instrumentation</t>
        </is>
      </c>
      <c r="E4626" s="12" t="inlineStr"/>
      <c r="F4626" s="12" t="inlineStr">
        <is>
          <t>SC-1 PCM + 15 kV GCB</t>
        </is>
      </c>
      <c r="G4626" s="12" t="inlineStr"/>
      <c r="H4626" s="12" t="inlineStr">
        <is>
          <t>CONDITIONAL: SC-1 inlet chiller / evaporative cooler</t>
        </is>
      </c>
      <c r="I4626" s="12" t="inlineStr">
        <is>
          <t>Instrumentation</t>
        </is>
      </c>
      <c r="J4626" s="12" t="inlineStr">
        <is>
          <t>Instrumentation PLTC / TC-ER 300 V, #18 twisted shielded pairs, overall shield</t>
        </is>
      </c>
      <c r="K4626" s="12" t="inlineStr">
        <is>
          <t>PLTC|4 pr|18</t>
        </is>
      </c>
      <c r="L4626" s="12" t="inlineStr">
        <is>
          <t>4 pr</t>
        </is>
      </c>
      <c r="M4626" s="12" t="inlineStr">
        <is>
          <t>18</t>
        </is>
      </c>
      <c r="N4626" s="12" t="n">
        <v>1</v>
      </c>
      <c r="O4626" s="12" t="n">
        <v>1</v>
      </c>
      <c r="P4626" s="12" t="n"/>
      <c r="Q4626" s="12" t="n"/>
      <c r="R4626" s="12" t="n"/>
      <c r="S4626" s="12" t="inlineStr">
        <is>
          <t>Tray</t>
        </is>
      </c>
      <c r="T4626" s="17" t="n">
        <v>0</v>
      </c>
      <c r="U4626" s="17" t="n">
        <v>114</v>
      </c>
      <c r="V4626" s="17">
        <f>ROUNDUP((T4626+U4626+2*'Read Me'!$B$13)*(1+'Read Me'!$B$12),-1)</f>
        <v/>
      </c>
      <c r="W4626" s="17">
        <f>V4626*N4626*O4626</f>
        <v/>
      </c>
      <c r="X4626" s="12">
        <f>IF(LEFT(I4626,2)="MV",2*N4626*IF(L4626="1/C",O4626,1),0)</f>
        <v/>
      </c>
      <c r="Y4626" s="12">
        <f>IF(OR(LEFT(K4626,4)="LVAX",LEFT(K4626,6)="MV15AX",LEFT(K4626,4)="CTAX",LEFT(K4626,2)="W|"),2*N4626*O4626,0)</f>
        <v/>
      </c>
      <c r="Z4626" s="12" t="inlineStr"/>
      <c r="AA4626" s="12">
        <f>N4626*O4626</f>
        <v/>
      </c>
    </row>
    <row r="4627">
      <c r="A4627" s="12" t="inlineStr">
        <is>
          <t>I-I-0017</t>
        </is>
      </c>
      <c r="B4627" s="12" t="inlineStr">
        <is>
          <t>I</t>
        </is>
      </c>
      <c r="C4627" s="12" t="inlineStr">
        <is>
          <t>Modular / portable power</t>
        </is>
      </c>
      <c r="D4627" s="12" t="inlineStr">
        <is>
          <t>Thermocouples</t>
        </is>
      </c>
      <c r="E4627" s="12" t="inlineStr"/>
      <c r="F4627" s="12" t="inlineStr">
        <is>
          <t>SC-1 PCM + 15 kV GCB</t>
        </is>
      </c>
      <c r="G4627" s="12" t="inlineStr"/>
      <c r="H4627" s="12" t="inlineStr">
        <is>
          <t>CONDITIONAL: SC-1 inlet chiller / evaporative cooler</t>
        </is>
      </c>
      <c r="I4627" s="12" t="inlineStr">
        <is>
          <t>Instrumentation</t>
        </is>
      </c>
      <c r="J4627" s="12" t="inlineStr">
        <is>
          <t>Thermocouple extension KX, #16 shielded pairs, PLTC</t>
        </is>
      </c>
      <c r="K4627" s="12" t="inlineStr">
        <is>
          <t>TCX|12 pr|16</t>
        </is>
      </c>
      <c r="L4627" s="12" t="inlineStr">
        <is>
          <t>12 pr</t>
        </is>
      </c>
      <c r="M4627" s="12" t="inlineStr">
        <is>
          <t>16</t>
        </is>
      </c>
      <c r="N4627" s="12" t="n">
        <v>1</v>
      </c>
      <c r="O4627" s="12" t="n">
        <v>1</v>
      </c>
      <c r="P4627" s="12" t="n"/>
      <c r="Q4627" s="12" t="n"/>
      <c r="R4627" s="12" t="n"/>
      <c r="S4627" s="12" t="inlineStr">
        <is>
          <t>Tray</t>
        </is>
      </c>
      <c r="T4627" s="17" t="n">
        <v>0</v>
      </c>
      <c r="U4627" s="17" t="n">
        <v>114</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I-I-0018</t>
        </is>
      </c>
      <c r="B4628" s="12" t="inlineStr">
        <is>
          <t>I</t>
        </is>
      </c>
      <c r="C4628" s="12" t="inlineStr">
        <is>
          <t>Modular / portable power</t>
        </is>
      </c>
      <c r="D4628" s="12" t="inlineStr">
        <is>
          <t>Thermocouples</t>
        </is>
      </c>
      <c r="E4628" s="12" t="inlineStr"/>
      <c r="F4628" s="12" t="inlineStr">
        <is>
          <t>SC-1 PCM + 15 kV GCB</t>
        </is>
      </c>
      <c r="G4628" s="12" t="inlineStr"/>
      <c r="H4628" s="12" t="inlineStr">
        <is>
          <t>CONDITIONAL: SC-1 inlet chiller / evaporative cooler</t>
        </is>
      </c>
      <c r="I4628" s="12" t="inlineStr">
        <is>
          <t>Instrumentation</t>
        </is>
      </c>
      <c r="J4628" s="12" t="inlineStr">
        <is>
          <t>Thermocouple extension KX, #16 shielded pairs, PLTC</t>
        </is>
      </c>
      <c r="K4628" s="12" t="inlineStr">
        <is>
          <t>TCX|12 pr|16</t>
        </is>
      </c>
      <c r="L4628" s="12" t="inlineStr">
        <is>
          <t>12 pr</t>
        </is>
      </c>
      <c r="M4628" s="12" t="inlineStr">
        <is>
          <t>16</t>
        </is>
      </c>
      <c r="N4628" s="12" t="n">
        <v>1</v>
      </c>
      <c r="O4628" s="12" t="n">
        <v>1</v>
      </c>
      <c r="P4628" s="12" t="n"/>
      <c r="Q4628" s="12" t="n"/>
      <c r="R4628" s="12" t="n"/>
      <c r="S4628" s="12" t="inlineStr">
        <is>
          <t>Tray</t>
        </is>
      </c>
      <c r="T4628" s="17" t="n">
        <v>0</v>
      </c>
      <c r="U4628" s="17" t="n">
        <v>114</v>
      </c>
      <c r="V4628" s="17">
        <f>ROUNDUP((T4628+U4628+2*'Read Me'!$B$13)*(1+'Read Me'!$B$12),-1)</f>
        <v/>
      </c>
      <c r="W4628" s="17">
        <f>V4628*N4628*O4628</f>
        <v/>
      </c>
      <c r="X4628" s="12">
        <f>IF(LEFT(I4628,2)="MV",2*N4628*IF(L4628="1/C",O4628,1),0)</f>
        <v/>
      </c>
      <c r="Y4628" s="12">
        <f>IF(OR(LEFT(K4628,4)="LVAX",LEFT(K4628,6)="MV15AX",LEFT(K4628,4)="CTAX",LEFT(K4628,2)="W|"),2*N4628*O4628,0)</f>
        <v/>
      </c>
      <c r="Z4628" s="12" t="inlineStr"/>
      <c r="AA4628" s="12">
        <f>N4628*O4628</f>
        <v/>
      </c>
    </row>
    <row r="4629">
      <c r="A4629" s="12" t="inlineStr">
        <is>
          <t>I-I-0019</t>
        </is>
      </c>
      <c r="B4629" s="12" t="inlineStr">
        <is>
          <t>I</t>
        </is>
      </c>
      <c r="C4629" s="12" t="inlineStr">
        <is>
          <t>Modular / portable power</t>
        </is>
      </c>
      <c r="D4629" s="12" t="inlineStr">
        <is>
          <t>Instrumentation</t>
        </is>
      </c>
      <c r="E4629" s="12" t="inlineStr"/>
      <c r="F4629" s="12" t="inlineStr">
        <is>
          <t>SC-2 PCM + 15 kV GCB</t>
        </is>
      </c>
      <c r="G4629" s="12" t="inlineStr"/>
      <c r="H4629" s="12" t="inlineStr">
        <is>
          <t>CONDITIONAL: SC-2 inlet chiller / evaporative cooler</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Duct bank</t>
        </is>
      </c>
      <c r="T4629" s="17" t="n">
        <v>75</v>
      </c>
      <c r="U4629" s="17" t="n">
        <v>32</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I-I-0020</t>
        </is>
      </c>
      <c r="B4630" s="12" t="inlineStr">
        <is>
          <t>I</t>
        </is>
      </c>
      <c r="C4630" s="12" t="inlineStr">
        <is>
          <t>Modular / portable power</t>
        </is>
      </c>
      <c r="D4630" s="12" t="inlineStr">
        <is>
          <t>Thermocouples</t>
        </is>
      </c>
      <c r="E4630" s="12" t="inlineStr"/>
      <c r="F4630" s="12" t="inlineStr">
        <is>
          <t>SC-2 PCM + 15 kV GCB</t>
        </is>
      </c>
      <c r="G4630" s="12" t="inlineStr"/>
      <c r="H4630" s="12" t="inlineStr">
        <is>
          <t>CONDITIONAL: SC-2 inlet chiller / evaporative cooler</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7" t="n">
        <v>75</v>
      </c>
      <c r="U4630" s="17" t="n">
        <v>32</v>
      </c>
      <c r="V4630" s="17">
        <f>ROUNDUP((T4630+U4630+2*'Read Me'!$B$13)*(1+'Read Me'!$B$12),-1)</f>
        <v/>
      </c>
      <c r="W4630" s="17">
        <f>V4630*N4630*O4630</f>
        <v/>
      </c>
      <c r="X4630" s="12">
        <f>IF(LEFT(I4630,2)="MV",2*N4630*IF(L4630="1/C",O4630,1),0)</f>
        <v/>
      </c>
      <c r="Y4630" s="12">
        <f>IF(OR(LEFT(K4630,4)="LVAX",LEFT(K4630,6)="MV15AX",LEFT(K4630,4)="CTAX",LEFT(K4630,2)="W|"),2*N4630*O4630,0)</f>
        <v/>
      </c>
      <c r="Z4630" s="12" t="inlineStr"/>
      <c r="AA4630" s="12">
        <f>N4630*O4630</f>
        <v/>
      </c>
    </row>
    <row r="4631">
      <c r="A4631" s="12" t="inlineStr">
        <is>
          <t>I-I-0021</t>
        </is>
      </c>
      <c r="B4631" s="12" t="inlineStr">
        <is>
          <t>I</t>
        </is>
      </c>
      <c r="C4631" s="12" t="inlineStr">
        <is>
          <t>Modular / portable power</t>
        </is>
      </c>
      <c r="D4631" s="12" t="inlineStr">
        <is>
          <t>Thermocouples</t>
        </is>
      </c>
      <c r="E4631" s="12" t="inlineStr"/>
      <c r="F4631" s="12" t="inlineStr">
        <is>
          <t>SC-2 PCM + 15 kV GCB</t>
        </is>
      </c>
      <c r="G4631" s="12" t="inlineStr"/>
      <c r="H4631" s="12" t="inlineStr">
        <is>
          <t>CONDITIONAL: SC-2 inlet chiller / evaporative cooler</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Duct bank</t>
        </is>
      </c>
      <c r="T4631" s="17" t="n">
        <v>75</v>
      </c>
      <c r="U4631" s="17" t="n">
        <v>32</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I-I-0022</t>
        </is>
      </c>
      <c r="B4632" s="12" t="inlineStr">
        <is>
          <t>I</t>
        </is>
      </c>
      <c r="C4632" s="12" t="inlineStr">
        <is>
          <t>Modular / portable power</t>
        </is>
      </c>
      <c r="D4632" s="12" t="inlineStr">
        <is>
          <t>Analog instrument to JB JB-CONT-1-AI01: 20 x 1 pr (field cables)</t>
        </is>
      </c>
      <c r="E4632" s="12" t="inlineStr">
        <is>
          <t>CONT-1</t>
        </is>
      </c>
      <c r="F4632" s="12" t="inlineStr">
        <is>
          <t>CONT-1: containerized genset 13.8 kV (40 ft)</t>
        </is>
      </c>
      <c r="G4632" s="12" t="inlineStr">
        <is>
          <t>JB-CONT-1-AI01</t>
        </is>
      </c>
      <c r="H4632" s="12" t="inlineStr">
        <is>
          <t>CONT-1: containerized genset 13.8 kV (40 ft)</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54</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I-I-0023</t>
        </is>
      </c>
      <c r="B4633" s="12" t="inlineStr">
        <is>
          <t>I</t>
        </is>
      </c>
      <c r="C4633" s="12" t="inlineStr">
        <is>
          <t>Modular / portable power</t>
        </is>
      </c>
      <c r="D4633" s="12" t="inlineStr">
        <is>
          <t>Home run JB-CONT-1-AI01 to the control / marshalling room</t>
        </is>
      </c>
      <c r="E4633" s="12" t="inlineStr">
        <is>
          <t>PAD-EH</t>
        </is>
      </c>
      <c r="F4633" s="12" t="inlineStr">
        <is>
          <t>PAD-EH 13.8 kV switchgear e-house</t>
        </is>
      </c>
      <c r="G4633" s="12" t="inlineStr">
        <is>
          <t>JB-CONT-1-AI01</t>
        </is>
      </c>
      <c r="H4633" s="12" t="inlineStr">
        <is>
          <t>CONT-1: containerized genset 13.8 kV (40 ft)</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Surface</t>
        </is>
      </c>
      <c r="T4633" s="17" t="n">
        <v>298</v>
      </c>
      <c r="U4633" s="17" t="n">
        <v>37</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I-I-0024</t>
        </is>
      </c>
      <c r="B4634" s="12" t="inlineStr">
        <is>
          <t>I</t>
        </is>
      </c>
      <c r="C4634" s="12" t="inlineStr">
        <is>
          <t>Modular / portable power</t>
        </is>
      </c>
      <c r="D4634" s="12" t="inlineStr">
        <is>
          <t>Discrete device to JB JB-CONT-1-DI01: 20 x 1 pr (field cables)</t>
        </is>
      </c>
      <c r="E4634" s="12" t="inlineStr">
        <is>
          <t>CONT-1</t>
        </is>
      </c>
      <c r="F4634" s="12" t="inlineStr">
        <is>
          <t>CONT-1: containerized genset 13.8 kV (40 ft)</t>
        </is>
      </c>
      <c r="G4634" s="12" t="inlineStr">
        <is>
          <t>JB-CONT-1-DI01</t>
        </is>
      </c>
      <c r="H4634" s="12" t="inlineStr">
        <is>
          <t>CONT-1: containerized genset 13.8 kV (40 ft)</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54</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I-I-0025</t>
        </is>
      </c>
      <c r="B4635" s="12" t="inlineStr">
        <is>
          <t>I</t>
        </is>
      </c>
      <c r="C4635" s="12" t="inlineStr">
        <is>
          <t>Modular / portable power</t>
        </is>
      </c>
      <c r="D4635" s="12" t="inlineStr">
        <is>
          <t>Home run JB-CONT-1-DI01 to the control / marshalling room</t>
        </is>
      </c>
      <c r="E4635" s="12" t="inlineStr">
        <is>
          <t>PAD-EH</t>
        </is>
      </c>
      <c r="F4635" s="12" t="inlineStr">
        <is>
          <t>PAD-EH 13.8 kV switchgear e-house</t>
        </is>
      </c>
      <c r="G4635" s="12" t="inlineStr">
        <is>
          <t>JB-CONT-1-DI01</t>
        </is>
      </c>
      <c r="H4635" s="12" t="inlineStr">
        <is>
          <t>CONT-1: containerized genset 13.8 kV (40 ft)</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Surface</t>
        </is>
      </c>
      <c r="T4635" s="17" t="n">
        <v>298</v>
      </c>
      <c r="U4635" s="17" t="n">
        <v>37</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I-I-0026</t>
        </is>
      </c>
      <c r="B4636" s="12" t="inlineStr">
        <is>
          <t>I</t>
        </is>
      </c>
      <c r="C4636" s="12" t="inlineStr">
        <is>
          <t>Modular / portable power</t>
        </is>
      </c>
      <c r="D4636" s="12" t="inlineStr">
        <is>
          <t>Analog instrument to JB JB-CONT-2-AI01: 20 x 1 pr (field cables)</t>
        </is>
      </c>
      <c r="E4636" s="12" t="inlineStr">
        <is>
          <t>CONT-2</t>
        </is>
      </c>
      <c r="F4636" s="12" t="inlineStr">
        <is>
          <t>CONT-2: containerized genset 13.8 kV (40 ft)</t>
        </is>
      </c>
      <c r="G4636" s="12" t="inlineStr">
        <is>
          <t>JB-CONT-2-AI01</t>
        </is>
      </c>
      <c r="H4636" s="12" t="inlineStr">
        <is>
          <t>CONT-2: containerized genset 13.8 kV (40 ft)</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54</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I-I-0027</t>
        </is>
      </c>
      <c r="B4637" s="12" t="inlineStr">
        <is>
          <t>I</t>
        </is>
      </c>
      <c r="C4637" s="12" t="inlineStr">
        <is>
          <t>Modular / portable power</t>
        </is>
      </c>
      <c r="D4637" s="12" t="inlineStr">
        <is>
          <t>Home run JB-CONT-2-AI01 to the control / marshalling room</t>
        </is>
      </c>
      <c r="E4637" s="12" t="inlineStr">
        <is>
          <t>PAD-EH</t>
        </is>
      </c>
      <c r="F4637" s="12" t="inlineStr">
        <is>
          <t>PAD-EH 13.8 kV switchgear e-house</t>
        </is>
      </c>
      <c r="G4637" s="12" t="inlineStr">
        <is>
          <t>JB-CONT-2-AI01</t>
        </is>
      </c>
      <c r="H4637" s="12" t="inlineStr">
        <is>
          <t>CONT-2: containerized genset 13.8 kV (40 ft)</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Surface</t>
        </is>
      </c>
      <c r="T4637" s="17" t="n">
        <v>267</v>
      </c>
      <c r="U4637" s="17" t="n">
        <v>37</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I-I-0028</t>
        </is>
      </c>
      <c r="B4638" s="12" t="inlineStr">
        <is>
          <t>I</t>
        </is>
      </c>
      <c r="C4638" s="12" t="inlineStr">
        <is>
          <t>Modular / portable power</t>
        </is>
      </c>
      <c r="D4638" s="12" t="inlineStr">
        <is>
          <t>Discrete device to JB JB-CONT-2-DI01: 20 x 1 pr (field cables)</t>
        </is>
      </c>
      <c r="E4638" s="12" t="inlineStr">
        <is>
          <t>CONT-2</t>
        </is>
      </c>
      <c r="F4638" s="12" t="inlineStr">
        <is>
          <t>CONT-2: containerized genset 13.8 kV (40 ft)</t>
        </is>
      </c>
      <c r="G4638" s="12" t="inlineStr">
        <is>
          <t>JB-CONT-2-DI01</t>
        </is>
      </c>
      <c r="H4638" s="12" t="inlineStr">
        <is>
          <t>CONT-2: containerized genset 13.8 kV (40 ft)</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54</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I-I-0029</t>
        </is>
      </c>
      <c r="B4639" s="12" t="inlineStr">
        <is>
          <t>I</t>
        </is>
      </c>
      <c r="C4639" s="12" t="inlineStr">
        <is>
          <t>Modular / portable power</t>
        </is>
      </c>
      <c r="D4639" s="12" t="inlineStr">
        <is>
          <t>Home run JB-CONT-2-DI01 to the control / marshalling room</t>
        </is>
      </c>
      <c r="E4639" s="12" t="inlineStr">
        <is>
          <t>PAD-EH</t>
        </is>
      </c>
      <c r="F4639" s="12" t="inlineStr">
        <is>
          <t>PAD-EH 13.8 kV switchgear e-house</t>
        </is>
      </c>
      <c r="G4639" s="12" t="inlineStr">
        <is>
          <t>JB-CONT-2-DI01</t>
        </is>
      </c>
      <c r="H4639" s="12" t="inlineStr">
        <is>
          <t>CONT-2: containerized genset 13.8 kV (40 ft)</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Surface</t>
        </is>
      </c>
      <c r="T4639" s="17" t="n">
        <v>267</v>
      </c>
      <c r="U4639" s="17" t="n">
        <v>37</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I-I-0030</t>
        </is>
      </c>
      <c r="B4640" s="12" t="inlineStr">
        <is>
          <t>I</t>
        </is>
      </c>
      <c r="C4640" s="12" t="inlineStr">
        <is>
          <t>Modular / portable power</t>
        </is>
      </c>
      <c r="D4640" s="12" t="inlineStr">
        <is>
          <t>Analog instrument to JB JB-CONT-3-AI01: 20 x 1 pr (field cables)</t>
        </is>
      </c>
      <c r="E4640" s="12" t="inlineStr">
        <is>
          <t>CONT-3</t>
        </is>
      </c>
      <c r="F4640" s="12" t="inlineStr">
        <is>
          <t>CONT-3: containerized gas genset 13.8 kV (40 ft)</t>
        </is>
      </c>
      <c r="G4640" s="12" t="inlineStr">
        <is>
          <t>JB-CONT-3-AI01</t>
        </is>
      </c>
      <c r="H4640" s="12" t="inlineStr">
        <is>
          <t>CONT-3: containerized gas genset 13.8 kV (40 ft)</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54</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I-I-0031</t>
        </is>
      </c>
      <c r="B4641" s="12" t="inlineStr">
        <is>
          <t>I</t>
        </is>
      </c>
      <c r="C4641" s="12" t="inlineStr">
        <is>
          <t>Modular / portable power</t>
        </is>
      </c>
      <c r="D4641" s="12" t="inlineStr">
        <is>
          <t>Home run JB-CONT-3-AI01 to the control / marshalling room</t>
        </is>
      </c>
      <c r="E4641" s="12" t="inlineStr">
        <is>
          <t>PAD-EH</t>
        </is>
      </c>
      <c r="F4641" s="12" t="inlineStr">
        <is>
          <t>PAD-EH 13.8 kV switchgear e-house</t>
        </is>
      </c>
      <c r="G4641" s="12" t="inlineStr">
        <is>
          <t>JB-CONT-3-AI01</t>
        </is>
      </c>
      <c r="H4641" s="12" t="inlineStr">
        <is>
          <t>CONT-3: containerized gas genset 13.8 kV (40 ft)</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Surface</t>
        </is>
      </c>
      <c r="T4641" s="17" t="n">
        <v>191</v>
      </c>
      <c r="U4641" s="17" t="n">
        <v>32</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I-I-0032</t>
        </is>
      </c>
      <c r="B4642" s="12" t="inlineStr">
        <is>
          <t>I</t>
        </is>
      </c>
      <c r="C4642" s="12" t="inlineStr">
        <is>
          <t>Modular / portable power</t>
        </is>
      </c>
      <c r="D4642" s="12" t="inlineStr">
        <is>
          <t>Discrete device to JB JB-CONT-3-DI01: 20 x 1 pr (field cables)</t>
        </is>
      </c>
      <c r="E4642" s="12" t="inlineStr">
        <is>
          <t>CONT-3</t>
        </is>
      </c>
      <c r="F4642" s="12" t="inlineStr">
        <is>
          <t>CONT-3: containerized gas genset 13.8 kV (40 ft)</t>
        </is>
      </c>
      <c r="G4642" s="12" t="inlineStr">
        <is>
          <t>JB-CONT-3-DI01</t>
        </is>
      </c>
      <c r="H4642" s="12" t="inlineStr">
        <is>
          <t>CONT-3: containerized gas genset 13.8 kV (40 ft)</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54</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I-I-0033</t>
        </is>
      </c>
      <c r="B4643" s="12" t="inlineStr">
        <is>
          <t>I</t>
        </is>
      </c>
      <c r="C4643" s="12" t="inlineStr">
        <is>
          <t>Modular / portable power</t>
        </is>
      </c>
      <c r="D4643" s="12" t="inlineStr">
        <is>
          <t>Home run JB-CONT-3-DI01 to the control / marshalling room</t>
        </is>
      </c>
      <c r="E4643" s="12" t="inlineStr">
        <is>
          <t>PAD-EH</t>
        </is>
      </c>
      <c r="F4643" s="12" t="inlineStr">
        <is>
          <t>PAD-EH 13.8 kV switchgear e-house</t>
        </is>
      </c>
      <c r="G4643" s="12" t="inlineStr">
        <is>
          <t>JB-CONT-3-DI01</t>
        </is>
      </c>
      <c r="H4643" s="12" t="inlineStr">
        <is>
          <t>CONT-3: containerized gas genset 13.8 kV (40 ft)</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Surface</t>
        </is>
      </c>
      <c r="T4643" s="17" t="n">
        <v>191</v>
      </c>
      <c r="U4643" s="17" t="n">
        <v>32</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I-I-0034</t>
        </is>
      </c>
      <c r="B4644" s="12" t="inlineStr">
        <is>
          <t>I</t>
        </is>
      </c>
      <c r="C4644" s="12" t="inlineStr">
        <is>
          <t>Modular / portable power</t>
        </is>
      </c>
      <c r="D4644" s="12" t="inlineStr">
        <is>
          <t>Analog instrument to JB JB-CONT-4-AI01: 20 x 1 pr (field cables)</t>
        </is>
      </c>
      <c r="E4644" s="12" t="inlineStr">
        <is>
          <t>CONT-4</t>
        </is>
      </c>
      <c r="F4644" s="12" t="inlineStr">
        <is>
          <t>CONT-4: containerized gas genset 13.8 kV (40 ft)</t>
        </is>
      </c>
      <c r="G4644" s="12" t="inlineStr">
        <is>
          <t>JB-CONT-4-AI01</t>
        </is>
      </c>
      <c r="H4644" s="12" t="inlineStr">
        <is>
          <t>CONT-4: containerized gas genset 13.8 kV (40 ft)</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54</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I-I-0035</t>
        </is>
      </c>
      <c r="B4645" s="12" t="inlineStr">
        <is>
          <t>I</t>
        </is>
      </c>
      <c r="C4645" s="12" t="inlineStr">
        <is>
          <t>Modular / portable power</t>
        </is>
      </c>
      <c r="D4645" s="12" t="inlineStr">
        <is>
          <t>Home run JB-CONT-4-AI01 to the control / marshalling room</t>
        </is>
      </c>
      <c r="E4645" s="12" t="inlineStr">
        <is>
          <t>PAD-EH</t>
        </is>
      </c>
      <c r="F4645" s="12" t="inlineStr">
        <is>
          <t>PAD-EH 13.8 kV switchgear e-house</t>
        </is>
      </c>
      <c r="G4645" s="12" t="inlineStr">
        <is>
          <t>JB-CONT-4-AI01</t>
        </is>
      </c>
      <c r="H4645" s="12" t="inlineStr">
        <is>
          <t>CONT-4: containerized gas genset 13.8 kV (40 ft)</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62</v>
      </c>
      <c r="U4645" s="17" t="n">
        <v>81</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I-I-0036</t>
        </is>
      </c>
      <c r="B4646" s="12" t="inlineStr">
        <is>
          <t>I</t>
        </is>
      </c>
      <c r="C4646" s="12" t="inlineStr">
        <is>
          <t>Modular / portable power</t>
        </is>
      </c>
      <c r="D4646" s="12" t="inlineStr">
        <is>
          <t>Discrete device to JB JB-CONT-4-DI01: 20 x 1 pr (field cables)</t>
        </is>
      </c>
      <c r="E4646" s="12" t="inlineStr">
        <is>
          <t>CONT-4</t>
        </is>
      </c>
      <c r="F4646" s="12" t="inlineStr">
        <is>
          <t>CONT-4: containerized gas genset 13.8 kV (40 ft)</t>
        </is>
      </c>
      <c r="G4646" s="12" t="inlineStr">
        <is>
          <t>JB-CONT-4-DI01</t>
        </is>
      </c>
      <c r="H4646" s="12" t="inlineStr">
        <is>
          <t>CONT-4: containerized gas genset 13.8 kV (40 ft)</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7" t="n">
        <v>54</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I-I-0037</t>
        </is>
      </c>
      <c r="B4647" s="12" t="inlineStr">
        <is>
          <t>I</t>
        </is>
      </c>
      <c r="C4647" s="12" t="inlineStr">
        <is>
          <t>Modular / portable power</t>
        </is>
      </c>
      <c r="D4647" s="12" t="inlineStr">
        <is>
          <t>Home run JB-CONT-4-DI01 to the control / marshalling room</t>
        </is>
      </c>
      <c r="E4647" s="12" t="inlineStr">
        <is>
          <t>PAD-EH</t>
        </is>
      </c>
      <c r="F4647" s="12" t="inlineStr">
        <is>
          <t>PAD-EH 13.8 kV switchgear e-house</t>
        </is>
      </c>
      <c r="G4647" s="12" t="inlineStr">
        <is>
          <t>JB-CONT-4-DI01</t>
        </is>
      </c>
      <c r="H4647" s="12" t="inlineStr">
        <is>
          <t>CONT-4: containerized gas genset 13.8 kV (40 ft)</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7" t="n">
        <v>62</v>
      </c>
      <c r="U4647" s="17" t="n">
        <v>81</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I-I-0038</t>
        </is>
      </c>
      <c r="B4648" s="12" t="inlineStr">
        <is>
          <t>I</t>
        </is>
      </c>
      <c r="C4648" s="12" t="inlineStr">
        <is>
          <t>Modular / portable power</t>
        </is>
      </c>
      <c r="D4648" s="12" t="inlineStr">
        <is>
          <t>Analog instrument to JB JB-CONT-5-AI01: 20 x 1 pr (field cables)</t>
        </is>
      </c>
      <c r="E4648" s="12" t="inlineStr">
        <is>
          <t>CONT-5</t>
        </is>
      </c>
      <c r="F4648" s="12" t="inlineStr">
        <is>
          <t>CONT-5: containerized gas genset 13.8 kV (40 ft)</t>
        </is>
      </c>
      <c r="G4648" s="12" t="inlineStr">
        <is>
          <t>JB-CONT-5-AI01</t>
        </is>
      </c>
      <c r="H4648" s="12" t="inlineStr">
        <is>
          <t>CONT-5: containerized gas genset 13.8 kV (40 ft)</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7" t="n">
        <v>54</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I-I-0039</t>
        </is>
      </c>
      <c r="B4649" s="12" t="inlineStr">
        <is>
          <t>I</t>
        </is>
      </c>
      <c r="C4649" s="12" t="inlineStr">
        <is>
          <t>Modular / portable power</t>
        </is>
      </c>
      <c r="D4649" s="12" t="inlineStr">
        <is>
          <t>Home run JB-CONT-5-AI01 to the control / marshalling room</t>
        </is>
      </c>
      <c r="E4649" s="12" t="inlineStr">
        <is>
          <t>PAD-EH</t>
        </is>
      </c>
      <c r="F4649" s="12" t="inlineStr">
        <is>
          <t>PAD-EH 13.8 kV switchgear e-house</t>
        </is>
      </c>
      <c r="G4649" s="12" t="inlineStr">
        <is>
          <t>JB-CONT-5-AI01</t>
        </is>
      </c>
      <c r="H4649" s="12" t="inlineStr">
        <is>
          <t>CONT-5: containerized gas genset 13.8 kV (40 ft)</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7" t="n">
        <v>25</v>
      </c>
      <c r="U4649" s="17" t="n">
        <v>58</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I-I-0040</t>
        </is>
      </c>
      <c r="B4650" s="12" t="inlineStr">
        <is>
          <t>I</t>
        </is>
      </c>
      <c r="C4650" s="12" t="inlineStr">
        <is>
          <t>Modular / portable power</t>
        </is>
      </c>
      <c r="D4650" s="12" t="inlineStr">
        <is>
          <t>Discrete device to JB JB-CONT-5-DI01: 20 x 1 pr (field cables)</t>
        </is>
      </c>
      <c r="E4650" s="12" t="inlineStr">
        <is>
          <t>CONT-5</t>
        </is>
      </c>
      <c r="F4650" s="12" t="inlineStr">
        <is>
          <t>CONT-5: containerized gas genset 13.8 kV (40 ft)</t>
        </is>
      </c>
      <c r="G4650" s="12" t="inlineStr">
        <is>
          <t>JB-CONT-5-DI01</t>
        </is>
      </c>
      <c r="H4650" s="12" t="inlineStr">
        <is>
          <t>CONT-5: containerized gas genset 13.8 kV (40 ft)</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7" t="n">
        <v>54</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I-I-0041</t>
        </is>
      </c>
      <c r="B4651" s="12" t="inlineStr">
        <is>
          <t>I</t>
        </is>
      </c>
      <c r="C4651" s="12" t="inlineStr">
        <is>
          <t>Modular / portable power</t>
        </is>
      </c>
      <c r="D4651" s="12" t="inlineStr">
        <is>
          <t>Home run JB-CONT-5-DI01 to the control / marshalling room</t>
        </is>
      </c>
      <c r="E4651" s="12" t="inlineStr">
        <is>
          <t>PAD-EH</t>
        </is>
      </c>
      <c r="F4651" s="12" t="inlineStr">
        <is>
          <t>PAD-EH 13.8 kV switchgear e-house</t>
        </is>
      </c>
      <c r="G4651" s="12" t="inlineStr">
        <is>
          <t>JB-CONT-5-DI01</t>
        </is>
      </c>
      <c r="H4651" s="12" t="inlineStr">
        <is>
          <t>CONT-5: containerized gas genset 13.8 kV (40 ft)</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7" t="n">
        <v>25</v>
      </c>
      <c r="U4651" s="17" t="n">
        <v>58</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I-I-0042</t>
        </is>
      </c>
      <c r="B4652" s="12" t="inlineStr">
        <is>
          <t>I</t>
        </is>
      </c>
      <c r="C4652" s="12" t="inlineStr">
        <is>
          <t>Modular / portable power</t>
        </is>
      </c>
      <c r="D4652" s="12" t="inlineStr">
        <is>
          <t>Analog instrument to JB JB-CONT-6-AI01: 20 x 1 pr (field cables)</t>
        </is>
      </c>
      <c r="E4652" s="12" t="inlineStr">
        <is>
          <t>CONT-6</t>
        </is>
      </c>
      <c r="F4652" s="12" t="inlineStr">
        <is>
          <t>CONT-6: containerized gas genset 13.8 kV (40 ft)</t>
        </is>
      </c>
      <c r="G4652" s="12" t="inlineStr">
        <is>
          <t>JB-CONT-6-AI01</t>
        </is>
      </c>
      <c r="H4652" s="12" t="inlineStr">
        <is>
          <t>CONT-6: containerized gas genset 13.8 kV (40 ft)</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7" t="n">
        <v>54</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I-I-0043</t>
        </is>
      </c>
      <c r="B4653" s="12" t="inlineStr">
        <is>
          <t>I</t>
        </is>
      </c>
      <c r="C4653" s="12" t="inlineStr">
        <is>
          <t>Modular / portable power</t>
        </is>
      </c>
      <c r="D4653" s="12" t="inlineStr">
        <is>
          <t>Home run JB-CONT-6-AI01 to the control / marshalling room</t>
        </is>
      </c>
      <c r="E4653" s="12" t="inlineStr">
        <is>
          <t>PAD-EH</t>
        </is>
      </c>
      <c r="F4653" s="12" t="inlineStr">
        <is>
          <t>PAD-EH 13.8 kV switchgear e-house</t>
        </is>
      </c>
      <c r="G4653" s="12" t="inlineStr">
        <is>
          <t>JB-CONT-6-AI01</t>
        </is>
      </c>
      <c r="H4653" s="12" t="inlineStr">
        <is>
          <t>CONT-6: containerized gas genset 13.8 kV (40 ft)</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Surface</t>
        </is>
      </c>
      <c r="T4653" s="17" t="n">
        <v>228</v>
      </c>
      <c r="U4653" s="17" t="n">
        <v>46</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I-I-0044</t>
        </is>
      </c>
      <c r="B4654" s="12" t="inlineStr">
        <is>
          <t>I</t>
        </is>
      </c>
      <c r="C4654" s="12" t="inlineStr">
        <is>
          <t>Modular / portable power</t>
        </is>
      </c>
      <c r="D4654" s="12" t="inlineStr">
        <is>
          <t>Discrete device to JB JB-CONT-6-DI01: 20 x 1 pr (field cables)</t>
        </is>
      </c>
      <c r="E4654" s="12" t="inlineStr">
        <is>
          <t>CONT-6</t>
        </is>
      </c>
      <c r="F4654" s="12" t="inlineStr">
        <is>
          <t>CONT-6: containerized gas genset 13.8 kV (40 ft)</t>
        </is>
      </c>
      <c r="G4654" s="12" t="inlineStr">
        <is>
          <t>JB-CONT-6-DI01</t>
        </is>
      </c>
      <c r="H4654" s="12" t="inlineStr">
        <is>
          <t>CONT-6: containerized gas genset 13.8 kV (40 ft)</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54</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I-I-0045</t>
        </is>
      </c>
      <c r="B4655" s="12" t="inlineStr">
        <is>
          <t>I</t>
        </is>
      </c>
      <c r="C4655" s="12" t="inlineStr">
        <is>
          <t>Modular / portable power</t>
        </is>
      </c>
      <c r="D4655" s="12" t="inlineStr">
        <is>
          <t>Home run JB-CONT-6-DI01 to the control / marshalling room</t>
        </is>
      </c>
      <c r="E4655" s="12" t="inlineStr">
        <is>
          <t>PAD-EH</t>
        </is>
      </c>
      <c r="F4655" s="12" t="inlineStr">
        <is>
          <t>PAD-EH 13.8 kV switchgear e-house</t>
        </is>
      </c>
      <c r="G4655" s="12" t="inlineStr">
        <is>
          <t>JB-CONT-6-DI01</t>
        </is>
      </c>
      <c r="H4655" s="12" t="inlineStr">
        <is>
          <t>CONT-6: containerized gas genset 13.8 kV (40 ft)</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Surface</t>
        </is>
      </c>
      <c r="T4655" s="17" t="n">
        <v>228</v>
      </c>
      <c r="U4655" s="17" t="n">
        <v>46</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I-I-0046</t>
        </is>
      </c>
      <c r="B4656" s="12" t="inlineStr">
        <is>
          <t>I</t>
        </is>
      </c>
      <c r="C4656" s="12" t="inlineStr">
        <is>
          <t>Modular / portable power</t>
        </is>
      </c>
      <c r="D4656" s="12" t="inlineStr">
        <is>
          <t>Analog instrument to JB JB-CONT-7-AI01: 20 x 1 pr (field cables)</t>
        </is>
      </c>
      <c r="E4656" s="12" t="inlineStr">
        <is>
          <t>CONT-7</t>
        </is>
      </c>
      <c r="F4656" s="12" t="inlineStr">
        <is>
          <t>CONT-7: containerized gas genset 13.8 kV (40 ft)</t>
        </is>
      </c>
      <c r="G4656" s="12" t="inlineStr">
        <is>
          <t>JB-CONT-7-AI01</t>
        </is>
      </c>
      <c r="H4656" s="12" t="inlineStr">
        <is>
          <t>CONT-7: containerized gas genset 13.8 kV (40 ft)</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7" t="n">
        <v>54</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I-I-0047</t>
        </is>
      </c>
      <c r="B4657" s="12" t="inlineStr">
        <is>
          <t>I</t>
        </is>
      </c>
      <c r="C4657" s="12" t="inlineStr">
        <is>
          <t>Modular / portable power</t>
        </is>
      </c>
      <c r="D4657" s="12" t="inlineStr">
        <is>
          <t>Home run JB-CONT-7-AI01 to the control / marshalling room</t>
        </is>
      </c>
      <c r="E4657" s="12" t="inlineStr">
        <is>
          <t>PAD-EH</t>
        </is>
      </c>
      <c r="F4657" s="12" t="inlineStr">
        <is>
          <t>PAD-EH 13.8 kV switchgear e-house</t>
        </is>
      </c>
      <c r="G4657" s="12" t="inlineStr">
        <is>
          <t>JB-CONT-7-AI01</t>
        </is>
      </c>
      <c r="H4657" s="12" t="inlineStr">
        <is>
          <t>CONT-7: containerized gas genset 13.8 kV (40 ft)</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7" t="n">
        <v>228</v>
      </c>
      <c r="U4657" s="17" t="n">
        <v>46</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I-I-0048</t>
        </is>
      </c>
      <c r="B4658" s="12" t="inlineStr">
        <is>
          <t>I</t>
        </is>
      </c>
      <c r="C4658" s="12" t="inlineStr">
        <is>
          <t>Modular / portable power</t>
        </is>
      </c>
      <c r="D4658" s="12" t="inlineStr">
        <is>
          <t>Discrete device to JB JB-CONT-7-DI01: 20 x 1 pr (field cables)</t>
        </is>
      </c>
      <c r="E4658" s="12" t="inlineStr">
        <is>
          <t>CONT-7</t>
        </is>
      </c>
      <c r="F4658" s="12" t="inlineStr">
        <is>
          <t>CONT-7: containerized gas genset 13.8 kV (40 ft)</t>
        </is>
      </c>
      <c r="G4658" s="12" t="inlineStr">
        <is>
          <t>JB-CONT-7-DI01</t>
        </is>
      </c>
      <c r="H4658" s="12" t="inlineStr">
        <is>
          <t>CONT-7: containerized gas genset 13.8 kV (40 ft)</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7" t="n">
        <v>54</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I-I-0049</t>
        </is>
      </c>
      <c r="B4659" s="12" t="inlineStr">
        <is>
          <t>I</t>
        </is>
      </c>
      <c r="C4659" s="12" t="inlineStr">
        <is>
          <t>Modular / portable power</t>
        </is>
      </c>
      <c r="D4659" s="12" t="inlineStr">
        <is>
          <t>Home run JB-CONT-7-DI01 to the control / marshalling room</t>
        </is>
      </c>
      <c r="E4659" s="12" t="inlineStr">
        <is>
          <t>PAD-EH</t>
        </is>
      </c>
      <c r="F4659" s="12" t="inlineStr">
        <is>
          <t>PAD-EH 13.8 kV switchgear e-house</t>
        </is>
      </c>
      <c r="G4659" s="12" t="inlineStr">
        <is>
          <t>JB-CONT-7-DI01</t>
        </is>
      </c>
      <c r="H4659" s="12" t="inlineStr">
        <is>
          <t>CONT-7: containerized gas genset 13.8 kV (40 ft)</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7" t="n">
        <v>228</v>
      </c>
      <c r="U4659" s="17" t="n">
        <v>46</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I-I-0050</t>
        </is>
      </c>
      <c r="B4660" s="12" t="inlineStr">
        <is>
          <t>I</t>
        </is>
      </c>
      <c r="C4660" s="12" t="inlineStr">
        <is>
          <t>Modular / portable power</t>
        </is>
      </c>
      <c r="D4660" s="12" t="inlineStr">
        <is>
          <t>Analog instrument to JB JB-CONT-8-AI01: 20 x 1 pr (field cables)</t>
        </is>
      </c>
      <c r="E4660" s="12" t="inlineStr">
        <is>
          <t>CONT-8</t>
        </is>
      </c>
      <c r="F4660" s="12" t="inlineStr">
        <is>
          <t>CONT-8: containerized gas genset 13.8 kV (40 ft)</t>
        </is>
      </c>
      <c r="G4660" s="12" t="inlineStr">
        <is>
          <t>JB-CONT-8-AI01</t>
        </is>
      </c>
      <c r="H4660" s="12" t="inlineStr">
        <is>
          <t>CONT-8: containerized gas genset 13.8 kV (40 ft)</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7" t="n">
        <v>54</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I-I-0051</t>
        </is>
      </c>
      <c r="B4661" s="12" t="inlineStr">
        <is>
          <t>I</t>
        </is>
      </c>
      <c r="C4661" s="12" t="inlineStr">
        <is>
          <t>Modular / portable power</t>
        </is>
      </c>
      <c r="D4661" s="12" t="inlineStr">
        <is>
          <t>Home run JB-CONT-8-AI01 to the control / marshalling room</t>
        </is>
      </c>
      <c r="E4661" s="12" t="inlineStr">
        <is>
          <t>PAD-EH</t>
        </is>
      </c>
      <c r="F4661" s="12" t="inlineStr">
        <is>
          <t>PAD-EH 13.8 kV switchgear e-house</t>
        </is>
      </c>
      <c r="G4661" s="12" t="inlineStr">
        <is>
          <t>JB-CONT-8-AI01</t>
        </is>
      </c>
      <c r="H4661" s="12" t="inlineStr">
        <is>
          <t>CONT-8: containerized gas genset 13.8 kV (40 ft)</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Surface</t>
        </is>
      </c>
      <c r="T4661" s="17" t="n">
        <v>16</v>
      </c>
      <c r="U4661" s="17" t="n">
        <v>117</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I-I-0052</t>
        </is>
      </c>
      <c r="B4662" s="12" t="inlineStr">
        <is>
          <t>I</t>
        </is>
      </c>
      <c r="C4662" s="12" t="inlineStr">
        <is>
          <t>Modular / portable power</t>
        </is>
      </c>
      <c r="D4662" s="12" t="inlineStr">
        <is>
          <t>Discrete device to JB JB-CONT-8-DI01: 20 x 1 pr (field cables)</t>
        </is>
      </c>
      <c r="E4662" s="12" t="inlineStr">
        <is>
          <t>CONT-8</t>
        </is>
      </c>
      <c r="F4662" s="12" t="inlineStr">
        <is>
          <t>CONT-8: containerized gas genset 13.8 kV (40 ft)</t>
        </is>
      </c>
      <c r="G4662" s="12" t="inlineStr">
        <is>
          <t>JB-CONT-8-DI01</t>
        </is>
      </c>
      <c r="H4662" s="12" t="inlineStr">
        <is>
          <t>CONT-8: containerized gas genset 13.8 kV (40 ft)</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54</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I-I-0053</t>
        </is>
      </c>
      <c r="B4663" s="12" t="inlineStr">
        <is>
          <t>I</t>
        </is>
      </c>
      <c r="C4663" s="12" t="inlineStr">
        <is>
          <t>Modular / portable power</t>
        </is>
      </c>
      <c r="D4663" s="12" t="inlineStr">
        <is>
          <t>Home run JB-CONT-8-DI01 to the control / marshalling room</t>
        </is>
      </c>
      <c r="E4663" s="12" t="inlineStr">
        <is>
          <t>PAD-EH</t>
        </is>
      </c>
      <c r="F4663" s="12" t="inlineStr">
        <is>
          <t>PAD-EH 13.8 kV switchgear e-house</t>
        </is>
      </c>
      <c r="G4663" s="12" t="inlineStr">
        <is>
          <t>JB-CONT-8-DI01</t>
        </is>
      </c>
      <c r="H4663" s="12" t="inlineStr">
        <is>
          <t>CONT-8: containerized gas genset 13.8 kV (40 ft)</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Surface</t>
        </is>
      </c>
      <c r="T4663" s="17" t="n">
        <v>16</v>
      </c>
      <c r="U4663" s="17" t="n">
        <v>117</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I-I-0054</t>
        </is>
      </c>
      <c r="B4664" s="12" t="inlineStr">
        <is>
          <t>I</t>
        </is>
      </c>
      <c r="C4664" s="12" t="inlineStr">
        <is>
          <t>Modular / portable power</t>
        </is>
      </c>
      <c r="D4664" s="12" t="inlineStr">
        <is>
          <t>Analog instrument to JB JB-Demin tank + trail-AI01: 4 x 1 pr (field cables)</t>
        </is>
      </c>
      <c r="E4664" s="12" t="inlineStr"/>
      <c r="F4664" s="12" t="inlineStr">
        <is>
          <t>Demin tank + trailer pad</t>
        </is>
      </c>
      <c r="G4664" s="12" t="inlineStr">
        <is>
          <t>JB-Demin tank + trail-AI01</t>
        </is>
      </c>
      <c r="H4664" s="12" t="inlineStr">
        <is>
          <t>Demin tank + trailer pad</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4</v>
      </c>
      <c r="O4664" s="12" t="n">
        <v>1</v>
      </c>
      <c r="P4664" s="12" t="n"/>
      <c r="Q4664" s="12" t="n"/>
      <c r="R4664" s="12" t="n"/>
      <c r="S4664" s="12" t="inlineStr">
        <is>
          <t>Tray / conduit</t>
        </is>
      </c>
      <c r="T4664" s="17" t="n">
        <v>78</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I-I-0055</t>
        </is>
      </c>
      <c r="B4665" s="12" t="inlineStr">
        <is>
          <t>I</t>
        </is>
      </c>
      <c r="C4665" s="12" t="inlineStr">
        <is>
          <t>Modular / portable power</t>
        </is>
      </c>
      <c r="D4665" s="12" t="inlineStr">
        <is>
          <t>Home run JB-Demin tank + trail-AI01 to the control / marshalling room</t>
        </is>
      </c>
      <c r="E4665" s="12" t="inlineStr"/>
      <c r="F4665" s="12" t="inlineStr">
        <is>
          <t>SC-2 PCM + 15 kV GCB</t>
        </is>
      </c>
      <c r="G4665" s="12" t="inlineStr">
        <is>
          <t>JB-Demin tank + trail-AI01</t>
        </is>
      </c>
      <c r="H4665" s="12" t="inlineStr">
        <is>
          <t>Demin tank + trailer pad</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8</v>
      </c>
      <c r="U4665" s="17" t="n">
        <v>64</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I-I-0056</t>
        </is>
      </c>
      <c r="B4666" s="12" t="inlineStr">
        <is>
          <t>I</t>
        </is>
      </c>
      <c r="C4666" s="12" t="inlineStr">
        <is>
          <t>Modular / portable power</t>
        </is>
      </c>
      <c r="D4666" s="12" t="inlineStr">
        <is>
          <t>Discrete device to JB JB-Demin tank + trail-DI01: 4 x 1 pr (field cables)</t>
        </is>
      </c>
      <c r="E4666" s="12" t="inlineStr"/>
      <c r="F4666" s="12" t="inlineStr">
        <is>
          <t>Demin tank + trailer pad</t>
        </is>
      </c>
      <c r="G4666" s="12" t="inlineStr">
        <is>
          <t>JB-Demin tank + trail-DI01</t>
        </is>
      </c>
      <c r="H4666" s="12" t="inlineStr">
        <is>
          <t>Demin tank + trailer pad</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4</v>
      </c>
      <c r="O4666" s="12" t="n">
        <v>1</v>
      </c>
      <c r="P4666" s="12" t="n"/>
      <c r="Q4666" s="12" t="n"/>
      <c r="R4666" s="12" t="n"/>
      <c r="S4666" s="12" t="inlineStr">
        <is>
          <t>Tray / conduit</t>
        </is>
      </c>
      <c r="T4666" s="17" t="n">
        <v>78</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I-I-0057</t>
        </is>
      </c>
      <c r="B4667" s="12" t="inlineStr">
        <is>
          <t>I</t>
        </is>
      </c>
      <c r="C4667" s="12" t="inlineStr">
        <is>
          <t>Modular / portable power</t>
        </is>
      </c>
      <c r="D4667" s="12" t="inlineStr">
        <is>
          <t>Home run JB-Demin tank + trail-DI01 to the control / marshalling room</t>
        </is>
      </c>
      <c r="E4667" s="12" t="inlineStr"/>
      <c r="F4667" s="12" t="inlineStr">
        <is>
          <t>SC-2 PCM + 15 kV GCB</t>
        </is>
      </c>
      <c r="G4667" s="12" t="inlineStr">
        <is>
          <t>JB-Demin tank + trail-DI01</t>
        </is>
      </c>
      <c r="H4667" s="12" t="inlineStr">
        <is>
          <t>Demin tank + trailer pad</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8</v>
      </c>
      <c r="U4667" s="17" t="n">
        <v>64</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I-I-0058</t>
        </is>
      </c>
      <c r="B4668" s="12" t="inlineStr">
        <is>
          <t>I</t>
        </is>
      </c>
      <c r="C4668" s="12" t="inlineStr">
        <is>
          <t>Modular / portable power</t>
        </is>
      </c>
      <c r="D4668" s="12" t="inlineStr">
        <is>
          <t>Analog instrument to JB JB-FC-10-AI01: 10 x 1 pr (field cables)</t>
        </is>
      </c>
      <c r="E4668" s="12" t="inlineStr">
        <is>
          <t>FC-10</t>
        </is>
      </c>
      <c r="F4668" s="12" t="inlineStr">
        <is>
          <t>FC-10: SOFC module (Bloom ES5 class, 200-300 kW)</t>
        </is>
      </c>
      <c r="G4668" s="12" t="inlineStr">
        <is>
          <t>JB-FC-10-AI01</t>
        </is>
      </c>
      <c r="H4668" s="12" t="inlineStr">
        <is>
          <t>FC-10: SOFC module (Bloom ES5 class, 200-300 kW)</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7" t="n">
        <v>45</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I-I-0059</t>
        </is>
      </c>
      <c r="B4669" s="12" t="inlineStr">
        <is>
          <t>I</t>
        </is>
      </c>
      <c r="C4669" s="12" t="inlineStr">
        <is>
          <t>Modular / portable power</t>
        </is>
      </c>
      <c r="D4669" s="12" t="inlineStr">
        <is>
          <t>Home run JB-FC-10-AI01 to the control / marshalling room</t>
        </is>
      </c>
      <c r="E4669" s="12" t="inlineStr">
        <is>
          <t>PAD-EH</t>
        </is>
      </c>
      <c r="F4669" s="12" t="inlineStr">
        <is>
          <t>PAD-EH 13.8 kV switchgear e-house</t>
        </is>
      </c>
      <c r="G4669" s="12" t="inlineStr">
        <is>
          <t>JB-FC-10-AI01</t>
        </is>
      </c>
      <c r="H4669" s="12" t="inlineStr">
        <is>
          <t>FC-10: SOFC module (Bloom ES5 class, 200-300 kW)</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7" t="n">
        <v>286</v>
      </c>
      <c r="U4669" s="17" t="n">
        <v>50</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I-I-0060</t>
        </is>
      </c>
      <c r="B4670" s="12" t="inlineStr">
        <is>
          <t>I</t>
        </is>
      </c>
      <c r="C4670" s="12" t="inlineStr">
        <is>
          <t>Modular / portable power</t>
        </is>
      </c>
      <c r="D4670" s="12" t="inlineStr">
        <is>
          <t>Discrete device to JB JB-FC-10-DI01: 10 x 1 pr (field cables)</t>
        </is>
      </c>
      <c r="E4670" s="12" t="inlineStr">
        <is>
          <t>FC-10</t>
        </is>
      </c>
      <c r="F4670" s="12" t="inlineStr">
        <is>
          <t>FC-10: SOFC module (Bloom ES5 class, 200-300 kW)</t>
        </is>
      </c>
      <c r="G4670" s="12" t="inlineStr">
        <is>
          <t>JB-FC-10-DI01</t>
        </is>
      </c>
      <c r="H4670" s="12" t="inlineStr">
        <is>
          <t>FC-10: SOFC module (Bloom ES5 class, 200-300 kW)</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7" t="n">
        <v>45</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I-I-0061</t>
        </is>
      </c>
      <c r="B4671" s="12" t="inlineStr">
        <is>
          <t>I</t>
        </is>
      </c>
      <c r="C4671" s="12" t="inlineStr">
        <is>
          <t>Modular / portable power</t>
        </is>
      </c>
      <c r="D4671" s="12" t="inlineStr">
        <is>
          <t>Home run JB-FC-10-DI01 to the control / marshalling room</t>
        </is>
      </c>
      <c r="E4671" s="12" t="inlineStr">
        <is>
          <t>PAD-EH</t>
        </is>
      </c>
      <c r="F4671" s="12" t="inlineStr">
        <is>
          <t>PAD-EH 13.8 kV switchgear e-house</t>
        </is>
      </c>
      <c r="G4671" s="12" t="inlineStr">
        <is>
          <t>JB-FC-10-DI01</t>
        </is>
      </c>
      <c r="H4671" s="12" t="inlineStr">
        <is>
          <t>FC-10: SOFC module (Bloom ES5 class, 200-300 kW)</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7" t="n">
        <v>286</v>
      </c>
      <c r="U4671" s="17" t="n">
        <v>50</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I-I-0062</t>
        </is>
      </c>
      <c r="B4672" s="12" t="inlineStr">
        <is>
          <t>I</t>
        </is>
      </c>
      <c r="C4672" s="12" t="inlineStr">
        <is>
          <t>Modular / portable power</t>
        </is>
      </c>
      <c r="D4672" s="12" t="inlineStr">
        <is>
          <t>Analog instrument to JB JB-FC-11-AI01: 10 x 1 pr (field cables)</t>
        </is>
      </c>
      <c r="E4672" s="12" t="inlineStr">
        <is>
          <t>FC-11</t>
        </is>
      </c>
      <c r="F4672" s="12" t="inlineStr">
        <is>
          <t>FC-11: SOFC module (Bloom ES5 class, 200-300 kW)</t>
        </is>
      </c>
      <c r="G4672" s="12" t="inlineStr">
        <is>
          <t>JB-FC-11-AI01</t>
        </is>
      </c>
      <c r="H4672" s="12" t="inlineStr">
        <is>
          <t>FC-11: SOFC module (Bloom ES5 class, 200-300 kW)</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10</v>
      </c>
      <c r="O4672" s="12" t="n">
        <v>1</v>
      </c>
      <c r="P4672" s="12" t="n"/>
      <c r="Q4672" s="12" t="n"/>
      <c r="R4672" s="12" t="n"/>
      <c r="S4672" s="12" t="inlineStr">
        <is>
          <t>Tray / conduit</t>
        </is>
      </c>
      <c r="T4672" s="17" t="n">
        <v>45</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I-I-0063</t>
        </is>
      </c>
      <c r="B4673" s="12" t="inlineStr">
        <is>
          <t>I</t>
        </is>
      </c>
      <c r="C4673" s="12" t="inlineStr">
        <is>
          <t>Modular / portable power</t>
        </is>
      </c>
      <c r="D4673" s="12" t="inlineStr">
        <is>
          <t>Home run JB-FC-11-AI01 to the control / marshalling room</t>
        </is>
      </c>
      <c r="E4673" s="12" t="inlineStr">
        <is>
          <t>PAD-EH</t>
        </is>
      </c>
      <c r="F4673" s="12" t="inlineStr">
        <is>
          <t>PAD-EH 13.8 kV switchgear e-house</t>
        </is>
      </c>
      <c r="G4673" s="12" t="inlineStr">
        <is>
          <t>JB-FC-11-AI01</t>
        </is>
      </c>
      <c r="H4673" s="12" t="inlineStr">
        <is>
          <t>FC-11: SOFC module (Bloom ES5 class, 200-300 kW)</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7" t="n">
        <v>272</v>
      </c>
      <c r="U4673" s="17" t="n">
        <v>50</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I-I-0064</t>
        </is>
      </c>
      <c r="B4674" s="12" t="inlineStr">
        <is>
          <t>I</t>
        </is>
      </c>
      <c r="C4674" s="12" t="inlineStr">
        <is>
          <t>Modular / portable power</t>
        </is>
      </c>
      <c r="D4674" s="12" t="inlineStr">
        <is>
          <t>Discrete device to JB JB-FC-11-DI01: 10 x 1 pr (field cables)</t>
        </is>
      </c>
      <c r="E4674" s="12" t="inlineStr">
        <is>
          <t>FC-11</t>
        </is>
      </c>
      <c r="F4674" s="12" t="inlineStr">
        <is>
          <t>FC-11: SOFC module (Bloom ES5 class, 200-300 kW)</t>
        </is>
      </c>
      <c r="G4674" s="12" t="inlineStr">
        <is>
          <t>JB-FC-11-DI01</t>
        </is>
      </c>
      <c r="H4674" s="12" t="inlineStr">
        <is>
          <t>FC-11: SOFC module (Bloom ES5 class, 200-300 kW)</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10</v>
      </c>
      <c r="O4674" s="12" t="n">
        <v>1</v>
      </c>
      <c r="P4674" s="12" t="n"/>
      <c r="Q4674" s="12" t="n"/>
      <c r="R4674" s="12" t="n"/>
      <c r="S4674" s="12" t="inlineStr">
        <is>
          <t>Tray / conduit</t>
        </is>
      </c>
      <c r="T4674" s="17" t="n">
        <v>45</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I-I-0065</t>
        </is>
      </c>
      <c r="B4675" s="12" t="inlineStr">
        <is>
          <t>I</t>
        </is>
      </c>
      <c r="C4675" s="12" t="inlineStr">
        <is>
          <t>Modular / portable power</t>
        </is>
      </c>
      <c r="D4675" s="12" t="inlineStr">
        <is>
          <t>Home run JB-FC-11-DI01 to the control / marshalling room</t>
        </is>
      </c>
      <c r="E4675" s="12" t="inlineStr">
        <is>
          <t>PAD-EH</t>
        </is>
      </c>
      <c r="F4675" s="12" t="inlineStr">
        <is>
          <t>PAD-EH 13.8 kV switchgear e-house</t>
        </is>
      </c>
      <c r="G4675" s="12" t="inlineStr">
        <is>
          <t>JB-FC-11-DI01</t>
        </is>
      </c>
      <c r="H4675" s="12" t="inlineStr">
        <is>
          <t>FC-11: SOFC module (Bloom ES5 class, 200-300 kW)</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7" t="n">
        <v>272</v>
      </c>
      <c r="U4675" s="17" t="n">
        <v>50</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I-I-0066</t>
        </is>
      </c>
      <c r="B4676" s="12" t="inlineStr">
        <is>
          <t>I</t>
        </is>
      </c>
      <c r="C4676" s="12" t="inlineStr">
        <is>
          <t>Modular / portable power</t>
        </is>
      </c>
      <c r="D4676" s="12" t="inlineStr">
        <is>
          <t>Analog instrument to JB JB-FC-12-AI01: 10 x 1 pr (field cables)</t>
        </is>
      </c>
      <c r="E4676" s="12" t="inlineStr">
        <is>
          <t>FC-12</t>
        </is>
      </c>
      <c r="F4676" s="12" t="inlineStr">
        <is>
          <t>FC-12: SOFC module (Bloom ES5 class, 200-300 kW)</t>
        </is>
      </c>
      <c r="G4676" s="12" t="inlineStr">
        <is>
          <t>JB-FC-12-AI01</t>
        </is>
      </c>
      <c r="H4676" s="12" t="inlineStr">
        <is>
          <t>FC-12: SOFC module (Bloom ES5 class, 200-300 kW)</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7" t="n">
        <v>45</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I-I-0067</t>
        </is>
      </c>
      <c r="B4677" s="12" t="inlineStr">
        <is>
          <t>I</t>
        </is>
      </c>
      <c r="C4677" s="12" t="inlineStr">
        <is>
          <t>Modular / portable power</t>
        </is>
      </c>
      <c r="D4677" s="12" t="inlineStr">
        <is>
          <t>Home run JB-FC-12-AI01 to the control / marshalling room</t>
        </is>
      </c>
      <c r="E4677" s="12" t="inlineStr">
        <is>
          <t>PAD-EH</t>
        </is>
      </c>
      <c r="F4677" s="12" t="inlineStr">
        <is>
          <t>PAD-EH 13.8 kV switchgear e-house</t>
        </is>
      </c>
      <c r="G4677" s="12" t="inlineStr">
        <is>
          <t>JB-FC-12-AI01</t>
        </is>
      </c>
      <c r="H4677" s="12" t="inlineStr">
        <is>
          <t>FC-12: SOFC module (Bloom ES5 class, 200-300 kW)</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272</v>
      </c>
      <c r="U4677" s="17" t="n">
        <v>41</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I-I-0068</t>
        </is>
      </c>
      <c r="B4678" s="12" t="inlineStr">
        <is>
          <t>I</t>
        </is>
      </c>
      <c r="C4678" s="12" t="inlineStr">
        <is>
          <t>Modular / portable power</t>
        </is>
      </c>
      <c r="D4678" s="12" t="inlineStr">
        <is>
          <t>Discrete device to JB JB-FC-12-DI01: 10 x 1 pr (field cables)</t>
        </is>
      </c>
      <c r="E4678" s="12" t="inlineStr">
        <is>
          <t>FC-12</t>
        </is>
      </c>
      <c r="F4678" s="12" t="inlineStr">
        <is>
          <t>FC-12: SOFC module (Bloom ES5 class, 200-300 kW)</t>
        </is>
      </c>
      <c r="G4678" s="12" t="inlineStr">
        <is>
          <t>JB-FC-12-DI01</t>
        </is>
      </c>
      <c r="H4678" s="12" t="inlineStr">
        <is>
          <t>FC-12: SOFC module (Bloom ES5 class, 200-300 kW)</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7" t="n">
        <v>45</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I-I-0069</t>
        </is>
      </c>
      <c r="B4679" s="12" t="inlineStr">
        <is>
          <t>I</t>
        </is>
      </c>
      <c r="C4679" s="12" t="inlineStr">
        <is>
          <t>Modular / portable power</t>
        </is>
      </c>
      <c r="D4679" s="12" t="inlineStr">
        <is>
          <t>Home run JB-FC-12-DI01 to the control / marshalling room</t>
        </is>
      </c>
      <c r="E4679" s="12" t="inlineStr">
        <is>
          <t>PAD-EH</t>
        </is>
      </c>
      <c r="F4679" s="12" t="inlineStr">
        <is>
          <t>PAD-EH 13.8 kV switchgear e-house</t>
        </is>
      </c>
      <c r="G4679" s="12" t="inlineStr">
        <is>
          <t>JB-FC-12-DI01</t>
        </is>
      </c>
      <c r="H4679" s="12" t="inlineStr">
        <is>
          <t>FC-12: SOFC module (Bloom ES5 class, 200-300 kW)</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272</v>
      </c>
      <c r="U4679" s="17" t="n">
        <v>41</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I-I-0070</t>
        </is>
      </c>
      <c r="B4680" s="12" t="inlineStr">
        <is>
          <t>I</t>
        </is>
      </c>
      <c r="C4680" s="12" t="inlineStr">
        <is>
          <t>Modular / portable power</t>
        </is>
      </c>
      <c r="D4680" s="12" t="inlineStr">
        <is>
          <t>Instrumentation</t>
        </is>
      </c>
      <c r="E4680" s="12" t="inlineStr">
        <is>
          <t>PAD-EH</t>
        </is>
      </c>
      <c r="F4680" s="12" t="inlineStr">
        <is>
          <t>PAD-EH 13.8 kV switchgear e-house</t>
        </is>
      </c>
      <c r="G4680" s="12" t="inlineStr"/>
      <c r="H4680" s="12" t="inlineStr">
        <is>
          <t>FC-5..12 inverter / AC cabinet / desulfurizer</t>
        </is>
      </c>
      <c r="I4680" s="12" t="inlineStr">
        <is>
          <t>Instrumentation</t>
        </is>
      </c>
      <c r="J4680" s="12" t="inlineStr">
        <is>
          <t>Instrumentation PLTC / TC-ER 300 V, #18 twisted shielded pairs, overall shield</t>
        </is>
      </c>
      <c r="K4680" s="12" t="inlineStr">
        <is>
          <t>PLTC|4 pr|18</t>
        </is>
      </c>
      <c r="L4680" s="12" t="inlineStr">
        <is>
          <t>4 pr</t>
        </is>
      </c>
      <c r="M4680" s="12" t="inlineStr">
        <is>
          <t>18</t>
        </is>
      </c>
      <c r="N4680" s="12" t="n">
        <v>1</v>
      </c>
      <c r="O4680" s="12" t="n">
        <v>1</v>
      </c>
      <c r="P4680" s="12" t="n"/>
      <c r="Q4680" s="12" t="n"/>
      <c r="R4680" s="12" t="n"/>
      <c r="S4680" s="12" t="inlineStr">
        <is>
          <t>Surface</t>
        </is>
      </c>
      <c r="T4680" s="17" t="n">
        <v>202</v>
      </c>
      <c r="U4680" s="17" t="n">
        <v>37</v>
      </c>
      <c r="V4680" s="17">
        <f>ROUNDUP((T4680+U4680+2*'Read Me'!$B$13)*(1+'Read Me'!$B$12),-1)</f>
        <v/>
      </c>
      <c r="W4680" s="17">
        <f>V4680*N4680*O4680</f>
        <v/>
      </c>
      <c r="X4680" s="12">
        <f>IF(LEFT(I4680,2)="MV",2*N4680*IF(L4680="1/C",O4680,1),0)</f>
        <v/>
      </c>
      <c r="Y4680" s="12">
        <f>IF(OR(LEFT(K4680,4)="LVAX",LEFT(K4680,6)="MV15AX",LEFT(K4680,4)="CTAX",LEFT(K4680,2)="W|"),2*N4680*O4680,0)</f>
        <v/>
      </c>
      <c r="Z4680" s="12" t="inlineStr"/>
      <c r="AA4680" s="12">
        <f>N4680*O4680</f>
        <v/>
      </c>
    </row>
    <row r="4681">
      <c r="A4681" s="12" t="inlineStr">
        <is>
          <t>I-I-0071</t>
        </is>
      </c>
      <c r="B4681" s="12" t="inlineStr">
        <is>
          <t>I</t>
        </is>
      </c>
      <c r="C4681" s="12" t="inlineStr">
        <is>
          <t>Modular / portable power</t>
        </is>
      </c>
      <c r="D4681" s="12" t="inlineStr">
        <is>
          <t>Thermocouples</t>
        </is>
      </c>
      <c r="E4681" s="12" t="inlineStr">
        <is>
          <t>PAD-EH</t>
        </is>
      </c>
      <c r="F4681" s="12" t="inlineStr">
        <is>
          <t>PAD-EH 13.8 kV switchgear e-house</t>
        </is>
      </c>
      <c r="G4681" s="12" t="inlineStr"/>
      <c r="H4681" s="12" t="inlineStr">
        <is>
          <t>FC-5..12 inverter / AC cabinet / desulfurizer</t>
        </is>
      </c>
      <c r="I4681" s="12" t="inlineStr">
        <is>
          <t>Instrumentation</t>
        </is>
      </c>
      <c r="J4681" s="12" t="inlineStr">
        <is>
          <t>Thermocouple extension KX, #16 shielded pairs, PLTC</t>
        </is>
      </c>
      <c r="K4681" s="12" t="inlineStr">
        <is>
          <t>TCX|12 pr|16</t>
        </is>
      </c>
      <c r="L4681" s="12" t="inlineStr">
        <is>
          <t>12 pr</t>
        </is>
      </c>
      <c r="M4681" s="12" t="inlineStr">
        <is>
          <t>16</t>
        </is>
      </c>
      <c r="N4681" s="12" t="n">
        <v>1</v>
      </c>
      <c r="O4681" s="12" t="n">
        <v>1</v>
      </c>
      <c r="P4681" s="12" t="n"/>
      <c r="Q4681" s="12" t="n"/>
      <c r="R4681" s="12" t="n"/>
      <c r="S4681" s="12" t="inlineStr">
        <is>
          <t>Surface</t>
        </is>
      </c>
      <c r="T4681" s="17" t="n">
        <v>202</v>
      </c>
      <c r="U4681" s="17" t="n">
        <v>37</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I-I-0072</t>
        </is>
      </c>
      <c r="B4682" s="12" t="inlineStr">
        <is>
          <t>I</t>
        </is>
      </c>
      <c r="C4682" s="12" t="inlineStr">
        <is>
          <t>Modular / portable power</t>
        </is>
      </c>
      <c r="D4682" s="12" t="inlineStr">
        <is>
          <t>Thermocouples</t>
        </is>
      </c>
      <c r="E4682" s="12" t="inlineStr">
        <is>
          <t>PAD-EH</t>
        </is>
      </c>
      <c r="F4682" s="12" t="inlineStr">
        <is>
          <t>PAD-EH 13.8 kV switchgear e-house</t>
        </is>
      </c>
      <c r="G4682" s="12" t="inlineStr"/>
      <c r="H4682" s="12" t="inlineStr">
        <is>
          <t>FC-5..12 inverter / AC cabinet / desulfurizer</t>
        </is>
      </c>
      <c r="I4682" s="12" t="inlineStr">
        <is>
          <t>Instrumentation</t>
        </is>
      </c>
      <c r="J4682" s="12" t="inlineStr">
        <is>
          <t>Thermocouple extension KX, #16 shielded pairs, PLTC</t>
        </is>
      </c>
      <c r="K4682" s="12" t="inlineStr">
        <is>
          <t>TCX|12 pr|16</t>
        </is>
      </c>
      <c r="L4682" s="12" t="inlineStr">
        <is>
          <t>12 pr</t>
        </is>
      </c>
      <c r="M4682" s="12" t="inlineStr">
        <is>
          <t>16</t>
        </is>
      </c>
      <c r="N4682" s="12" t="n">
        <v>1</v>
      </c>
      <c r="O4682" s="12" t="n">
        <v>1</v>
      </c>
      <c r="P4682" s="12" t="n"/>
      <c r="Q4682" s="12" t="n"/>
      <c r="R4682" s="12" t="n"/>
      <c r="S4682" s="12" t="inlineStr">
        <is>
          <t>Surface</t>
        </is>
      </c>
      <c r="T4682" s="17" t="n">
        <v>202</v>
      </c>
      <c r="U4682" s="17" t="n">
        <v>37</v>
      </c>
      <c r="V4682" s="17">
        <f>ROUNDUP((T4682+U4682+2*'Read Me'!$B$13)*(1+'Read Me'!$B$12),-1)</f>
        <v/>
      </c>
      <c r="W4682" s="17">
        <f>V4682*N4682*O4682</f>
        <v/>
      </c>
      <c r="X4682" s="12">
        <f>IF(LEFT(I4682,2)="MV",2*N4682*IF(L4682="1/C",O4682,1),0)</f>
        <v/>
      </c>
      <c r="Y4682" s="12">
        <f>IF(OR(LEFT(K4682,4)="LVAX",LEFT(K4682,6)="MV15AX",LEFT(K4682,4)="CTAX",LEFT(K4682,2)="W|"),2*N4682*O4682,0)</f>
        <v/>
      </c>
      <c r="Z4682" s="12" t="inlineStr"/>
      <c r="AA4682" s="12">
        <f>N4682*O4682</f>
        <v/>
      </c>
    </row>
    <row r="4683">
      <c r="A4683" s="12" t="inlineStr">
        <is>
          <t>I-I-0073</t>
        </is>
      </c>
      <c r="B4683" s="12" t="inlineStr">
        <is>
          <t>I</t>
        </is>
      </c>
      <c r="C4683" s="12" t="inlineStr">
        <is>
          <t>Modular / portable power</t>
        </is>
      </c>
      <c r="D4683" s="12" t="inlineStr">
        <is>
          <t>Analog instrument to JB JB-FC-5-AI01: 10 x 1 pr (field cables)</t>
        </is>
      </c>
      <c r="E4683" s="12" t="inlineStr">
        <is>
          <t>FC-5</t>
        </is>
      </c>
      <c r="F4683" s="12" t="inlineStr">
        <is>
          <t>FC-5: SOFC module (Bloom ES5 class, 200-300 kW)</t>
        </is>
      </c>
      <c r="G4683" s="12" t="inlineStr">
        <is>
          <t>JB-FC-5-AI01</t>
        </is>
      </c>
      <c r="H4683" s="12" t="inlineStr">
        <is>
          <t>FC-5: SOFC module (Bloom ES5 class, 200-300 kW)</t>
        </is>
      </c>
      <c r="I4683" s="12" t="inlineStr">
        <is>
          <t>Instrumentation</t>
        </is>
      </c>
      <c r="J4683" s="12" t="inlineStr">
        <is>
          <t>Instrumentation PLTC / TC-ER 300 V, #18 twisted shielded pairs, overall shield</t>
        </is>
      </c>
      <c r="K4683" s="12" t="inlineStr">
        <is>
          <t>PLTC|1 pr|16</t>
        </is>
      </c>
      <c r="L4683" s="12" t="inlineStr">
        <is>
          <t>1 pr</t>
        </is>
      </c>
      <c r="M4683" s="12" t="inlineStr">
        <is>
          <t>16</t>
        </is>
      </c>
      <c r="N4683" s="12" t="n">
        <v>10</v>
      </c>
      <c r="O4683" s="12" t="n">
        <v>1</v>
      </c>
      <c r="P4683" s="12" t="n"/>
      <c r="Q4683" s="12" t="n"/>
      <c r="R4683" s="12" t="n"/>
      <c r="S4683" s="12" t="inlineStr">
        <is>
          <t>Tray / conduit</t>
        </is>
      </c>
      <c r="T4683" s="17" t="n">
        <v>45</v>
      </c>
      <c r="U4683" s="17" t="n">
        <v>10</v>
      </c>
      <c r="V4683" s="17">
        <f>ROUNDUP((T4683+U4683+2*'Read Me'!$B$13)*(1+'Read Me'!$B$12),-1)</f>
        <v/>
      </c>
      <c r="W4683" s="17">
        <f>V4683*N4683*O4683</f>
        <v/>
      </c>
      <c r="X4683" s="12">
        <f>IF(LEFT(I4683,2)="MV",2*N4683*IF(L4683="1/C",O4683,1),0)</f>
        <v/>
      </c>
      <c r="Y4683" s="12">
        <f>IF(OR(LEFT(K4683,4)="LVAX",LEFT(K4683,6)="MV15AX",LEFT(K4683,4)="CTAX",LEFT(K4683,2)="W|"),2*N4683*O4683,0)</f>
        <v/>
      </c>
      <c r="Z4683" s="12" t="inlineStr">
        <is>
          <t>device-to-JB field wiring, one cable per device</t>
        </is>
      </c>
      <c r="AA4683" s="12">
        <f>N4683*O4683</f>
        <v/>
      </c>
    </row>
    <row r="4684">
      <c r="A4684" s="12" t="inlineStr">
        <is>
          <t>I-I-0074</t>
        </is>
      </c>
      <c r="B4684" s="12" t="inlineStr">
        <is>
          <t>I</t>
        </is>
      </c>
      <c r="C4684" s="12" t="inlineStr">
        <is>
          <t>Modular / portable power</t>
        </is>
      </c>
      <c r="D4684" s="12" t="inlineStr">
        <is>
          <t>Home run JB-FC-5-AI01 to the control / marshalling room</t>
        </is>
      </c>
      <c r="E4684" s="12" t="inlineStr">
        <is>
          <t>PAD-EH</t>
        </is>
      </c>
      <c r="F4684" s="12" t="inlineStr">
        <is>
          <t>PAD-EH 13.8 kV switchgear e-house</t>
        </is>
      </c>
      <c r="G4684" s="12" t="inlineStr">
        <is>
          <t>JB-FC-5-AI01</t>
        </is>
      </c>
      <c r="H4684" s="12" t="inlineStr">
        <is>
          <t>FC-5: SOFC module (Bloom ES5 class, 200-300 kW)</t>
        </is>
      </c>
      <c r="I4684" s="12" t="inlineStr">
        <is>
          <t>Instrumentation</t>
        </is>
      </c>
      <c r="J4684" s="12" t="inlineStr">
        <is>
          <t>Instrumentation PLTC / TC-ER 300 V, #18 twisted shielded pairs, overall shield</t>
        </is>
      </c>
      <c r="K4684" s="12" t="inlineStr">
        <is>
          <t>PLTC|24 pr|18</t>
        </is>
      </c>
      <c r="L4684" s="12" t="inlineStr">
        <is>
          <t>24 pr</t>
        </is>
      </c>
      <c r="M4684" s="12" t="inlineStr">
        <is>
          <t>18</t>
        </is>
      </c>
      <c r="N4684" s="12" t="n">
        <v>1</v>
      </c>
      <c r="O4684" s="12" t="n">
        <v>1</v>
      </c>
      <c r="P4684" s="12" t="n"/>
      <c r="Q4684" s="12" t="n"/>
      <c r="R4684" s="12" t="n"/>
      <c r="S4684" s="12" t="inlineStr">
        <is>
          <t>Duct bank</t>
        </is>
      </c>
      <c r="T4684" s="17" t="n">
        <v>356</v>
      </c>
      <c r="U4684" s="17" t="n">
        <v>50</v>
      </c>
      <c r="V4684" s="17">
        <f>ROUNDUP((T4684+U4684+2*'Read Me'!$B$13)*(1+'Read Me'!$B$12),-1)</f>
        <v/>
      </c>
      <c r="W4684" s="17">
        <f>V4684*N4684*O4684</f>
        <v/>
      </c>
      <c r="X4684" s="12">
        <f>IF(LEFT(I4684,2)="MV",2*N4684*IF(L4684="1/C",O4684,1),0)</f>
        <v/>
      </c>
      <c r="Y4684" s="12">
        <f>IF(OR(LEFT(K4684,4)="LVAX",LEFT(K4684,6)="MV15AX",LEFT(K4684,4)="CTAX",LEFT(K4684,2)="W|"),2*N4684*O4684,0)</f>
        <v/>
      </c>
      <c r="Z4684" s="12" t="inlineStr"/>
      <c r="AA4684" s="12">
        <f>N4684*O4684</f>
        <v/>
      </c>
    </row>
    <row r="4685">
      <c r="A4685" s="12" t="inlineStr">
        <is>
          <t>I-I-0075</t>
        </is>
      </c>
      <c r="B4685" s="12" t="inlineStr">
        <is>
          <t>I</t>
        </is>
      </c>
      <c r="C4685" s="12" t="inlineStr">
        <is>
          <t>Modular / portable power</t>
        </is>
      </c>
      <c r="D4685" s="12" t="inlineStr">
        <is>
          <t>Discrete device to JB JB-FC-5-DI01: 10 x 1 pr (field cables)</t>
        </is>
      </c>
      <c r="E4685" s="12" t="inlineStr">
        <is>
          <t>FC-5</t>
        </is>
      </c>
      <c r="F4685" s="12" t="inlineStr">
        <is>
          <t>FC-5: SOFC module (Bloom ES5 class, 200-300 kW)</t>
        </is>
      </c>
      <c r="G4685" s="12" t="inlineStr">
        <is>
          <t>JB-FC-5-DI01</t>
        </is>
      </c>
      <c r="H4685" s="12" t="inlineStr">
        <is>
          <t>FC-5: SOFC module (Bloom ES5 class, 200-300 kW)</t>
        </is>
      </c>
      <c r="I4685" s="12" t="inlineStr">
        <is>
          <t>Instrumentation</t>
        </is>
      </c>
      <c r="J4685" s="12" t="inlineStr">
        <is>
          <t>Instrumentation PLTC / TC-ER 300 V, #18 twisted shielded pairs, overall shield</t>
        </is>
      </c>
      <c r="K4685" s="12" t="inlineStr">
        <is>
          <t>PLTC|1 pr|16</t>
        </is>
      </c>
      <c r="L4685" s="12" t="inlineStr">
        <is>
          <t>1 pr</t>
        </is>
      </c>
      <c r="M4685" s="12" t="inlineStr">
        <is>
          <t>16</t>
        </is>
      </c>
      <c r="N4685" s="12" t="n">
        <v>10</v>
      </c>
      <c r="O4685" s="12" t="n">
        <v>1</v>
      </c>
      <c r="P4685" s="12" t="n"/>
      <c r="Q4685" s="12" t="n"/>
      <c r="R4685" s="12" t="n"/>
      <c r="S4685" s="12" t="inlineStr">
        <is>
          <t>Tray / conduit</t>
        </is>
      </c>
      <c r="T4685" s="17" t="n">
        <v>45</v>
      </c>
      <c r="U4685" s="17" t="n">
        <v>10</v>
      </c>
      <c r="V4685" s="17">
        <f>ROUNDUP((T4685+U4685+2*'Read Me'!$B$13)*(1+'Read Me'!$B$12),-1)</f>
        <v/>
      </c>
      <c r="W4685" s="17">
        <f>V4685*N4685*O4685</f>
        <v/>
      </c>
      <c r="X4685" s="12">
        <f>IF(LEFT(I4685,2)="MV",2*N4685*IF(L4685="1/C",O4685,1),0)</f>
        <v/>
      </c>
      <c r="Y4685" s="12">
        <f>IF(OR(LEFT(K4685,4)="LVAX",LEFT(K4685,6)="MV15AX",LEFT(K4685,4)="CTAX",LEFT(K4685,2)="W|"),2*N4685*O4685,0)</f>
        <v/>
      </c>
      <c r="Z4685" s="12" t="inlineStr">
        <is>
          <t>device-to-JB field wiring, one cable per device</t>
        </is>
      </c>
      <c r="AA4685" s="12">
        <f>N4685*O4685</f>
        <v/>
      </c>
    </row>
    <row r="4686">
      <c r="A4686" s="12" t="inlineStr">
        <is>
          <t>I-I-0076</t>
        </is>
      </c>
      <c r="B4686" s="12" t="inlineStr">
        <is>
          <t>I</t>
        </is>
      </c>
      <c r="C4686" s="12" t="inlineStr">
        <is>
          <t>Modular / portable power</t>
        </is>
      </c>
      <c r="D4686" s="12" t="inlineStr">
        <is>
          <t>Home run JB-FC-5-DI01 to the control / marshalling room</t>
        </is>
      </c>
      <c r="E4686" s="12" t="inlineStr">
        <is>
          <t>PAD-EH</t>
        </is>
      </c>
      <c r="F4686" s="12" t="inlineStr">
        <is>
          <t>PAD-EH 13.8 kV switchgear e-house</t>
        </is>
      </c>
      <c r="G4686" s="12" t="inlineStr">
        <is>
          <t>JB-FC-5-DI01</t>
        </is>
      </c>
      <c r="H4686" s="12" t="inlineStr">
        <is>
          <t>FC-5: SOFC module (Bloom ES5 class, 200-300 kW)</t>
        </is>
      </c>
      <c r="I4686" s="12" t="inlineStr">
        <is>
          <t>Instrumentation</t>
        </is>
      </c>
      <c r="J4686" s="12" t="inlineStr">
        <is>
          <t>Instrumentation PLTC / TC-ER 300 V, #18 twisted shielded pairs, overall shield</t>
        </is>
      </c>
      <c r="K4686" s="12" t="inlineStr">
        <is>
          <t>PLTC|24 pr|18</t>
        </is>
      </c>
      <c r="L4686" s="12" t="inlineStr">
        <is>
          <t>24 pr</t>
        </is>
      </c>
      <c r="M4686" s="12" t="inlineStr">
        <is>
          <t>18</t>
        </is>
      </c>
      <c r="N4686" s="12" t="n">
        <v>1</v>
      </c>
      <c r="O4686" s="12" t="n">
        <v>1</v>
      </c>
      <c r="P4686" s="12" t="n"/>
      <c r="Q4686" s="12" t="n"/>
      <c r="R4686" s="12" t="n"/>
      <c r="S4686" s="12" t="inlineStr">
        <is>
          <t>Duct bank</t>
        </is>
      </c>
      <c r="T4686" s="17" t="n">
        <v>356</v>
      </c>
      <c r="U4686" s="17" t="n">
        <v>50</v>
      </c>
      <c r="V4686" s="17">
        <f>ROUNDUP((T4686+U4686+2*'Read Me'!$B$13)*(1+'Read Me'!$B$12),-1)</f>
        <v/>
      </c>
      <c r="W4686" s="17">
        <f>V4686*N4686*O4686</f>
        <v/>
      </c>
      <c r="X4686" s="12">
        <f>IF(LEFT(I4686,2)="MV",2*N4686*IF(L4686="1/C",O4686,1),0)</f>
        <v/>
      </c>
      <c r="Y4686" s="12">
        <f>IF(OR(LEFT(K4686,4)="LVAX",LEFT(K4686,6)="MV15AX",LEFT(K4686,4)="CTAX",LEFT(K4686,2)="W|"),2*N4686*O4686,0)</f>
        <v/>
      </c>
      <c r="Z4686" s="12" t="inlineStr"/>
      <c r="AA4686" s="12">
        <f>N4686*O4686</f>
        <v/>
      </c>
    </row>
    <row r="4687">
      <c r="A4687" s="12" t="inlineStr">
        <is>
          <t>I-I-0077</t>
        </is>
      </c>
      <c r="B4687" s="12" t="inlineStr">
        <is>
          <t>I</t>
        </is>
      </c>
      <c r="C4687" s="12" t="inlineStr">
        <is>
          <t>Modular / portable power</t>
        </is>
      </c>
      <c r="D4687" s="12" t="inlineStr">
        <is>
          <t>Analog instrument to JB JB-FC-6-AI01: 10 x 1 pr (field cables)</t>
        </is>
      </c>
      <c r="E4687" s="12" t="inlineStr">
        <is>
          <t>FC-6</t>
        </is>
      </c>
      <c r="F4687" s="12" t="inlineStr">
        <is>
          <t>FC-6: SOFC module (Bloom ES5 class, 200-300 kW)</t>
        </is>
      </c>
      <c r="G4687" s="12" t="inlineStr">
        <is>
          <t>JB-FC-6-AI01</t>
        </is>
      </c>
      <c r="H4687" s="12" t="inlineStr">
        <is>
          <t>FC-6: SOFC module (Bloom ES5 class, 200-300 kW)</t>
        </is>
      </c>
      <c r="I4687" s="12" t="inlineStr">
        <is>
          <t>Instrumentation</t>
        </is>
      </c>
      <c r="J4687" s="12" t="inlineStr">
        <is>
          <t>Instrumentation PLTC / TC-ER 300 V, #18 twisted shielded pairs, overall shield</t>
        </is>
      </c>
      <c r="K4687" s="12" t="inlineStr">
        <is>
          <t>PLTC|1 pr|16</t>
        </is>
      </c>
      <c r="L4687" s="12" t="inlineStr">
        <is>
          <t>1 pr</t>
        </is>
      </c>
      <c r="M4687" s="12" t="inlineStr">
        <is>
          <t>16</t>
        </is>
      </c>
      <c r="N4687" s="12" t="n">
        <v>10</v>
      </c>
      <c r="O4687" s="12" t="n">
        <v>1</v>
      </c>
      <c r="P4687" s="12" t="n"/>
      <c r="Q4687" s="12" t="n"/>
      <c r="R4687" s="12" t="n"/>
      <c r="S4687" s="12" t="inlineStr">
        <is>
          <t>Tray / conduit</t>
        </is>
      </c>
      <c r="T4687" s="17" t="n">
        <v>45</v>
      </c>
      <c r="U4687" s="17" t="n">
        <v>10</v>
      </c>
      <c r="V4687" s="17">
        <f>ROUNDUP((T4687+U4687+2*'Read Me'!$B$13)*(1+'Read Me'!$B$12),-1)</f>
        <v/>
      </c>
      <c r="W4687" s="17">
        <f>V4687*N4687*O4687</f>
        <v/>
      </c>
      <c r="X4687" s="12">
        <f>IF(LEFT(I4687,2)="MV",2*N4687*IF(L4687="1/C",O4687,1),0)</f>
        <v/>
      </c>
      <c r="Y4687" s="12">
        <f>IF(OR(LEFT(K4687,4)="LVAX",LEFT(K4687,6)="MV15AX",LEFT(K4687,4)="CTAX",LEFT(K4687,2)="W|"),2*N4687*O4687,0)</f>
        <v/>
      </c>
      <c r="Z4687" s="12" t="inlineStr">
        <is>
          <t>device-to-JB field wiring, one cable per device</t>
        </is>
      </c>
      <c r="AA4687" s="12">
        <f>N4687*O4687</f>
        <v/>
      </c>
    </row>
    <row r="4688">
      <c r="A4688" s="12" t="inlineStr">
        <is>
          <t>I-I-0078</t>
        </is>
      </c>
      <c r="B4688" s="12" t="inlineStr">
        <is>
          <t>I</t>
        </is>
      </c>
      <c r="C4688" s="12" t="inlineStr">
        <is>
          <t>Modular / portable power</t>
        </is>
      </c>
      <c r="D4688" s="12" t="inlineStr">
        <is>
          <t>Home run JB-FC-6-AI01 to the control / marshalling room</t>
        </is>
      </c>
      <c r="E4688" s="12" t="inlineStr">
        <is>
          <t>PAD-EH</t>
        </is>
      </c>
      <c r="F4688" s="12" t="inlineStr">
        <is>
          <t>PAD-EH 13.8 kV switchgear e-house</t>
        </is>
      </c>
      <c r="G4688" s="12" t="inlineStr">
        <is>
          <t>JB-FC-6-AI01</t>
        </is>
      </c>
      <c r="H4688" s="12" t="inlineStr">
        <is>
          <t>FC-6: SOFC module (Bloom ES5 class, 200-300 kW)</t>
        </is>
      </c>
      <c r="I4688" s="12" t="inlineStr">
        <is>
          <t>Instrumentation</t>
        </is>
      </c>
      <c r="J4688" s="12" t="inlineStr">
        <is>
          <t>Instrumentation PLTC / TC-ER 300 V, #18 twisted shielded pairs, overall shield</t>
        </is>
      </c>
      <c r="K4688" s="12" t="inlineStr">
        <is>
          <t>PLTC|24 pr|18</t>
        </is>
      </c>
      <c r="L4688" s="12" t="inlineStr">
        <is>
          <t>24 pr</t>
        </is>
      </c>
      <c r="M4688" s="12" t="inlineStr">
        <is>
          <t>18</t>
        </is>
      </c>
      <c r="N4688" s="12" t="n">
        <v>1</v>
      </c>
      <c r="O4688" s="12" t="n">
        <v>1</v>
      </c>
      <c r="P4688" s="12" t="n"/>
      <c r="Q4688" s="12" t="n"/>
      <c r="R4688" s="12" t="n"/>
      <c r="S4688" s="12" t="inlineStr">
        <is>
          <t>Duct bank</t>
        </is>
      </c>
      <c r="T4688" s="17" t="n">
        <v>342</v>
      </c>
      <c r="U4688" s="17" t="n">
        <v>50</v>
      </c>
      <c r="V4688" s="17">
        <f>ROUNDUP((T4688+U4688+2*'Read Me'!$B$13)*(1+'Read Me'!$B$12),-1)</f>
        <v/>
      </c>
      <c r="W4688" s="17">
        <f>V4688*N4688*O4688</f>
        <v/>
      </c>
      <c r="X4688" s="12">
        <f>IF(LEFT(I4688,2)="MV",2*N4688*IF(L4688="1/C",O4688,1),0)</f>
        <v/>
      </c>
      <c r="Y4688" s="12">
        <f>IF(OR(LEFT(K4688,4)="LVAX",LEFT(K4688,6)="MV15AX",LEFT(K4688,4)="CTAX",LEFT(K4688,2)="W|"),2*N4688*O4688,0)</f>
        <v/>
      </c>
      <c r="Z4688" s="12" t="inlineStr"/>
      <c r="AA4688" s="12">
        <f>N4688*O4688</f>
        <v/>
      </c>
    </row>
    <row r="4689">
      <c r="A4689" s="12" t="inlineStr">
        <is>
          <t>I-I-0079</t>
        </is>
      </c>
      <c r="B4689" s="12" t="inlineStr">
        <is>
          <t>I</t>
        </is>
      </c>
      <c r="C4689" s="12" t="inlineStr">
        <is>
          <t>Modular / portable power</t>
        </is>
      </c>
      <c r="D4689" s="12" t="inlineStr">
        <is>
          <t>Discrete device to JB JB-FC-6-DI01: 10 x 1 pr (field cables)</t>
        </is>
      </c>
      <c r="E4689" s="12" t="inlineStr">
        <is>
          <t>FC-6</t>
        </is>
      </c>
      <c r="F4689" s="12" t="inlineStr">
        <is>
          <t>FC-6: SOFC module (Bloom ES5 class, 200-300 kW)</t>
        </is>
      </c>
      <c r="G4689" s="12" t="inlineStr">
        <is>
          <t>JB-FC-6-DI01</t>
        </is>
      </c>
      <c r="H4689" s="12" t="inlineStr">
        <is>
          <t>FC-6: SOFC module (Bloom ES5 class, 200-300 kW)</t>
        </is>
      </c>
      <c r="I4689" s="12" t="inlineStr">
        <is>
          <t>Instrumentation</t>
        </is>
      </c>
      <c r="J4689" s="12" t="inlineStr">
        <is>
          <t>Instrumentation PLTC / TC-ER 300 V, #18 twisted shielded pairs, overall shield</t>
        </is>
      </c>
      <c r="K4689" s="12" t="inlineStr">
        <is>
          <t>PLTC|1 pr|16</t>
        </is>
      </c>
      <c r="L4689" s="12" t="inlineStr">
        <is>
          <t>1 pr</t>
        </is>
      </c>
      <c r="M4689" s="12" t="inlineStr">
        <is>
          <t>16</t>
        </is>
      </c>
      <c r="N4689" s="12" t="n">
        <v>10</v>
      </c>
      <c r="O4689" s="12" t="n">
        <v>1</v>
      </c>
      <c r="P4689" s="12" t="n"/>
      <c r="Q4689" s="12" t="n"/>
      <c r="R4689" s="12" t="n"/>
      <c r="S4689" s="12" t="inlineStr">
        <is>
          <t>Tray / conduit</t>
        </is>
      </c>
      <c r="T4689" s="17" t="n">
        <v>45</v>
      </c>
      <c r="U4689" s="17" t="n">
        <v>10</v>
      </c>
      <c r="V4689" s="17">
        <f>ROUNDUP((T4689+U4689+2*'Read Me'!$B$13)*(1+'Read Me'!$B$12),-1)</f>
        <v/>
      </c>
      <c r="W4689" s="17">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I-I-0080</t>
        </is>
      </c>
      <c r="B4690" s="12" t="inlineStr">
        <is>
          <t>I</t>
        </is>
      </c>
      <c r="C4690" s="12" t="inlineStr">
        <is>
          <t>Modular / portable power</t>
        </is>
      </c>
      <c r="D4690" s="12" t="inlineStr">
        <is>
          <t>Home run JB-FC-6-DI01 to the control / marshalling room</t>
        </is>
      </c>
      <c r="E4690" s="12" t="inlineStr">
        <is>
          <t>PAD-EH</t>
        </is>
      </c>
      <c r="F4690" s="12" t="inlineStr">
        <is>
          <t>PAD-EH 13.8 kV switchgear e-house</t>
        </is>
      </c>
      <c r="G4690" s="12" t="inlineStr">
        <is>
          <t>JB-FC-6-DI01</t>
        </is>
      </c>
      <c r="H4690" s="12" t="inlineStr">
        <is>
          <t>FC-6: SOFC module (Bloom ES5 class, 200-300 kW)</t>
        </is>
      </c>
      <c r="I4690" s="12" t="inlineStr">
        <is>
          <t>Instrumentation</t>
        </is>
      </c>
      <c r="J4690" s="12" t="inlineStr">
        <is>
          <t>Instrumentation PLTC / TC-ER 300 V, #18 twisted shielded pairs, overall shield</t>
        </is>
      </c>
      <c r="K4690" s="12" t="inlineStr">
        <is>
          <t>PLTC|24 pr|18</t>
        </is>
      </c>
      <c r="L4690" s="12" t="inlineStr">
        <is>
          <t>24 pr</t>
        </is>
      </c>
      <c r="M4690" s="12" t="inlineStr">
        <is>
          <t>18</t>
        </is>
      </c>
      <c r="N4690" s="12" t="n">
        <v>1</v>
      </c>
      <c r="O4690" s="12" t="n">
        <v>1</v>
      </c>
      <c r="P4690" s="12" t="n"/>
      <c r="Q4690" s="12" t="n"/>
      <c r="R4690" s="12" t="n"/>
      <c r="S4690" s="12" t="inlineStr">
        <is>
          <t>Duct bank</t>
        </is>
      </c>
      <c r="T4690" s="17" t="n">
        <v>342</v>
      </c>
      <c r="U4690" s="17" t="n">
        <v>50</v>
      </c>
      <c r="V4690" s="17">
        <f>ROUNDUP((T4690+U4690+2*'Read Me'!$B$13)*(1+'Read Me'!$B$12),-1)</f>
        <v/>
      </c>
      <c r="W4690" s="17">
        <f>V4690*N4690*O4690</f>
        <v/>
      </c>
      <c r="X4690" s="12">
        <f>IF(LEFT(I4690,2)="MV",2*N4690*IF(L4690="1/C",O4690,1),0)</f>
        <v/>
      </c>
      <c r="Y4690" s="12">
        <f>IF(OR(LEFT(K4690,4)="LVAX",LEFT(K4690,6)="MV15AX",LEFT(K4690,4)="CTAX",LEFT(K4690,2)="W|"),2*N4690*O4690,0)</f>
        <v/>
      </c>
      <c r="Z4690" s="12" t="inlineStr"/>
      <c r="AA4690" s="12">
        <f>N4690*O4690</f>
        <v/>
      </c>
    </row>
    <row r="4691">
      <c r="A4691" s="12" t="inlineStr">
        <is>
          <t>I-I-0081</t>
        </is>
      </c>
      <c r="B4691" s="12" t="inlineStr">
        <is>
          <t>I</t>
        </is>
      </c>
      <c r="C4691" s="12" t="inlineStr">
        <is>
          <t>Modular / portable power</t>
        </is>
      </c>
      <c r="D4691" s="12" t="inlineStr">
        <is>
          <t>Analog instrument to JB JB-FC-7-AI01: 10 x 1 pr (field cables)</t>
        </is>
      </c>
      <c r="E4691" s="12" t="inlineStr">
        <is>
          <t>FC-7</t>
        </is>
      </c>
      <c r="F4691" s="12" t="inlineStr">
        <is>
          <t>FC-7: SOFC module (Bloom ES5 class, 200-300 kW)</t>
        </is>
      </c>
      <c r="G4691" s="12" t="inlineStr">
        <is>
          <t>JB-FC-7-AI01</t>
        </is>
      </c>
      <c r="H4691" s="12" t="inlineStr">
        <is>
          <t>FC-7: SOFC module (Bloom ES5 class, 200-300 kW)</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10</v>
      </c>
      <c r="O4691" s="12" t="n">
        <v>1</v>
      </c>
      <c r="P4691" s="12" t="n"/>
      <c r="Q4691" s="12" t="n"/>
      <c r="R4691" s="12" t="n"/>
      <c r="S4691" s="12" t="inlineStr">
        <is>
          <t>Tray / conduit</t>
        </is>
      </c>
      <c r="T4691" s="17" t="n">
        <v>45</v>
      </c>
      <c r="U4691" s="17" t="n">
        <v>10</v>
      </c>
      <c r="V4691" s="17">
        <f>ROUNDUP((T4691+U4691+2*'Read Me'!$B$13)*(1+'Read Me'!$B$12),-1)</f>
        <v/>
      </c>
      <c r="W4691" s="17">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I-I-0082</t>
        </is>
      </c>
      <c r="B4692" s="12" t="inlineStr">
        <is>
          <t>I</t>
        </is>
      </c>
      <c r="C4692" s="12" t="inlineStr">
        <is>
          <t>Modular / portable power</t>
        </is>
      </c>
      <c r="D4692" s="12" t="inlineStr">
        <is>
          <t>Home run JB-FC-7-AI01 to the control / marshalling room</t>
        </is>
      </c>
      <c r="E4692" s="12" t="inlineStr">
        <is>
          <t>PAD-EH</t>
        </is>
      </c>
      <c r="F4692" s="12" t="inlineStr">
        <is>
          <t>PAD-EH 13.8 kV switchgear e-house</t>
        </is>
      </c>
      <c r="G4692" s="12" t="inlineStr">
        <is>
          <t>JB-FC-7-AI01</t>
        </is>
      </c>
      <c r="H4692" s="12" t="inlineStr">
        <is>
          <t>FC-7: SOFC module (Bloom ES5 class, 200-300 kW)</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Duct bank</t>
        </is>
      </c>
      <c r="T4692" s="17" t="n">
        <v>328</v>
      </c>
      <c r="U4692" s="17" t="n">
        <v>50</v>
      </c>
      <c r="V4692" s="17">
        <f>ROUNDUP((T4692+U4692+2*'Read Me'!$B$13)*(1+'Read Me'!$B$12),-1)</f>
        <v/>
      </c>
      <c r="W4692" s="17">
        <f>V4692*N4692*O4692</f>
        <v/>
      </c>
      <c r="X4692" s="12">
        <f>IF(LEFT(I4692,2)="MV",2*N4692*IF(L4692="1/C",O4692,1),0)</f>
        <v/>
      </c>
      <c r="Y4692" s="12">
        <f>IF(OR(LEFT(K4692,4)="LVAX",LEFT(K4692,6)="MV15AX",LEFT(K4692,4)="CTAX",LEFT(K4692,2)="W|"),2*N4692*O4692,0)</f>
        <v/>
      </c>
      <c r="Z4692" s="12" t="inlineStr"/>
      <c r="AA4692" s="12">
        <f>N4692*O4692</f>
        <v/>
      </c>
    </row>
    <row r="4693">
      <c r="A4693" s="12" t="inlineStr">
        <is>
          <t>I-I-0083</t>
        </is>
      </c>
      <c r="B4693" s="12" t="inlineStr">
        <is>
          <t>I</t>
        </is>
      </c>
      <c r="C4693" s="12" t="inlineStr">
        <is>
          <t>Modular / portable power</t>
        </is>
      </c>
      <c r="D4693" s="12" t="inlineStr">
        <is>
          <t>Discrete device to JB JB-FC-7-DI01: 10 x 1 pr (field cables)</t>
        </is>
      </c>
      <c r="E4693" s="12" t="inlineStr">
        <is>
          <t>FC-7</t>
        </is>
      </c>
      <c r="F4693" s="12" t="inlineStr">
        <is>
          <t>FC-7: SOFC module (Bloom ES5 class, 200-300 kW)</t>
        </is>
      </c>
      <c r="G4693" s="12" t="inlineStr">
        <is>
          <t>JB-FC-7-DI01</t>
        </is>
      </c>
      <c r="H4693" s="12" t="inlineStr">
        <is>
          <t>FC-7: SOFC module (Bloom ES5 class, 200-300 kW)</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10</v>
      </c>
      <c r="O4693" s="12" t="n">
        <v>1</v>
      </c>
      <c r="P4693" s="12" t="n"/>
      <c r="Q4693" s="12" t="n"/>
      <c r="R4693" s="12" t="n"/>
      <c r="S4693" s="12" t="inlineStr">
        <is>
          <t>Tray / conduit</t>
        </is>
      </c>
      <c r="T4693" s="17" t="n">
        <v>45</v>
      </c>
      <c r="U4693" s="17" t="n">
        <v>10</v>
      </c>
      <c r="V4693" s="17">
        <f>ROUNDUP((T4693+U4693+2*'Read Me'!$B$13)*(1+'Read Me'!$B$12),-1)</f>
        <v/>
      </c>
      <c r="W4693" s="17">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I-I-0084</t>
        </is>
      </c>
      <c r="B4694" s="12" t="inlineStr">
        <is>
          <t>I</t>
        </is>
      </c>
      <c r="C4694" s="12" t="inlineStr">
        <is>
          <t>Modular / portable power</t>
        </is>
      </c>
      <c r="D4694" s="12" t="inlineStr">
        <is>
          <t>Home run JB-FC-7-DI01 to the control / marshalling room</t>
        </is>
      </c>
      <c r="E4694" s="12" t="inlineStr">
        <is>
          <t>PAD-EH</t>
        </is>
      </c>
      <c r="F4694" s="12" t="inlineStr">
        <is>
          <t>PAD-EH 13.8 kV switchgear e-house</t>
        </is>
      </c>
      <c r="G4694" s="12" t="inlineStr">
        <is>
          <t>JB-FC-7-DI01</t>
        </is>
      </c>
      <c r="H4694" s="12" t="inlineStr">
        <is>
          <t>FC-7: SOFC module (Bloom ES5 class, 200-300 kW)</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7" t="n">
        <v>328</v>
      </c>
      <c r="U4694" s="17" t="n">
        <v>50</v>
      </c>
      <c r="V4694" s="17">
        <f>ROUNDUP((T4694+U4694+2*'Read Me'!$B$13)*(1+'Read Me'!$B$12),-1)</f>
        <v/>
      </c>
      <c r="W4694" s="17">
        <f>V4694*N4694*O4694</f>
        <v/>
      </c>
      <c r="X4694" s="12">
        <f>IF(LEFT(I4694,2)="MV",2*N4694*IF(L4694="1/C",O4694,1),0)</f>
        <v/>
      </c>
      <c r="Y4694" s="12">
        <f>IF(OR(LEFT(K4694,4)="LVAX",LEFT(K4694,6)="MV15AX",LEFT(K4694,4)="CTAX",LEFT(K4694,2)="W|"),2*N4694*O4694,0)</f>
        <v/>
      </c>
      <c r="Z4694" s="12" t="inlineStr"/>
      <c r="AA4694" s="12">
        <f>N4694*O4694</f>
        <v/>
      </c>
    </row>
    <row r="4695">
      <c r="A4695" s="12" t="inlineStr">
        <is>
          <t>I-I-0085</t>
        </is>
      </c>
      <c r="B4695" s="12" t="inlineStr">
        <is>
          <t>I</t>
        </is>
      </c>
      <c r="C4695" s="12" t="inlineStr">
        <is>
          <t>Modular / portable power</t>
        </is>
      </c>
      <c r="D4695" s="12" t="inlineStr">
        <is>
          <t>Analog instrument to JB JB-FC-8-AI01: 10 x 1 pr (field cables)</t>
        </is>
      </c>
      <c r="E4695" s="12" t="inlineStr">
        <is>
          <t>FC-8</t>
        </is>
      </c>
      <c r="F4695" s="12" t="inlineStr">
        <is>
          <t>FC-8: SOFC module (Bloom ES5 class, 200-300 kW)</t>
        </is>
      </c>
      <c r="G4695" s="12" t="inlineStr">
        <is>
          <t>JB-FC-8-AI01</t>
        </is>
      </c>
      <c r="H4695" s="12" t="inlineStr">
        <is>
          <t>FC-8: SOFC module (Bloom ES5 class, 200-300 kW)</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10</v>
      </c>
      <c r="O4695" s="12" t="n">
        <v>1</v>
      </c>
      <c r="P4695" s="12" t="n"/>
      <c r="Q4695" s="12" t="n"/>
      <c r="R4695" s="12" t="n"/>
      <c r="S4695" s="12" t="inlineStr">
        <is>
          <t>Tray / conduit</t>
        </is>
      </c>
      <c r="T4695" s="17" t="n">
        <v>45</v>
      </c>
      <c r="U4695" s="17" t="n">
        <v>10</v>
      </c>
      <c r="V4695" s="17">
        <f>ROUNDUP((T4695+U4695+2*'Read Me'!$B$13)*(1+'Read Me'!$B$12),-1)</f>
        <v/>
      </c>
      <c r="W4695" s="17">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I-I-0086</t>
        </is>
      </c>
      <c r="B4696" s="12" t="inlineStr">
        <is>
          <t>I</t>
        </is>
      </c>
      <c r="C4696" s="12" t="inlineStr">
        <is>
          <t>Modular / portable power</t>
        </is>
      </c>
      <c r="D4696" s="12" t="inlineStr">
        <is>
          <t>Home run JB-FC-8-AI01 to the control / marshalling room</t>
        </is>
      </c>
      <c r="E4696" s="12" t="inlineStr">
        <is>
          <t>PAD-EH</t>
        </is>
      </c>
      <c r="F4696" s="12" t="inlineStr">
        <is>
          <t>PAD-EH 13.8 kV switchgear e-house</t>
        </is>
      </c>
      <c r="G4696" s="12" t="inlineStr">
        <is>
          <t>JB-FC-8-AI01</t>
        </is>
      </c>
      <c r="H4696" s="12" t="inlineStr">
        <is>
          <t>FC-8: SOFC module (Bloom ES5 class, 200-300 kW)</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7" t="n">
        <v>314</v>
      </c>
      <c r="U4696" s="17" t="n">
        <v>50</v>
      </c>
      <c r="V4696" s="17">
        <f>ROUNDUP((T4696+U4696+2*'Read Me'!$B$13)*(1+'Read Me'!$B$12),-1)</f>
        <v/>
      </c>
      <c r="W4696" s="17">
        <f>V4696*N4696*O4696</f>
        <v/>
      </c>
      <c r="X4696" s="12">
        <f>IF(LEFT(I4696,2)="MV",2*N4696*IF(L4696="1/C",O4696,1),0)</f>
        <v/>
      </c>
      <c r="Y4696" s="12">
        <f>IF(OR(LEFT(K4696,4)="LVAX",LEFT(K4696,6)="MV15AX",LEFT(K4696,4)="CTAX",LEFT(K4696,2)="W|"),2*N4696*O4696,0)</f>
        <v/>
      </c>
      <c r="Z4696" s="12" t="inlineStr"/>
      <c r="AA4696" s="12">
        <f>N4696*O4696</f>
        <v/>
      </c>
    </row>
    <row r="4697">
      <c r="A4697" s="12" t="inlineStr">
        <is>
          <t>I-I-0087</t>
        </is>
      </c>
      <c r="B4697" s="12" t="inlineStr">
        <is>
          <t>I</t>
        </is>
      </c>
      <c r="C4697" s="12" t="inlineStr">
        <is>
          <t>Modular / portable power</t>
        </is>
      </c>
      <c r="D4697" s="12" t="inlineStr">
        <is>
          <t>Discrete device to JB JB-FC-8-DI01: 10 x 1 pr (field cables)</t>
        </is>
      </c>
      <c r="E4697" s="12" t="inlineStr">
        <is>
          <t>FC-8</t>
        </is>
      </c>
      <c r="F4697" s="12" t="inlineStr">
        <is>
          <t>FC-8: SOFC module (Bloom ES5 class, 200-300 kW)</t>
        </is>
      </c>
      <c r="G4697" s="12" t="inlineStr">
        <is>
          <t>JB-FC-8-DI01</t>
        </is>
      </c>
      <c r="H4697" s="12" t="inlineStr">
        <is>
          <t>FC-8: SOFC module (Bloom ES5 class, 200-300 kW)</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10</v>
      </c>
      <c r="O4697" s="12" t="n">
        <v>1</v>
      </c>
      <c r="P4697" s="12" t="n"/>
      <c r="Q4697" s="12" t="n"/>
      <c r="R4697" s="12" t="n"/>
      <c r="S4697" s="12" t="inlineStr">
        <is>
          <t>Tray / conduit</t>
        </is>
      </c>
      <c r="T4697" s="17" t="n">
        <v>45</v>
      </c>
      <c r="U4697" s="17" t="n">
        <v>10</v>
      </c>
      <c r="V4697" s="17">
        <f>ROUNDUP((T4697+U4697+2*'Read Me'!$B$13)*(1+'Read Me'!$B$12),-1)</f>
        <v/>
      </c>
      <c r="W4697" s="17">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I-I-0088</t>
        </is>
      </c>
      <c r="B4698" s="12" t="inlineStr">
        <is>
          <t>I</t>
        </is>
      </c>
      <c r="C4698" s="12" t="inlineStr">
        <is>
          <t>Modular / portable power</t>
        </is>
      </c>
      <c r="D4698" s="12" t="inlineStr">
        <is>
          <t>Home run JB-FC-8-DI01 to the control / marshalling room</t>
        </is>
      </c>
      <c r="E4698" s="12" t="inlineStr">
        <is>
          <t>PAD-EH</t>
        </is>
      </c>
      <c r="F4698" s="12" t="inlineStr">
        <is>
          <t>PAD-EH 13.8 kV switchgear e-house</t>
        </is>
      </c>
      <c r="G4698" s="12" t="inlineStr">
        <is>
          <t>JB-FC-8-DI01</t>
        </is>
      </c>
      <c r="H4698" s="12" t="inlineStr">
        <is>
          <t>FC-8: SOFC module (Bloom ES5 class, 200-300 kW)</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Duct bank</t>
        </is>
      </c>
      <c r="T4698" s="17" t="n">
        <v>314</v>
      </c>
      <c r="U4698" s="17" t="n">
        <v>50</v>
      </c>
      <c r="V4698" s="17">
        <f>ROUNDUP((T4698+U4698+2*'Read Me'!$B$13)*(1+'Read Me'!$B$12),-1)</f>
        <v/>
      </c>
      <c r="W4698" s="17">
        <f>V4698*N4698*O4698</f>
        <v/>
      </c>
      <c r="X4698" s="12">
        <f>IF(LEFT(I4698,2)="MV",2*N4698*IF(L4698="1/C",O4698,1),0)</f>
        <v/>
      </c>
      <c r="Y4698" s="12">
        <f>IF(OR(LEFT(K4698,4)="LVAX",LEFT(K4698,6)="MV15AX",LEFT(K4698,4)="CTAX",LEFT(K4698,2)="W|"),2*N4698*O4698,0)</f>
        <v/>
      </c>
      <c r="Z4698" s="12" t="inlineStr"/>
      <c r="AA4698" s="12">
        <f>N4698*O4698</f>
        <v/>
      </c>
    </row>
    <row r="4699">
      <c r="A4699" s="12" t="inlineStr">
        <is>
          <t>I-I-0089</t>
        </is>
      </c>
      <c r="B4699" s="12" t="inlineStr">
        <is>
          <t>I</t>
        </is>
      </c>
      <c r="C4699" s="12" t="inlineStr">
        <is>
          <t>Modular / portable power</t>
        </is>
      </c>
      <c r="D4699" s="12" t="inlineStr">
        <is>
          <t>Analog instrument to JB JB-FC-9-AI01: 10 x 1 pr (field cables)</t>
        </is>
      </c>
      <c r="E4699" s="12" t="inlineStr">
        <is>
          <t>FC-9</t>
        </is>
      </c>
      <c r="F4699" s="12" t="inlineStr">
        <is>
          <t>FC-9: SOFC module (Bloom ES5 class, 200-300 kW)</t>
        </is>
      </c>
      <c r="G4699" s="12" t="inlineStr">
        <is>
          <t>JB-FC-9-AI01</t>
        </is>
      </c>
      <c r="H4699" s="12" t="inlineStr">
        <is>
          <t>FC-9: SOFC module (Bloom ES5 class, 200-300 kW)</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10</v>
      </c>
      <c r="O4699" s="12" t="n">
        <v>1</v>
      </c>
      <c r="P4699" s="12" t="n"/>
      <c r="Q4699" s="12" t="n"/>
      <c r="R4699" s="12" t="n"/>
      <c r="S4699" s="12" t="inlineStr">
        <is>
          <t>Tray / conduit</t>
        </is>
      </c>
      <c r="T4699" s="17" t="n">
        <v>45</v>
      </c>
      <c r="U4699" s="17" t="n">
        <v>10</v>
      </c>
      <c r="V4699" s="17">
        <f>ROUNDUP((T4699+U4699+2*'Read Me'!$B$13)*(1+'Read Me'!$B$12),-1)</f>
        <v/>
      </c>
      <c r="W4699" s="17">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I-I-0090</t>
        </is>
      </c>
      <c r="B4700" s="12" t="inlineStr">
        <is>
          <t>I</t>
        </is>
      </c>
      <c r="C4700" s="12" t="inlineStr">
        <is>
          <t>Modular / portable power</t>
        </is>
      </c>
      <c r="D4700" s="12" t="inlineStr">
        <is>
          <t>Home run JB-FC-9-AI01 to the control / marshalling room</t>
        </is>
      </c>
      <c r="E4700" s="12" t="inlineStr">
        <is>
          <t>PAD-EH</t>
        </is>
      </c>
      <c r="F4700" s="12" t="inlineStr">
        <is>
          <t>PAD-EH 13.8 kV switchgear e-house</t>
        </is>
      </c>
      <c r="G4700" s="12" t="inlineStr">
        <is>
          <t>JB-FC-9-AI01</t>
        </is>
      </c>
      <c r="H4700" s="12" t="inlineStr">
        <is>
          <t>FC-9: SOFC module (Bloom ES5 class, 200-300 kW)</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7" t="n">
        <v>300</v>
      </c>
      <c r="U4700" s="17" t="n">
        <v>50</v>
      </c>
      <c r="V4700" s="17">
        <f>ROUNDUP((T4700+U4700+2*'Read Me'!$B$13)*(1+'Read Me'!$B$12),-1)</f>
        <v/>
      </c>
      <c r="W4700" s="17">
        <f>V4700*N4700*O4700</f>
        <v/>
      </c>
      <c r="X4700" s="12">
        <f>IF(LEFT(I4700,2)="MV",2*N4700*IF(L4700="1/C",O4700,1),0)</f>
        <v/>
      </c>
      <c r="Y4700" s="12">
        <f>IF(OR(LEFT(K4700,4)="LVAX",LEFT(K4700,6)="MV15AX",LEFT(K4700,4)="CTAX",LEFT(K4700,2)="W|"),2*N4700*O4700,0)</f>
        <v/>
      </c>
      <c r="Z4700" s="12" t="inlineStr"/>
      <c r="AA4700" s="12">
        <f>N4700*O4700</f>
        <v/>
      </c>
    </row>
    <row r="4701">
      <c r="A4701" s="12" t="inlineStr">
        <is>
          <t>I-I-0091</t>
        </is>
      </c>
      <c r="B4701" s="12" t="inlineStr">
        <is>
          <t>I</t>
        </is>
      </c>
      <c r="C4701" s="12" t="inlineStr">
        <is>
          <t>Modular / portable power</t>
        </is>
      </c>
      <c r="D4701" s="12" t="inlineStr">
        <is>
          <t>Discrete device to JB JB-FC-9-DI01: 10 x 1 pr (field cables)</t>
        </is>
      </c>
      <c r="E4701" s="12" t="inlineStr">
        <is>
          <t>FC-9</t>
        </is>
      </c>
      <c r="F4701" s="12" t="inlineStr">
        <is>
          <t>FC-9: SOFC module (Bloom ES5 class, 200-300 kW)</t>
        </is>
      </c>
      <c r="G4701" s="12" t="inlineStr">
        <is>
          <t>JB-FC-9-DI01</t>
        </is>
      </c>
      <c r="H4701" s="12" t="inlineStr">
        <is>
          <t>FC-9: SOFC module (Bloom ES5 class, 200-300 kW)</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10</v>
      </c>
      <c r="O4701" s="12" t="n">
        <v>1</v>
      </c>
      <c r="P4701" s="12" t="n"/>
      <c r="Q4701" s="12" t="n"/>
      <c r="R4701" s="12" t="n"/>
      <c r="S4701" s="12" t="inlineStr">
        <is>
          <t>Tray / conduit</t>
        </is>
      </c>
      <c r="T4701" s="17" t="n">
        <v>45</v>
      </c>
      <c r="U4701" s="17" t="n">
        <v>10</v>
      </c>
      <c r="V4701" s="17">
        <f>ROUNDUP((T4701+U4701+2*'Read Me'!$B$13)*(1+'Read Me'!$B$12),-1)</f>
        <v/>
      </c>
      <c r="W4701" s="17">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I-I-0092</t>
        </is>
      </c>
      <c r="B4702" s="12" t="inlineStr">
        <is>
          <t>I</t>
        </is>
      </c>
      <c r="C4702" s="12" t="inlineStr">
        <is>
          <t>Modular / portable power</t>
        </is>
      </c>
      <c r="D4702" s="12" t="inlineStr">
        <is>
          <t>Home run JB-FC-9-DI01 to the control / marshalling room</t>
        </is>
      </c>
      <c r="E4702" s="12" t="inlineStr">
        <is>
          <t>PAD-EH</t>
        </is>
      </c>
      <c r="F4702" s="12" t="inlineStr">
        <is>
          <t>PAD-EH 13.8 kV switchgear e-house</t>
        </is>
      </c>
      <c r="G4702" s="12" t="inlineStr">
        <is>
          <t>JB-FC-9-DI01</t>
        </is>
      </c>
      <c r="H4702" s="12" t="inlineStr">
        <is>
          <t>FC-9: SOFC module (Bloom ES5 class, 200-300 kW)</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7" t="n">
        <v>300</v>
      </c>
      <c r="U4702" s="17" t="n">
        <v>50</v>
      </c>
      <c r="V4702" s="17">
        <f>ROUNDUP((T4702+U4702+2*'Read Me'!$B$13)*(1+'Read Me'!$B$12),-1)</f>
        <v/>
      </c>
      <c r="W4702" s="17">
        <f>V4702*N4702*O4702</f>
        <v/>
      </c>
      <c r="X4702" s="12">
        <f>IF(LEFT(I4702,2)="MV",2*N4702*IF(L4702="1/C",O4702,1),0)</f>
        <v/>
      </c>
      <c r="Y4702" s="12">
        <f>IF(OR(LEFT(K4702,4)="LVAX",LEFT(K4702,6)="MV15AX",LEFT(K4702,4)="CTAX",LEFT(K4702,2)="W|"),2*N4702*O4702,0)</f>
        <v/>
      </c>
      <c r="Z4702" s="12" t="inlineStr"/>
      <c r="AA4702" s="12">
        <f>N4702*O4702</f>
        <v/>
      </c>
    </row>
    <row r="4703">
      <c r="A4703" s="12" t="inlineStr">
        <is>
          <t>I-I-0093</t>
        </is>
      </c>
      <c r="B4703" s="12" t="inlineStr">
        <is>
          <t>I</t>
        </is>
      </c>
      <c r="C4703" s="12" t="inlineStr">
        <is>
          <t>Modular / portable power</t>
        </is>
      </c>
      <c r="D4703" s="12" t="inlineStr">
        <is>
          <t>Analog instrument to JB JB-Fuel-gas compresso-AI01: 20 x 1 pr (field cables)</t>
        </is>
      </c>
      <c r="E4703" s="12" t="inlineStr"/>
      <c r="F4703" s="12" t="inlineStr">
        <is>
          <t>Fuel-gas compressors 3 x 100% electric</t>
        </is>
      </c>
      <c r="G4703" s="12" t="inlineStr">
        <is>
          <t>JB-Fuel-gas compresso-AI01</t>
        </is>
      </c>
      <c r="H4703" s="12" t="inlineStr">
        <is>
          <t>Fuel-gas compressors 3 x 100% electric</t>
        </is>
      </c>
      <c r="I4703" s="12" t="inlineStr">
        <is>
          <t>Instrumentation</t>
        </is>
      </c>
      <c r="J4703" s="12" t="inlineStr">
        <is>
          <t>Instrumentation ITC / PLTC, IS, #18 shielded pairs, blue jacket</t>
        </is>
      </c>
      <c r="K4703" s="12" t="inlineStr">
        <is>
          <t>ITC|1 pr|16</t>
        </is>
      </c>
      <c r="L4703" s="12" t="inlineStr">
        <is>
          <t>1 pr</t>
        </is>
      </c>
      <c r="M4703" s="12" t="inlineStr">
        <is>
          <t>16</t>
        </is>
      </c>
      <c r="N4703" s="12" t="n">
        <v>20</v>
      </c>
      <c r="O4703" s="12" t="n">
        <v>1</v>
      </c>
      <c r="P4703" s="12" t="n"/>
      <c r="Q4703" s="12" t="n"/>
      <c r="R4703" s="12" t="n"/>
      <c r="S4703" s="12" t="inlineStr">
        <is>
          <t>Tray / conduit</t>
        </is>
      </c>
      <c r="T4703" s="17" t="n">
        <v>103</v>
      </c>
      <c r="U4703" s="17" t="n">
        <v>10</v>
      </c>
      <c r="V4703" s="17">
        <f>ROUNDUP((T4703+U4703+2*'Read Me'!$B$13)*(1+'Read Me'!$B$12),-1)</f>
        <v/>
      </c>
      <c r="W4703" s="17">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I-I-0094</t>
        </is>
      </c>
      <c r="B4704" s="12" t="inlineStr">
        <is>
          <t>I</t>
        </is>
      </c>
      <c r="C4704" s="12" t="inlineStr">
        <is>
          <t>Modular / portable power</t>
        </is>
      </c>
      <c r="D4704" s="12" t="inlineStr">
        <is>
          <t>Home run JB-Fuel-gas compresso-AI01 to the control / marshalling room</t>
        </is>
      </c>
      <c r="E4704" s="12" t="inlineStr"/>
      <c r="F4704" s="12" t="inlineStr">
        <is>
          <t>SC-2 PCM + 15 kV GCB</t>
        </is>
      </c>
      <c r="G4704" s="12" t="inlineStr">
        <is>
          <t>JB-Fuel-gas compresso-AI01</t>
        </is>
      </c>
      <c r="H4704" s="12" t="inlineStr">
        <is>
          <t>Fuel-gas compressors 3 x 100% electric</t>
        </is>
      </c>
      <c r="I4704" s="12" t="inlineStr">
        <is>
          <t>Instrumentation</t>
        </is>
      </c>
      <c r="J4704" s="12" t="inlineStr">
        <is>
          <t>Instrumentation ITC / PLTC, IS, #18 shielded pairs, blue jacket</t>
        </is>
      </c>
      <c r="K4704" s="12" t="inlineStr">
        <is>
          <t>ITC|24 pr|18</t>
        </is>
      </c>
      <c r="L4704" s="12" t="inlineStr">
        <is>
          <t>24 pr</t>
        </is>
      </c>
      <c r="M4704" s="12" t="inlineStr">
        <is>
          <t>18</t>
        </is>
      </c>
      <c r="N4704" s="12" t="n">
        <v>1</v>
      </c>
      <c r="O4704" s="12" t="n">
        <v>1</v>
      </c>
      <c r="P4704" s="12" t="n"/>
      <c r="Q4704" s="12" t="n"/>
      <c r="R4704" s="12" t="n"/>
      <c r="S4704" s="12" t="inlineStr">
        <is>
          <t>Duct bank</t>
        </is>
      </c>
      <c r="T4704" s="17" t="n">
        <v>8</v>
      </c>
      <c r="U4704" s="17" t="n">
        <v>108</v>
      </c>
      <c r="V4704" s="17">
        <f>ROUNDUP((T4704+U4704+2*'Read Me'!$B$13)*(1+'Read Me'!$B$12),-1)</f>
        <v/>
      </c>
      <c r="W4704" s="17">
        <f>V4704*N4704*O4704</f>
        <v/>
      </c>
      <c r="X4704" s="12">
        <f>IF(LEFT(I4704,2)="MV",2*N4704*IF(L4704="1/C",O4704,1),0)</f>
        <v/>
      </c>
      <c r="Y4704" s="12">
        <f>IF(OR(LEFT(K4704,4)="LVAX",LEFT(K4704,6)="MV15AX",LEFT(K4704,4)="CTAX",LEFT(K4704,2)="W|"),2*N4704*O4704,0)</f>
        <v/>
      </c>
      <c r="Z4704" s="12" t="inlineStr"/>
      <c r="AA4704" s="12">
        <f>N4704*O4704</f>
        <v/>
      </c>
    </row>
    <row r="4705">
      <c r="A4705" s="12" t="inlineStr">
        <is>
          <t>I-I-0095</t>
        </is>
      </c>
      <c r="B4705" s="12" t="inlineStr">
        <is>
          <t>I</t>
        </is>
      </c>
      <c r="C4705" s="12" t="inlineStr">
        <is>
          <t>Modular / portable power</t>
        </is>
      </c>
      <c r="D4705" s="12" t="inlineStr">
        <is>
          <t>Analog instrument to JB JB-Fuel-gas compresso-AI02: 10 x 1 pr (field cables)</t>
        </is>
      </c>
      <c r="E4705" s="12" t="inlineStr"/>
      <c r="F4705" s="12" t="inlineStr">
        <is>
          <t>Fuel-gas compressors 3 x 100% electric</t>
        </is>
      </c>
      <c r="G4705" s="12" t="inlineStr">
        <is>
          <t>JB-Fuel-gas compresso-AI02</t>
        </is>
      </c>
      <c r="H4705" s="12" t="inlineStr">
        <is>
          <t>Fuel-gas compressors 3 x 100% electric</t>
        </is>
      </c>
      <c r="I4705" s="12" t="inlineStr">
        <is>
          <t>Instrumentation</t>
        </is>
      </c>
      <c r="J4705" s="12" t="inlineStr">
        <is>
          <t>Instrumentation ITC / PLTC, IS, #18 shielded pairs, blue jacket</t>
        </is>
      </c>
      <c r="K4705" s="12" t="inlineStr">
        <is>
          <t>ITC|1 pr|16</t>
        </is>
      </c>
      <c r="L4705" s="12" t="inlineStr">
        <is>
          <t>1 pr</t>
        </is>
      </c>
      <c r="M4705" s="12" t="inlineStr">
        <is>
          <t>16</t>
        </is>
      </c>
      <c r="N4705" s="12" t="n">
        <v>10</v>
      </c>
      <c r="O4705" s="12" t="n">
        <v>1</v>
      </c>
      <c r="P4705" s="12" t="n"/>
      <c r="Q4705" s="12" t="n"/>
      <c r="R4705" s="12" t="n"/>
      <c r="S4705" s="12" t="inlineStr">
        <is>
          <t>Tray / conduit</t>
        </is>
      </c>
      <c r="T4705" s="17" t="n">
        <v>103</v>
      </c>
      <c r="U4705" s="17" t="n">
        <v>10</v>
      </c>
      <c r="V4705" s="17">
        <f>ROUNDUP((T4705+U4705+2*'Read Me'!$B$13)*(1+'Read Me'!$B$12),-1)</f>
        <v/>
      </c>
      <c r="W4705" s="17">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I-I-0096</t>
        </is>
      </c>
      <c r="B4706" s="12" t="inlineStr">
        <is>
          <t>I</t>
        </is>
      </c>
      <c r="C4706" s="12" t="inlineStr">
        <is>
          <t>Modular / portable power</t>
        </is>
      </c>
      <c r="D4706" s="12" t="inlineStr">
        <is>
          <t>Home run JB-Fuel-gas compresso-AI02 to the control / marshalling room</t>
        </is>
      </c>
      <c r="E4706" s="12" t="inlineStr"/>
      <c r="F4706" s="12" t="inlineStr">
        <is>
          <t>SC-2 PCM + 15 kV GCB</t>
        </is>
      </c>
      <c r="G4706" s="12" t="inlineStr">
        <is>
          <t>JB-Fuel-gas compresso-AI02</t>
        </is>
      </c>
      <c r="H4706" s="12" t="inlineStr">
        <is>
          <t>Fuel-gas compressors 3 x 100% electric</t>
        </is>
      </c>
      <c r="I4706" s="12" t="inlineStr">
        <is>
          <t>Instrumentation</t>
        </is>
      </c>
      <c r="J4706" s="12" t="inlineStr">
        <is>
          <t>Instrumentation ITC / PLTC, IS, #18 shielded pairs, blue jacket</t>
        </is>
      </c>
      <c r="K4706" s="12" t="inlineStr">
        <is>
          <t>ITC|24 pr|18</t>
        </is>
      </c>
      <c r="L4706" s="12" t="inlineStr">
        <is>
          <t>24 pr</t>
        </is>
      </c>
      <c r="M4706" s="12" t="inlineStr">
        <is>
          <t>18</t>
        </is>
      </c>
      <c r="N4706" s="12" t="n">
        <v>1</v>
      </c>
      <c r="O4706" s="12" t="n">
        <v>1</v>
      </c>
      <c r="P4706" s="12" t="n"/>
      <c r="Q4706" s="12" t="n"/>
      <c r="R4706" s="12" t="n"/>
      <c r="S4706" s="12" t="inlineStr">
        <is>
          <t>Duct bank</t>
        </is>
      </c>
      <c r="T4706" s="17" t="n">
        <v>8</v>
      </c>
      <c r="U4706" s="17" t="n">
        <v>108</v>
      </c>
      <c r="V4706" s="17">
        <f>ROUNDUP((T4706+U4706+2*'Read Me'!$B$13)*(1+'Read Me'!$B$12),-1)</f>
        <v/>
      </c>
      <c r="W4706" s="17">
        <f>V4706*N4706*O4706</f>
        <v/>
      </c>
      <c r="X4706" s="12">
        <f>IF(LEFT(I4706,2)="MV",2*N4706*IF(L4706="1/C",O4706,1),0)</f>
        <v/>
      </c>
      <c r="Y4706" s="12">
        <f>IF(OR(LEFT(K4706,4)="LVAX",LEFT(K4706,6)="MV15AX",LEFT(K4706,4)="CTAX",LEFT(K4706,2)="W|"),2*N4706*O4706,0)</f>
        <v/>
      </c>
      <c r="Z4706" s="12" t="inlineStr"/>
      <c r="AA4706" s="12">
        <f>N4706*O4706</f>
        <v/>
      </c>
    </row>
    <row r="4707">
      <c r="A4707" s="12" t="inlineStr">
        <is>
          <t>I-I-0097</t>
        </is>
      </c>
      <c r="B4707" s="12" t="inlineStr">
        <is>
          <t>I</t>
        </is>
      </c>
      <c r="C4707" s="12" t="inlineStr">
        <is>
          <t>Modular / portable power</t>
        </is>
      </c>
      <c r="D4707" s="12" t="inlineStr">
        <is>
          <t>Discrete device to JB JB-Fuel-gas compresso-DI01: 20 x 1 pr (field cables)</t>
        </is>
      </c>
      <c r="E4707" s="12" t="inlineStr"/>
      <c r="F4707" s="12" t="inlineStr">
        <is>
          <t>Fuel-gas compressors 3 x 100% electric</t>
        </is>
      </c>
      <c r="G4707" s="12" t="inlineStr">
        <is>
          <t>JB-Fuel-gas compresso-DI01</t>
        </is>
      </c>
      <c r="H4707" s="12" t="inlineStr">
        <is>
          <t>Fuel-gas compressors 3 x 100% electric</t>
        </is>
      </c>
      <c r="I4707" s="12" t="inlineStr">
        <is>
          <t>Instrumentation</t>
        </is>
      </c>
      <c r="J4707" s="12" t="inlineStr">
        <is>
          <t>Instrumentation ITC / PLTC, IS, #18 shielded pairs, blue jacket</t>
        </is>
      </c>
      <c r="K4707" s="12" t="inlineStr">
        <is>
          <t>ITC|1 pr|16</t>
        </is>
      </c>
      <c r="L4707" s="12" t="inlineStr">
        <is>
          <t>1 pr</t>
        </is>
      </c>
      <c r="M4707" s="12" t="inlineStr">
        <is>
          <t>16</t>
        </is>
      </c>
      <c r="N4707" s="12" t="n">
        <v>20</v>
      </c>
      <c r="O4707" s="12" t="n">
        <v>1</v>
      </c>
      <c r="P4707" s="12" t="n"/>
      <c r="Q4707" s="12" t="n"/>
      <c r="R4707" s="12" t="n"/>
      <c r="S4707" s="12" t="inlineStr">
        <is>
          <t>Tray / conduit</t>
        </is>
      </c>
      <c r="T4707" s="17" t="n">
        <v>103</v>
      </c>
      <c r="U4707" s="17" t="n">
        <v>10</v>
      </c>
      <c r="V4707" s="17">
        <f>ROUNDUP((T4707+U4707+2*'Read Me'!$B$13)*(1+'Read Me'!$B$12),-1)</f>
        <v/>
      </c>
      <c r="W4707" s="17">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I-I-0098</t>
        </is>
      </c>
      <c r="B4708" s="12" t="inlineStr">
        <is>
          <t>I</t>
        </is>
      </c>
      <c r="C4708" s="12" t="inlineStr">
        <is>
          <t>Modular / portable power</t>
        </is>
      </c>
      <c r="D4708" s="12" t="inlineStr">
        <is>
          <t>Home run JB-Fuel-gas compresso-DI01 to the control / marshalling room</t>
        </is>
      </c>
      <c r="E4708" s="12" t="inlineStr"/>
      <c r="F4708" s="12" t="inlineStr">
        <is>
          <t>SC-2 PCM + 15 kV GCB</t>
        </is>
      </c>
      <c r="G4708" s="12" t="inlineStr">
        <is>
          <t>JB-Fuel-gas compresso-DI01</t>
        </is>
      </c>
      <c r="H4708" s="12" t="inlineStr">
        <is>
          <t>Fuel-gas compressors 3 x 100% electric</t>
        </is>
      </c>
      <c r="I4708" s="12" t="inlineStr">
        <is>
          <t>Instrumentation</t>
        </is>
      </c>
      <c r="J4708" s="12" t="inlineStr">
        <is>
          <t>Instrumentation ITC / PLTC, IS, #18 shielded pairs, blue jacket</t>
        </is>
      </c>
      <c r="K4708" s="12" t="inlineStr">
        <is>
          <t>ITC|24 pr|18</t>
        </is>
      </c>
      <c r="L4708" s="12" t="inlineStr">
        <is>
          <t>24 pr</t>
        </is>
      </c>
      <c r="M4708" s="12" t="inlineStr">
        <is>
          <t>18</t>
        </is>
      </c>
      <c r="N4708" s="12" t="n">
        <v>1</v>
      </c>
      <c r="O4708" s="12" t="n">
        <v>1</v>
      </c>
      <c r="P4708" s="12" t="n"/>
      <c r="Q4708" s="12" t="n"/>
      <c r="R4708" s="12" t="n"/>
      <c r="S4708" s="12" t="inlineStr">
        <is>
          <t>Duct bank</t>
        </is>
      </c>
      <c r="T4708" s="17" t="n">
        <v>8</v>
      </c>
      <c r="U4708" s="17" t="n">
        <v>108</v>
      </c>
      <c r="V4708" s="17">
        <f>ROUNDUP((T4708+U4708+2*'Read Me'!$B$13)*(1+'Read Me'!$B$12),-1)</f>
        <v/>
      </c>
      <c r="W4708" s="17">
        <f>V4708*N4708*O4708</f>
        <v/>
      </c>
      <c r="X4708" s="12">
        <f>IF(LEFT(I4708,2)="MV",2*N4708*IF(L4708="1/C",O4708,1),0)</f>
        <v/>
      </c>
      <c r="Y4708" s="12">
        <f>IF(OR(LEFT(K4708,4)="LVAX",LEFT(K4708,6)="MV15AX",LEFT(K4708,4)="CTAX",LEFT(K4708,2)="W|"),2*N4708*O4708,0)</f>
        <v/>
      </c>
      <c r="Z4708" s="12" t="inlineStr"/>
      <c r="AA4708" s="12">
        <f>N4708*O4708</f>
        <v/>
      </c>
    </row>
    <row r="4709">
      <c r="A4709" s="12" t="inlineStr">
        <is>
          <t>I-I-0099</t>
        </is>
      </c>
      <c r="B4709" s="12" t="inlineStr">
        <is>
          <t>I</t>
        </is>
      </c>
      <c r="C4709" s="12" t="inlineStr">
        <is>
          <t>Modular / portable power</t>
        </is>
      </c>
      <c r="D4709" s="12" t="inlineStr">
        <is>
          <t>RTD to JB JB-Fuel-gas compresso-RTD01: 10 x 1 tri (field cables)</t>
        </is>
      </c>
      <c r="E4709" s="12" t="inlineStr"/>
      <c r="F4709" s="12" t="inlineStr">
        <is>
          <t>Fuel-gas compressors 3 x 100% electric</t>
        </is>
      </c>
      <c r="G4709" s="12" t="inlineStr">
        <is>
          <t>JB-Fuel-gas compresso-RTD01</t>
        </is>
      </c>
      <c r="H4709" s="12" t="inlineStr">
        <is>
          <t>Fuel-gas compressors 3 x 100% electric</t>
        </is>
      </c>
      <c r="I4709" s="12" t="inlineStr">
        <is>
          <t>Instrumentation</t>
        </is>
      </c>
      <c r="J4709" s="12" t="inlineStr">
        <is>
          <t>RTD cable, #18 shielded triads, PLTC</t>
        </is>
      </c>
      <c r="K4709" s="12" t="inlineStr">
        <is>
          <t>RTD|1 tri|18</t>
        </is>
      </c>
      <c r="L4709" s="12" t="inlineStr">
        <is>
          <t>1 tri</t>
        </is>
      </c>
      <c r="M4709" s="12" t="inlineStr">
        <is>
          <t>18</t>
        </is>
      </c>
      <c r="N4709" s="12" t="n">
        <v>10</v>
      </c>
      <c r="O4709" s="12" t="n">
        <v>1</v>
      </c>
      <c r="P4709" s="12" t="n"/>
      <c r="Q4709" s="12" t="n"/>
      <c r="R4709" s="12" t="n"/>
      <c r="S4709" s="12" t="inlineStr">
        <is>
          <t>Tray / conduit</t>
        </is>
      </c>
      <c r="T4709" s="17" t="n">
        <v>103</v>
      </c>
      <c r="U4709" s="17" t="n">
        <v>10</v>
      </c>
      <c r="V4709" s="17">
        <f>ROUNDUP((T4709+U4709+2*'Read Me'!$B$13)*(1+'Read Me'!$B$12),-1)</f>
        <v/>
      </c>
      <c r="W4709" s="17">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I-I-0100</t>
        </is>
      </c>
      <c r="B4710" s="12" t="inlineStr">
        <is>
          <t>I</t>
        </is>
      </c>
      <c r="C4710" s="12" t="inlineStr">
        <is>
          <t>Modular / portable power</t>
        </is>
      </c>
      <c r="D4710" s="12" t="inlineStr">
        <is>
          <t>Home run JB-Fuel-gas compresso-RTD01 to the control / marshalling room</t>
        </is>
      </c>
      <c r="E4710" s="12" t="inlineStr"/>
      <c r="F4710" s="12" t="inlineStr">
        <is>
          <t>SC-2 PCM + 15 kV GCB</t>
        </is>
      </c>
      <c r="G4710" s="12" t="inlineStr">
        <is>
          <t>JB-Fuel-gas compresso-RTD01</t>
        </is>
      </c>
      <c r="H4710" s="12" t="inlineStr">
        <is>
          <t>Fuel-gas compressors 3 x 100% electric</t>
        </is>
      </c>
      <c r="I4710" s="12" t="inlineStr">
        <is>
          <t>Instrumentation</t>
        </is>
      </c>
      <c r="J4710" s="12" t="inlineStr">
        <is>
          <t>RTD cable, #18 shielded triads, PLTC</t>
        </is>
      </c>
      <c r="K4710" s="12" t="inlineStr">
        <is>
          <t>RTD|12 tri|18</t>
        </is>
      </c>
      <c r="L4710" s="12" t="inlineStr">
        <is>
          <t>12 tri</t>
        </is>
      </c>
      <c r="M4710" s="12" t="inlineStr">
        <is>
          <t>18</t>
        </is>
      </c>
      <c r="N4710" s="12" t="n">
        <v>1</v>
      </c>
      <c r="O4710" s="12" t="n">
        <v>1</v>
      </c>
      <c r="P4710" s="12" t="n"/>
      <c r="Q4710" s="12" t="n"/>
      <c r="R4710" s="12" t="n"/>
      <c r="S4710" s="12" t="inlineStr">
        <is>
          <t>Duct bank</t>
        </is>
      </c>
      <c r="T4710" s="17" t="n">
        <v>8</v>
      </c>
      <c r="U4710" s="17" t="n">
        <v>108</v>
      </c>
      <c r="V4710" s="17">
        <f>ROUNDUP((T4710+U4710+2*'Read Me'!$B$13)*(1+'Read Me'!$B$12),-1)</f>
        <v/>
      </c>
      <c r="W4710" s="17">
        <f>V4710*N4710*O4710</f>
        <v/>
      </c>
      <c r="X4710" s="12">
        <f>IF(LEFT(I4710,2)="MV",2*N4710*IF(L4710="1/C",O4710,1),0)</f>
        <v/>
      </c>
      <c r="Y4710" s="12">
        <f>IF(OR(LEFT(K4710,4)="LVAX",LEFT(K4710,6)="MV15AX",LEFT(K4710,4)="CTAX",LEFT(K4710,2)="W|"),2*N4710*O4710,0)</f>
        <v/>
      </c>
      <c r="Z4710" s="12" t="inlineStr"/>
      <c r="AA4710" s="12">
        <f>N4710*O4710</f>
        <v/>
      </c>
    </row>
    <row r="4711">
      <c r="A4711" s="12" t="inlineStr">
        <is>
          <t>I-I-0101</t>
        </is>
      </c>
      <c r="B4711" s="12" t="inlineStr">
        <is>
          <t>I</t>
        </is>
      </c>
      <c r="C4711" s="12" t="inlineStr">
        <is>
          <t>Modular / portable power</t>
        </is>
      </c>
      <c r="D4711" s="12" t="inlineStr">
        <is>
          <t>RTD to JB JB-Fuel-gas compresso-RTD02: 2 x 1 tri (field cables)</t>
        </is>
      </c>
      <c r="E4711" s="12" t="inlineStr"/>
      <c r="F4711" s="12" t="inlineStr">
        <is>
          <t>Fuel-gas compressors 3 x 100% electric</t>
        </is>
      </c>
      <c r="G4711" s="12" t="inlineStr">
        <is>
          <t>JB-Fuel-gas compresso-RTD02</t>
        </is>
      </c>
      <c r="H4711" s="12" t="inlineStr">
        <is>
          <t>Fuel-gas compressors 3 x 100% electric</t>
        </is>
      </c>
      <c r="I4711" s="12" t="inlineStr">
        <is>
          <t>Instrumentation</t>
        </is>
      </c>
      <c r="J4711" s="12" t="inlineStr">
        <is>
          <t>RTD cable, #18 shielded triads, PLTC</t>
        </is>
      </c>
      <c r="K4711" s="12" t="inlineStr">
        <is>
          <t>RTD|1 tri|18</t>
        </is>
      </c>
      <c r="L4711" s="12" t="inlineStr">
        <is>
          <t>1 tri</t>
        </is>
      </c>
      <c r="M4711" s="12" t="inlineStr">
        <is>
          <t>18</t>
        </is>
      </c>
      <c r="N4711" s="12" t="n">
        <v>2</v>
      </c>
      <c r="O4711" s="12" t="n">
        <v>1</v>
      </c>
      <c r="P4711" s="12" t="n"/>
      <c r="Q4711" s="12" t="n"/>
      <c r="R4711" s="12" t="n"/>
      <c r="S4711" s="12" t="inlineStr">
        <is>
          <t>Tray / conduit</t>
        </is>
      </c>
      <c r="T4711" s="17" t="n">
        <v>103</v>
      </c>
      <c r="U4711" s="17" t="n">
        <v>10</v>
      </c>
      <c r="V4711" s="17">
        <f>ROUNDUP((T4711+U4711+2*'Read Me'!$B$13)*(1+'Read Me'!$B$12),-1)</f>
        <v/>
      </c>
      <c r="W4711" s="17">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I-I-0102</t>
        </is>
      </c>
      <c r="B4712" s="12" t="inlineStr">
        <is>
          <t>I</t>
        </is>
      </c>
      <c r="C4712" s="12" t="inlineStr">
        <is>
          <t>Modular / portable power</t>
        </is>
      </c>
      <c r="D4712" s="12" t="inlineStr">
        <is>
          <t>Home run JB-Fuel-gas compresso-RTD02 to the control / marshalling room</t>
        </is>
      </c>
      <c r="E4712" s="12" t="inlineStr"/>
      <c r="F4712" s="12" t="inlineStr">
        <is>
          <t>SC-2 PCM + 15 kV GCB</t>
        </is>
      </c>
      <c r="G4712" s="12" t="inlineStr">
        <is>
          <t>JB-Fuel-gas compresso-RTD02</t>
        </is>
      </c>
      <c r="H4712" s="12" t="inlineStr">
        <is>
          <t>Fuel-gas compressors 3 x 100% electric</t>
        </is>
      </c>
      <c r="I4712" s="12" t="inlineStr">
        <is>
          <t>Instrumentation</t>
        </is>
      </c>
      <c r="J4712" s="12" t="inlineStr">
        <is>
          <t>RTD cable, #18 shielded triads, PLTC</t>
        </is>
      </c>
      <c r="K4712" s="12" t="inlineStr">
        <is>
          <t>RTD|12 tri|18</t>
        </is>
      </c>
      <c r="L4712" s="12" t="inlineStr">
        <is>
          <t>12 tri</t>
        </is>
      </c>
      <c r="M4712" s="12" t="inlineStr">
        <is>
          <t>18</t>
        </is>
      </c>
      <c r="N4712" s="12" t="n">
        <v>1</v>
      </c>
      <c r="O4712" s="12" t="n">
        <v>1</v>
      </c>
      <c r="P4712" s="12" t="n"/>
      <c r="Q4712" s="12" t="n"/>
      <c r="R4712" s="12" t="n"/>
      <c r="S4712" s="12" t="inlineStr">
        <is>
          <t>Duct bank</t>
        </is>
      </c>
      <c r="T4712" s="17" t="n">
        <v>8</v>
      </c>
      <c r="U4712" s="17" t="n">
        <v>108</v>
      </c>
      <c r="V4712" s="17">
        <f>ROUNDUP((T4712+U4712+2*'Read Me'!$B$13)*(1+'Read Me'!$B$12),-1)</f>
        <v/>
      </c>
      <c r="W4712" s="17">
        <f>V4712*N4712*O4712</f>
        <v/>
      </c>
      <c r="X4712" s="12">
        <f>IF(LEFT(I4712,2)="MV",2*N4712*IF(L4712="1/C",O4712,1),0)</f>
        <v/>
      </c>
      <c r="Y4712" s="12">
        <f>IF(OR(LEFT(K4712,4)="LVAX",LEFT(K4712,6)="MV15AX",LEFT(K4712,4)="CTAX",LEFT(K4712,2)="W|"),2*N4712*O4712,0)</f>
        <v/>
      </c>
      <c r="Z4712" s="12" t="inlineStr"/>
      <c r="AA4712" s="12">
        <f>N4712*O4712</f>
        <v/>
      </c>
    </row>
    <row r="4713">
      <c r="A4713" s="12" t="inlineStr">
        <is>
          <t>I-I-0103</t>
        </is>
      </c>
      <c r="B4713" s="12" t="inlineStr">
        <is>
          <t>I</t>
        </is>
      </c>
      <c r="C4713" s="12" t="inlineStr">
        <is>
          <t>Modular / portable power</t>
        </is>
      </c>
      <c r="D4713" s="12" t="inlineStr">
        <is>
          <t>Instrumentation</t>
        </is>
      </c>
      <c r="E4713" s="12" t="inlineStr">
        <is>
          <t>PAD-EH</t>
        </is>
      </c>
      <c r="F4713" s="12" t="inlineStr">
        <is>
          <t>PAD-EH 13.8 kV switchgear e-house</t>
        </is>
      </c>
      <c r="G4713" s="12" t="inlineStr">
        <is>
          <t>GB-1.1</t>
        </is>
      </c>
      <c r="H4713" s="12" t="inlineStr">
        <is>
          <t>GB-1.1: modular gas genset ~450 kW, 480 V (block 1)</t>
        </is>
      </c>
      <c r="I4713" s="12" t="inlineStr">
        <is>
          <t>Instrumentation</t>
        </is>
      </c>
      <c r="J4713" s="12" t="inlineStr">
        <is>
          <t>Instrumentation PLTC / TC-ER 300 V, #18 twisted shielded pairs, overall shield</t>
        </is>
      </c>
      <c r="K4713" s="12" t="inlineStr">
        <is>
          <t>PLTC|4 pr|18</t>
        </is>
      </c>
      <c r="L4713" s="12" t="inlineStr">
        <is>
          <t>4 pr</t>
        </is>
      </c>
      <c r="M4713" s="12" t="inlineStr">
        <is>
          <t>18</t>
        </is>
      </c>
      <c r="N4713" s="12" t="n">
        <v>1</v>
      </c>
      <c r="O4713" s="12" t="n">
        <v>1</v>
      </c>
      <c r="P4713" s="12" t="n"/>
      <c r="Q4713" s="12" t="n"/>
      <c r="R4713" s="12" t="n"/>
      <c r="S4713" s="12" t="inlineStr">
        <is>
          <t>Surface</t>
        </is>
      </c>
      <c r="T4713" s="17" t="n">
        <v>160</v>
      </c>
      <c r="U4713" s="17" t="n">
        <v>37</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I-I-0104</t>
        </is>
      </c>
      <c r="B4714" s="12" t="inlineStr">
        <is>
          <t>I</t>
        </is>
      </c>
      <c r="C4714" s="12" t="inlineStr">
        <is>
          <t>Modular / portable power</t>
        </is>
      </c>
      <c r="D4714" s="12" t="inlineStr">
        <is>
          <t>Thermocouples</t>
        </is>
      </c>
      <c r="E4714" s="12" t="inlineStr">
        <is>
          <t>PAD-EH</t>
        </is>
      </c>
      <c r="F4714" s="12" t="inlineStr">
        <is>
          <t>PAD-EH 13.8 kV switchgear e-house</t>
        </is>
      </c>
      <c r="G4714" s="12" t="inlineStr">
        <is>
          <t>GB-1.1</t>
        </is>
      </c>
      <c r="H4714" s="12" t="inlineStr">
        <is>
          <t>GB-1.1: modular gas genset ~450 kW, 480 V (block 1)</t>
        </is>
      </c>
      <c r="I4714" s="12" t="inlineStr">
        <is>
          <t>Instrumentation</t>
        </is>
      </c>
      <c r="J4714" s="12" t="inlineStr">
        <is>
          <t>Thermocouple extension KX, #16 shielded pairs, PLTC</t>
        </is>
      </c>
      <c r="K4714" s="12" t="inlineStr">
        <is>
          <t>TCX|12 pr|16</t>
        </is>
      </c>
      <c r="L4714" s="12" t="inlineStr">
        <is>
          <t>12 pr</t>
        </is>
      </c>
      <c r="M4714" s="12" t="inlineStr">
        <is>
          <t>16</t>
        </is>
      </c>
      <c r="N4714" s="12" t="n">
        <v>1</v>
      </c>
      <c r="O4714" s="12" t="n">
        <v>1</v>
      </c>
      <c r="P4714" s="12" t="n"/>
      <c r="Q4714" s="12" t="n"/>
      <c r="R4714" s="12" t="n"/>
      <c r="S4714" s="12" t="inlineStr">
        <is>
          <t>Surface</t>
        </is>
      </c>
      <c r="T4714" s="17" t="n">
        <v>160</v>
      </c>
      <c r="U4714" s="17" t="n">
        <v>37</v>
      </c>
      <c r="V4714" s="17">
        <f>ROUNDUP((T4714+U4714+2*'Read Me'!$B$13)*(1+'Read Me'!$B$12),-1)</f>
        <v/>
      </c>
      <c r="W4714" s="17">
        <f>V4714*N4714*O4714</f>
        <v/>
      </c>
      <c r="X4714" s="12">
        <f>IF(LEFT(I4714,2)="MV",2*N4714*IF(L4714="1/C",O4714,1),0)</f>
        <v/>
      </c>
      <c r="Y4714" s="12">
        <f>IF(OR(LEFT(K4714,4)="LVAX",LEFT(K4714,6)="MV15AX",LEFT(K4714,4)="CTAX",LEFT(K4714,2)="W|"),2*N4714*O4714,0)</f>
        <v/>
      </c>
      <c r="Z4714" s="12" t="inlineStr"/>
      <c r="AA4714" s="12">
        <f>N4714*O4714</f>
        <v/>
      </c>
    </row>
    <row r="4715">
      <c r="A4715" s="12" t="inlineStr">
        <is>
          <t>I-I-0105</t>
        </is>
      </c>
      <c r="B4715" s="12" t="inlineStr">
        <is>
          <t>I</t>
        </is>
      </c>
      <c r="C4715" s="12" t="inlineStr">
        <is>
          <t>Modular / portable power</t>
        </is>
      </c>
      <c r="D4715" s="12" t="inlineStr">
        <is>
          <t>Thermocouples</t>
        </is>
      </c>
      <c r="E4715" s="12" t="inlineStr">
        <is>
          <t>PAD-EH</t>
        </is>
      </c>
      <c r="F4715" s="12" t="inlineStr">
        <is>
          <t>PAD-EH 13.8 kV switchgear e-house</t>
        </is>
      </c>
      <c r="G4715" s="12" t="inlineStr">
        <is>
          <t>GB-1.1</t>
        </is>
      </c>
      <c r="H4715" s="12" t="inlineStr">
        <is>
          <t>GB-1.1: modular gas genset ~450 kW, 480 V (block 1)</t>
        </is>
      </c>
      <c r="I4715" s="12" t="inlineStr">
        <is>
          <t>Instrumentation</t>
        </is>
      </c>
      <c r="J4715" s="12" t="inlineStr">
        <is>
          <t>Thermocouple extension KX, #16 shielded pairs, PLTC</t>
        </is>
      </c>
      <c r="K4715" s="12" t="inlineStr">
        <is>
          <t>TCX|12 pr|16</t>
        </is>
      </c>
      <c r="L4715" s="12" t="inlineStr">
        <is>
          <t>12 pr</t>
        </is>
      </c>
      <c r="M4715" s="12" t="inlineStr">
        <is>
          <t>16</t>
        </is>
      </c>
      <c r="N4715" s="12" t="n">
        <v>1</v>
      </c>
      <c r="O4715" s="12" t="n">
        <v>1</v>
      </c>
      <c r="P4715" s="12" t="n"/>
      <c r="Q4715" s="12" t="n"/>
      <c r="R4715" s="12" t="n"/>
      <c r="S4715" s="12" t="inlineStr">
        <is>
          <t>Surface</t>
        </is>
      </c>
      <c r="T4715" s="17" t="n">
        <v>160</v>
      </c>
      <c r="U4715" s="17" t="n">
        <v>37</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I-I-0106</t>
        </is>
      </c>
      <c r="B4716" s="12" t="inlineStr">
        <is>
          <t>I</t>
        </is>
      </c>
      <c r="C4716" s="12" t="inlineStr">
        <is>
          <t>Modular / portable power</t>
        </is>
      </c>
      <c r="D4716" s="12" t="inlineStr">
        <is>
          <t>Instrumentation</t>
        </is>
      </c>
      <c r="E4716" s="12" t="inlineStr">
        <is>
          <t>PAD-EH</t>
        </is>
      </c>
      <c r="F4716" s="12" t="inlineStr">
        <is>
          <t>PAD-EH 13.8 kV switchgear e-house</t>
        </is>
      </c>
      <c r="G4716" s="12" t="inlineStr">
        <is>
          <t>GB-1.2</t>
        </is>
      </c>
      <c r="H4716" s="12" t="inlineStr">
        <is>
          <t>GB-1.2: modular gas genset ~450 kW, 480 V (block 1)</t>
        </is>
      </c>
      <c r="I4716" s="12" t="inlineStr">
        <is>
          <t>Instrumentation</t>
        </is>
      </c>
      <c r="J4716" s="12" t="inlineStr">
        <is>
          <t>Instrumentation PLTC / TC-ER 300 V, #18 twisted shielded pairs, overall shield</t>
        </is>
      </c>
      <c r="K4716" s="12" t="inlineStr">
        <is>
          <t>PLTC|4 pr|18</t>
        </is>
      </c>
      <c r="L4716" s="12" t="inlineStr">
        <is>
          <t>4 pr</t>
        </is>
      </c>
      <c r="M4716" s="12" t="inlineStr">
        <is>
          <t>18</t>
        </is>
      </c>
      <c r="N4716" s="12" t="n">
        <v>1</v>
      </c>
      <c r="O4716" s="12" t="n">
        <v>1</v>
      </c>
      <c r="P4716" s="12" t="n"/>
      <c r="Q4716" s="12" t="n"/>
      <c r="R4716" s="12" t="n"/>
      <c r="S4716" s="12" t="inlineStr">
        <is>
          <t>Surface</t>
        </is>
      </c>
      <c r="T4716" s="17" t="n">
        <v>158</v>
      </c>
      <c r="U4716" s="17" t="n">
        <v>32</v>
      </c>
      <c r="V4716" s="17">
        <f>ROUNDUP((T4716+U4716+2*'Read Me'!$B$13)*(1+'Read Me'!$B$12),-1)</f>
        <v/>
      </c>
      <c r="W4716" s="17">
        <f>V4716*N4716*O4716</f>
        <v/>
      </c>
      <c r="X4716" s="12">
        <f>IF(LEFT(I4716,2)="MV",2*N4716*IF(L4716="1/C",O4716,1),0)</f>
        <v/>
      </c>
      <c r="Y4716" s="12">
        <f>IF(OR(LEFT(K4716,4)="LVAX",LEFT(K4716,6)="MV15AX",LEFT(K4716,4)="CTAX",LEFT(K4716,2)="W|"),2*N4716*O4716,0)</f>
        <v/>
      </c>
      <c r="Z4716" s="12" t="inlineStr"/>
      <c r="AA4716" s="12">
        <f>N4716*O4716</f>
        <v/>
      </c>
    </row>
    <row r="4717">
      <c r="A4717" s="12" t="inlineStr">
        <is>
          <t>I-I-0107</t>
        </is>
      </c>
      <c r="B4717" s="12" t="inlineStr">
        <is>
          <t>I</t>
        </is>
      </c>
      <c r="C4717" s="12" t="inlineStr">
        <is>
          <t>Modular / portable power</t>
        </is>
      </c>
      <c r="D4717" s="12" t="inlineStr">
        <is>
          <t>Thermocouples</t>
        </is>
      </c>
      <c r="E4717" s="12" t="inlineStr">
        <is>
          <t>PAD-EH</t>
        </is>
      </c>
      <c r="F4717" s="12" t="inlineStr">
        <is>
          <t>PAD-EH 13.8 kV switchgear e-house</t>
        </is>
      </c>
      <c r="G4717" s="12" t="inlineStr">
        <is>
          <t>GB-1.2</t>
        </is>
      </c>
      <c r="H4717" s="12" t="inlineStr">
        <is>
          <t>GB-1.2: modular gas genset ~450 kW, 480 V (block 1)</t>
        </is>
      </c>
      <c r="I4717" s="12" t="inlineStr">
        <is>
          <t>Instrumentation</t>
        </is>
      </c>
      <c r="J4717" s="12" t="inlineStr">
        <is>
          <t>Thermocouple extension KX, #16 shielded pairs, PLTC</t>
        </is>
      </c>
      <c r="K4717" s="12" t="inlineStr">
        <is>
          <t>TCX|12 pr|16</t>
        </is>
      </c>
      <c r="L4717" s="12" t="inlineStr">
        <is>
          <t>12 pr</t>
        </is>
      </c>
      <c r="M4717" s="12" t="inlineStr">
        <is>
          <t>16</t>
        </is>
      </c>
      <c r="N4717" s="12" t="n">
        <v>1</v>
      </c>
      <c r="O4717" s="12" t="n">
        <v>1</v>
      </c>
      <c r="P4717" s="12" t="n"/>
      <c r="Q4717" s="12" t="n"/>
      <c r="R4717" s="12" t="n"/>
      <c r="S4717" s="12" t="inlineStr">
        <is>
          <t>Surface</t>
        </is>
      </c>
      <c r="T4717" s="17" t="n">
        <v>158</v>
      </c>
      <c r="U4717" s="17" t="n">
        <v>32</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I-I-0108</t>
        </is>
      </c>
      <c r="B4718" s="12" t="inlineStr">
        <is>
          <t>I</t>
        </is>
      </c>
      <c r="C4718" s="12" t="inlineStr">
        <is>
          <t>Modular / portable power</t>
        </is>
      </c>
      <c r="D4718" s="12" t="inlineStr">
        <is>
          <t>Thermocouples</t>
        </is>
      </c>
      <c r="E4718" s="12" t="inlineStr">
        <is>
          <t>PAD-EH</t>
        </is>
      </c>
      <c r="F4718" s="12" t="inlineStr">
        <is>
          <t>PAD-EH 13.8 kV switchgear e-house</t>
        </is>
      </c>
      <c r="G4718" s="12" t="inlineStr">
        <is>
          <t>GB-1.2</t>
        </is>
      </c>
      <c r="H4718" s="12" t="inlineStr">
        <is>
          <t>GB-1.2: modular gas genset ~450 kW, 480 V (block 1)</t>
        </is>
      </c>
      <c r="I4718" s="12" t="inlineStr">
        <is>
          <t>Instrumentation</t>
        </is>
      </c>
      <c r="J4718" s="12" t="inlineStr">
        <is>
          <t>Thermocouple extension KX, #16 shielded pairs, PLTC</t>
        </is>
      </c>
      <c r="K4718" s="12" t="inlineStr">
        <is>
          <t>TCX|12 pr|16</t>
        </is>
      </c>
      <c r="L4718" s="12" t="inlineStr">
        <is>
          <t>12 pr</t>
        </is>
      </c>
      <c r="M4718" s="12" t="inlineStr">
        <is>
          <t>16</t>
        </is>
      </c>
      <c r="N4718" s="12" t="n">
        <v>1</v>
      </c>
      <c r="O4718" s="12" t="n">
        <v>1</v>
      </c>
      <c r="P4718" s="12" t="n"/>
      <c r="Q4718" s="12" t="n"/>
      <c r="R4718" s="12" t="n"/>
      <c r="S4718" s="12" t="inlineStr">
        <is>
          <t>Surface</t>
        </is>
      </c>
      <c r="T4718" s="17" t="n">
        <v>158</v>
      </c>
      <c r="U4718" s="17" t="n">
        <v>32</v>
      </c>
      <c r="V4718" s="17">
        <f>ROUNDUP((T4718+U4718+2*'Read Me'!$B$13)*(1+'Read Me'!$B$12),-1)</f>
        <v/>
      </c>
      <c r="W4718" s="17">
        <f>V4718*N4718*O4718</f>
        <v/>
      </c>
      <c r="X4718" s="12">
        <f>IF(LEFT(I4718,2)="MV",2*N4718*IF(L4718="1/C",O4718,1),0)</f>
        <v/>
      </c>
      <c r="Y4718" s="12">
        <f>IF(OR(LEFT(K4718,4)="LVAX",LEFT(K4718,6)="MV15AX",LEFT(K4718,4)="CTAX",LEFT(K4718,2)="W|"),2*N4718*O4718,0)</f>
        <v/>
      </c>
      <c r="Z4718" s="12" t="inlineStr"/>
      <c r="AA4718" s="12">
        <f>N4718*O4718</f>
        <v/>
      </c>
    </row>
    <row r="4719">
      <c r="A4719" s="12" t="inlineStr">
        <is>
          <t>I-I-0109</t>
        </is>
      </c>
      <c r="B4719" s="12" t="inlineStr">
        <is>
          <t>I</t>
        </is>
      </c>
      <c r="C4719" s="12" t="inlineStr">
        <is>
          <t>Modular / portable power</t>
        </is>
      </c>
      <c r="D4719" s="12" t="inlineStr">
        <is>
          <t>Instrumentation</t>
        </is>
      </c>
      <c r="E4719" s="12" t="inlineStr">
        <is>
          <t>PAD-EH</t>
        </is>
      </c>
      <c r="F4719" s="12" t="inlineStr">
        <is>
          <t>PAD-EH 13.8 kV switchgear e-house</t>
        </is>
      </c>
      <c r="G4719" s="12" t="inlineStr">
        <is>
          <t>GB-1.3</t>
        </is>
      </c>
      <c r="H4719" s="12" t="inlineStr">
        <is>
          <t>GB-1.3: modular gas genset ~450 kW, 480 V (block 1)</t>
        </is>
      </c>
      <c r="I4719" s="12" t="inlineStr">
        <is>
          <t>Instrumentation</t>
        </is>
      </c>
      <c r="J4719" s="12" t="inlineStr">
        <is>
          <t>Instrumentation PLTC / TC-ER 300 V, #18 twisted shielded pairs, overall shield</t>
        </is>
      </c>
      <c r="K4719" s="12" t="inlineStr">
        <is>
          <t>PLTC|4 pr|18</t>
        </is>
      </c>
      <c r="L4719" s="12" t="inlineStr">
        <is>
          <t>4 pr</t>
        </is>
      </c>
      <c r="M4719" s="12" t="inlineStr">
        <is>
          <t>18</t>
        </is>
      </c>
      <c r="N4719" s="12" t="n">
        <v>1</v>
      </c>
      <c r="O4719" s="12" t="n">
        <v>1</v>
      </c>
      <c r="P4719" s="12" t="n"/>
      <c r="Q4719" s="12" t="n"/>
      <c r="R4719" s="12" t="n"/>
      <c r="S4719" s="12" t="inlineStr">
        <is>
          <t>Surface</t>
        </is>
      </c>
      <c r="T4719" s="17" t="n">
        <v>145</v>
      </c>
      <c r="U4719" s="17" t="n">
        <v>35</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I-I-0110</t>
        </is>
      </c>
      <c r="B4720" s="12" t="inlineStr">
        <is>
          <t>I</t>
        </is>
      </c>
      <c r="C4720" s="12" t="inlineStr">
        <is>
          <t>Modular / portable power</t>
        </is>
      </c>
      <c r="D4720" s="12" t="inlineStr">
        <is>
          <t>Thermocouples</t>
        </is>
      </c>
      <c r="E4720" s="12" t="inlineStr">
        <is>
          <t>PAD-EH</t>
        </is>
      </c>
      <c r="F4720" s="12" t="inlineStr">
        <is>
          <t>PAD-EH 13.8 kV switchgear e-house</t>
        </is>
      </c>
      <c r="G4720" s="12" t="inlineStr">
        <is>
          <t>GB-1.3</t>
        </is>
      </c>
      <c r="H4720" s="12" t="inlineStr">
        <is>
          <t>GB-1.3: modular gas genset ~450 kW, 480 V (block 1)</t>
        </is>
      </c>
      <c r="I4720" s="12" t="inlineStr">
        <is>
          <t>Instrumentation</t>
        </is>
      </c>
      <c r="J4720" s="12" t="inlineStr">
        <is>
          <t>Thermocouple extension KX, #16 shielded pairs, PLTC</t>
        </is>
      </c>
      <c r="K4720" s="12" t="inlineStr">
        <is>
          <t>TCX|12 pr|16</t>
        </is>
      </c>
      <c r="L4720" s="12" t="inlineStr">
        <is>
          <t>12 pr</t>
        </is>
      </c>
      <c r="M4720" s="12" t="inlineStr">
        <is>
          <t>16</t>
        </is>
      </c>
      <c r="N4720" s="12" t="n">
        <v>1</v>
      </c>
      <c r="O4720" s="12" t="n">
        <v>1</v>
      </c>
      <c r="P4720" s="12" t="n"/>
      <c r="Q4720" s="12" t="n"/>
      <c r="R4720" s="12" t="n"/>
      <c r="S4720" s="12" t="inlineStr">
        <is>
          <t>Surface</t>
        </is>
      </c>
      <c r="T4720" s="17" t="n">
        <v>145</v>
      </c>
      <c r="U4720" s="17" t="n">
        <v>35</v>
      </c>
      <c r="V4720" s="17">
        <f>ROUNDUP((T4720+U4720+2*'Read Me'!$B$13)*(1+'Read Me'!$B$12),-1)</f>
        <v/>
      </c>
      <c r="W4720" s="17">
        <f>V4720*N4720*O4720</f>
        <v/>
      </c>
      <c r="X4720" s="12">
        <f>IF(LEFT(I4720,2)="MV",2*N4720*IF(L4720="1/C",O4720,1),0)</f>
        <v/>
      </c>
      <c r="Y4720" s="12">
        <f>IF(OR(LEFT(K4720,4)="LVAX",LEFT(K4720,6)="MV15AX",LEFT(K4720,4)="CTAX",LEFT(K4720,2)="W|"),2*N4720*O4720,0)</f>
        <v/>
      </c>
      <c r="Z4720" s="12" t="inlineStr"/>
      <c r="AA4720" s="12">
        <f>N4720*O4720</f>
        <v/>
      </c>
    </row>
    <row r="4721">
      <c r="A4721" s="12" t="inlineStr">
        <is>
          <t>I-I-0111</t>
        </is>
      </c>
      <c r="B4721" s="12" t="inlineStr">
        <is>
          <t>I</t>
        </is>
      </c>
      <c r="C4721" s="12" t="inlineStr">
        <is>
          <t>Modular / portable power</t>
        </is>
      </c>
      <c r="D4721" s="12" t="inlineStr">
        <is>
          <t>Thermocouples</t>
        </is>
      </c>
      <c r="E4721" s="12" t="inlineStr">
        <is>
          <t>PAD-EH</t>
        </is>
      </c>
      <c r="F4721" s="12" t="inlineStr">
        <is>
          <t>PAD-EH 13.8 kV switchgear e-house</t>
        </is>
      </c>
      <c r="G4721" s="12" t="inlineStr">
        <is>
          <t>GB-1.3</t>
        </is>
      </c>
      <c r="H4721" s="12" t="inlineStr">
        <is>
          <t>GB-1.3: modular gas genset ~450 kW, 480 V (block 1)</t>
        </is>
      </c>
      <c r="I4721" s="12" t="inlineStr">
        <is>
          <t>Instrumentation</t>
        </is>
      </c>
      <c r="J4721" s="12" t="inlineStr">
        <is>
          <t>Thermocouple extension KX, #16 shielded pairs, PLTC</t>
        </is>
      </c>
      <c r="K4721" s="12" t="inlineStr">
        <is>
          <t>TCX|12 pr|16</t>
        </is>
      </c>
      <c r="L4721" s="12" t="inlineStr">
        <is>
          <t>12 pr</t>
        </is>
      </c>
      <c r="M4721" s="12" t="inlineStr">
        <is>
          <t>16</t>
        </is>
      </c>
      <c r="N4721" s="12" t="n">
        <v>1</v>
      </c>
      <c r="O4721" s="12" t="n">
        <v>1</v>
      </c>
      <c r="P4721" s="12" t="n"/>
      <c r="Q4721" s="12" t="n"/>
      <c r="R4721" s="12" t="n"/>
      <c r="S4721" s="12" t="inlineStr">
        <is>
          <t>Surface</t>
        </is>
      </c>
      <c r="T4721" s="17" t="n">
        <v>145</v>
      </c>
      <c r="U4721" s="17" t="n">
        <v>35</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I-I-0112</t>
        </is>
      </c>
      <c r="B4722" s="12" t="inlineStr">
        <is>
          <t>I</t>
        </is>
      </c>
      <c r="C4722" s="12" t="inlineStr">
        <is>
          <t>Modular / portable power</t>
        </is>
      </c>
      <c r="D4722" s="12" t="inlineStr">
        <is>
          <t>Instrumentation</t>
        </is>
      </c>
      <c r="E4722" s="12" t="inlineStr">
        <is>
          <t>PAD-EH</t>
        </is>
      </c>
      <c r="F4722" s="12" t="inlineStr">
        <is>
          <t>PAD-EH 13.8 kV switchgear e-house</t>
        </is>
      </c>
      <c r="G4722" s="12" t="inlineStr">
        <is>
          <t>GB-1.4</t>
        </is>
      </c>
      <c r="H4722" s="12" t="inlineStr">
        <is>
          <t>GB-1.4: modular gas genset ~450 kW, 480 V (block 1)</t>
        </is>
      </c>
      <c r="I4722" s="12" t="inlineStr">
        <is>
          <t>Instrumentation</t>
        </is>
      </c>
      <c r="J4722" s="12" t="inlineStr">
        <is>
          <t>Instrumentation PLTC / TC-ER 300 V, #18 twisted shielded pairs, overall shield</t>
        </is>
      </c>
      <c r="K4722" s="12" t="inlineStr">
        <is>
          <t>PLTC|4 pr|18</t>
        </is>
      </c>
      <c r="L4722" s="12" t="inlineStr">
        <is>
          <t>4 pr</t>
        </is>
      </c>
      <c r="M4722" s="12" t="inlineStr">
        <is>
          <t>18</t>
        </is>
      </c>
      <c r="N4722" s="12" t="n">
        <v>1</v>
      </c>
      <c r="O4722" s="12" t="n">
        <v>1</v>
      </c>
      <c r="P4722" s="12" t="n"/>
      <c r="Q4722" s="12" t="n"/>
      <c r="R4722" s="12" t="n"/>
      <c r="S4722" s="12" t="inlineStr">
        <is>
          <t>Surface</t>
        </is>
      </c>
      <c r="T4722" s="17" t="n">
        <v>148</v>
      </c>
      <c r="U4722" s="17" t="n">
        <v>39</v>
      </c>
      <c r="V4722" s="17">
        <f>ROUNDUP((T4722+U4722+2*'Read Me'!$B$13)*(1+'Read Me'!$B$12),-1)</f>
        <v/>
      </c>
      <c r="W4722" s="17">
        <f>V4722*N4722*O4722</f>
        <v/>
      </c>
      <c r="X4722" s="12">
        <f>IF(LEFT(I4722,2)="MV",2*N4722*IF(L4722="1/C",O4722,1),0)</f>
        <v/>
      </c>
      <c r="Y4722" s="12">
        <f>IF(OR(LEFT(K4722,4)="LVAX",LEFT(K4722,6)="MV15AX",LEFT(K4722,4)="CTAX",LEFT(K4722,2)="W|"),2*N4722*O4722,0)</f>
        <v/>
      </c>
      <c r="Z4722" s="12" t="inlineStr"/>
      <c r="AA4722" s="12">
        <f>N4722*O4722</f>
        <v/>
      </c>
    </row>
    <row r="4723">
      <c r="A4723" s="12" t="inlineStr">
        <is>
          <t>I-I-0113</t>
        </is>
      </c>
      <c r="B4723" s="12" t="inlineStr">
        <is>
          <t>I</t>
        </is>
      </c>
      <c r="C4723" s="12" t="inlineStr">
        <is>
          <t>Modular / portable power</t>
        </is>
      </c>
      <c r="D4723" s="12" t="inlineStr">
        <is>
          <t>Thermocouples</t>
        </is>
      </c>
      <c r="E4723" s="12" t="inlineStr">
        <is>
          <t>PAD-EH</t>
        </is>
      </c>
      <c r="F4723" s="12" t="inlineStr">
        <is>
          <t>PAD-EH 13.8 kV switchgear e-house</t>
        </is>
      </c>
      <c r="G4723" s="12" t="inlineStr">
        <is>
          <t>GB-1.4</t>
        </is>
      </c>
      <c r="H4723" s="12" t="inlineStr">
        <is>
          <t>GB-1.4: modular gas genset ~450 kW, 480 V (block 1)</t>
        </is>
      </c>
      <c r="I4723" s="12" t="inlineStr">
        <is>
          <t>Instrumentation</t>
        </is>
      </c>
      <c r="J4723" s="12" t="inlineStr">
        <is>
          <t>Thermocouple extension KX, #16 shielded pairs, PLTC</t>
        </is>
      </c>
      <c r="K4723" s="12" t="inlineStr">
        <is>
          <t>TCX|12 pr|16</t>
        </is>
      </c>
      <c r="L4723" s="12" t="inlineStr">
        <is>
          <t>12 pr</t>
        </is>
      </c>
      <c r="M4723" s="12" t="inlineStr">
        <is>
          <t>16</t>
        </is>
      </c>
      <c r="N4723" s="12" t="n">
        <v>1</v>
      </c>
      <c r="O4723" s="12" t="n">
        <v>1</v>
      </c>
      <c r="P4723" s="12" t="n"/>
      <c r="Q4723" s="12" t="n"/>
      <c r="R4723" s="12" t="n"/>
      <c r="S4723" s="12" t="inlineStr">
        <is>
          <t>Surface</t>
        </is>
      </c>
      <c r="T4723" s="17" t="n">
        <v>148</v>
      </c>
      <c r="U4723" s="17" t="n">
        <v>39</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I-I-0114</t>
        </is>
      </c>
      <c r="B4724" s="12" t="inlineStr">
        <is>
          <t>I</t>
        </is>
      </c>
      <c r="C4724" s="12" t="inlineStr">
        <is>
          <t>Modular / portable power</t>
        </is>
      </c>
      <c r="D4724" s="12" t="inlineStr">
        <is>
          <t>Thermocouples</t>
        </is>
      </c>
      <c r="E4724" s="12" t="inlineStr">
        <is>
          <t>PAD-EH</t>
        </is>
      </c>
      <c r="F4724" s="12" t="inlineStr">
        <is>
          <t>PAD-EH 13.8 kV switchgear e-house</t>
        </is>
      </c>
      <c r="G4724" s="12" t="inlineStr">
        <is>
          <t>GB-1.4</t>
        </is>
      </c>
      <c r="H4724" s="12" t="inlineStr">
        <is>
          <t>GB-1.4: modular gas genset ~450 kW, 480 V (block 1)</t>
        </is>
      </c>
      <c r="I4724" s="12" t="inlineStr">
        <is>
          <t>Instrumentation</t>
        </is>
      </c>
      <c r="J4724" s="12" t="inlineStr">
        <is>
          <t>Thermocouple extension KX, #16 shielded pairs, PLTC</t>
        </is>
      </c>
      <c r="K4724" s="12" t="inlineStr">
        <is>
          <t>TCX|12 pr|16</t>
        </is>
      </c>
      <c r="L4724" s="12" t="inlineStr">
        <is>
          <t>12 pr</t>
        </is>
      </c>
      <c r="M4724" s="12" t="inlineStr">
        <is>
          <t>16</t>
        </is>
      </c>
      <c r="N4724" s="12" t="n">
        <v>1</v>
      </c>
      <c r="O4724" s="12" t="n">
        <v>1</v>
      </c>
      <c r="P4724" s="12" t="n"/>
      <c r="Q4724" s="12" t="n"/>
      <c r="R4724" s="12" t="n"/>
      <c r="S4724" s="12" t="inlineStr">
        <is>
          <t>Surface</t>
        </is>
      </c>
      <c r="T4724" s="17" t="n">
        <v>148</v>
      </c>
      <c r="U4724" s="17" t="n">
        <v>39</v>
      </c>
      <c r="V4724" s="17">
        <f>ROUNDUP((T4724+U4724+2*'Read Me'!$B$13)*(1+'Read Me'!$B$12),-1)</f>
        <v/>
      </c>
      <c r="W4724" s="17">
        <f>V4724*N4724*O4724</f>
        <v/>
      </c>
      <c r="X4724" s="12">
        <f>IF(LEFT(I4724,2)="MV",2*N4724*IF(L4724="1/C",O4724,1),0)</f>
        <v/>
      </c>
      <c r="Y4724" s="12">
        <f>IF(OR(LEFT(K4724,4)="LVAX",LEFT(K4724,6)="MV15AX",LEFT(K4724,4)="CTAX",LEFT(K4724,2)="W|"),2*N4724*O4724,0)</f>
        <v/>
      </c>
      <c r="Z4724" s="12" t="inlineStr"/>
      <c r="AA4724" s="12">
        <f>N4724*O4724</f>
        <v/>
      </c>
    </row>
    <row r="4725">
      <c r="A4725" s="12" t="inlineStr">
        <is>
          <t>I-I-0115</t>
        </is>
      </c>
      <c r="B4725" s="12" t="inlineStr">
        <is>
          <t>I</t>
        </is>
      </c>
      <c r="C4725" s="12" t="inlineStr">
        <is>
          <t>Modular / portable power</t>
        </is>
      </c>
      <c r="D4725" s="12" t="inlineStr">
        <is>
          <t>Instrumentation</t>
        </is>
      </c>
      <c r="E4725" s="12" t="inlineStr">
        <is>
          <t>PAD-EH</t>
        </is>
      </c>
      <c r="F4725" s="12" t="inlineStr">
        <is>
          <t>PAD-EH 13.8 kV switchgear e-house</t>
        </is>
      </c>
      <c r="G4725" s="12" t="inlineStr">
        <is>
          <t>GB-2.1</t>
        </is>
      </c>
      <c r="H4725" s="12" t="inlineStr">
        <is>
          <t>GB-2.1: modular gas genset ~450 kW, 480 V (block 2)</t>
        </is>
      </c>
      <c r="I4725" s="12" t="inlineStr">
        <is>
          <t>Instrumentation</t>
        </is>
      </c>
      <c r="J4725" s="12" t="inlineStr">
        <is>
          <t>Instrumentation PLTC / TC-ER 300 V, #18 twisted shielded pairs, overall shield</t>
        </is>
      </c>
      <c r="K4725" s="12" t="inlineStr">
        <is>
          <t>PLTC|4 pr|18</t>
        </is>
      </c>
      <c r="L4725" s="12" t="inlineStr">
        <is>
          <t>4 pr</t>
        </is>
      </c>
      <c r="M4725" s="12" t="inlineStr">
        <is>
          <t>18</t>
        </is>
      </c>
      <c r="N4725" s="12" t="n">
        <v>1</v>
      </c>
      <c r="O4725" s="12" t="n">
        <v>1</v>
      </c>
      <c r="P4725" s="12" t="n"/>
      <c r="Q4725" s="12" t="n"/>
      <c r="R4725" s="12" t="n"/>
      <c r="S4725" s="12" t="inlineStr">
        <is>
          <t>Surface</t>
        </is>
      </c>
      <c r="T4725" s="17" t="n">
        <v>206</v>
      </c>
      <c r="U4725" s="17" t="n">
        <v>37</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I-I-0116</t>
        </is>
      </c>
      <c r="B4726" s="12" t="inlineStr">
        <is>
          <t>I</t>
        </is>
      </c>
      <c r="C4726" s="12" t="inlineStr">
        <is>
          <t>Modular / portable power</t>
        </is>
      </c>
      <c r="D4726" s="12" t="inlineStr">
        <is>
          <t>Thermocouples</t>
        </is>
      </c>
      <c r="E4726" s="12" t="inlineStr">
        <is>
          <t>PAD-EH</t>
        </is>
      </c>
      <c r="F4726" s="12" t="inlineStr">
        <is>
          <t>PAD-EH 13.8 kV switchgear e-house</t>
        </is>
      </c>
      <c r="G4726" s="12" t="inlineStr">
        <is>
          <t>GB-2.1</t>
        </is>
      </c>
      <c r="H4726" s="12" t="inlineStr">
        <is>
          <t>GB-2.1: modular gas genset ~450 kW, 480 V (block 2)</t>
        </is>
      </c>
      <c r="I4726" s="12" t="inlineStr">
        <is>
          <t>Instrumentation</t>
        </is>
      </c>
      <c r="J4726" s="12" t="inlineStr">
        <is>
          <t>Thermocouple extension KX, #16 shielded pairs, PLTC</t>
        </is>
      </c>
      <c r="K4726" s="12" t="inlineStr">
        <is>
          <t>TCX|12 pr|16</t>
        </is>
      </c>
      <c r="L4726" s="12" t="inlineStr">
        <is>
          <t>12 pr</t>
        </is>
      </c>
      <c r="M4726" s="12" t="inlineStr">
        <is>
          <t>16</t>
        </is>
      </c>
      <c r="N4726" s="12" t="n">
        <v>1</v>
      </c>
      <c r="O4726" s="12" t="n">
        <v>1</v>
      </c>
      <c r="P4726" s="12" t="n"/>
      <c r="Q4726" s="12" t="n"/>
      <c r="R4726" s="12" t="n"/>
      <c r="S4726" s="12" t="inlineStr">
        <is>
          <t>Surface</t>
        </is>
      </c>
      <c r="T4726" s="17" t="n">
        <v>206</v>
      </c>
      <c r="U4726" s="17" t="n">
        <v>37</v>
      </c>
      <c r="V4726" s="17">
        <f>ROUNDUP((T4726+U4726+2*'Read Me'!$B$13)*(1+'Read Me'!$B$12),-1)</f>
        <v/>
      </c>
      <c r="W4726" s="17">
        <f>V4726*N4726*O4726</f>
        <v/>
      </c>
      <c r="X4726" s="12">
        <f>IF(LEFT(I4726,2)="MV",2*N4726*IF(L4726="1/C",O4726,1),0)</f>
        <v/>
      </c>
      <c r="Y4726" s="12">
        <f>IF(OR(LEFT(K4726,4)="LVAX",LEFT(K4726,6)="MV15AX",LEFT(K4726,4)="CTAX",LEFT(K4726,2)="W|"),2*N4726*O4726,0)</f>
        <v/>
      </c>
      <c r="Z4726" s="12" t="inlineStr"/>
      <c r="AA4726" s="12">
        <f>N4726*O4726</f>
        <v/>
      </c>
    </row>
    <row r="4727">
      <c r="A4727" s="12" t="inlineStr">
        <is>
          <t>I-I-0117</t>
        </is>
      </c>
      <c r="B4727" s="12" t="inlineStr">
        <is>
          <t>I</t>
        </is>
      </c>
      <c r="C4727" s="12" t="inlineStr">
        <is>
          <t>Modular / portable power</t>
        </is>
      </c>
      <c r="D4727" s="12" t="inlineStr">
        <is>
          <t>Thermocouples</t>
        </is>
      </c>
      <c r="E4727" s="12" t="inlineStr">
        <is>
          <t>PAD-EH</t>
        </is>
      </c>
      <c r="F4727" s="12" t="inlineStr">
        <is>
          <t>PAD-EH 13.8 kV switchgear e-house</t>
        </is>
      </c>
      <c r="G4727" s="12" t="inlineStr">
        <is>
          <t>GB-2.1</t>
        </is>
      </c>
      <c r="H4727" s="12" t="inlineStr">
        <is>
          <t>GB-2.1: modular gas genset ~450 kW, 480 V (block 2)</t>
        </is>
      </c>
      <c r="I4727" s="12" t="inlineStr">
        <is>
          <t>Instrumentation</t>
        </is>
      </c>
      <c r="J4727" s="12" t="inlineStr">
        <is>
          <t>Thermocouple extension KX, #16 shielded pairs, PLTC</t>
        </is>
      </c>
      <c r="K4727" s="12" t="inlineStr">
        <is>
          <t>TCX|12 pr|16</t>
        </is>
      </c>
      <c r="L4727" s="12" t="inlineStr">
        <is>
          <t>12 pr</t>
        </is>
      </c>
      <c r="M4727" s="12" t="inlineStr">
        <is>
          <t>16</t>
        </is>
      </c>
      <c r="N4727" s="12" t="n">
        <v>1</v>
      </c>
      <c r="O4727" s="12" t="n">
        <v>1</v>
      </c>
      <c r="P4727" s="12" t="n"/>
      <c r="Q4727" s="12" t="n"/>
      <c r="R4727" s="12" t="n"/>
      <c r="S4727" s="12" t="inlineStr">
        <is>
          <t>Surface</t>
        </is>
      </c>
      <c r="T4727" s="17" t="n">
        <v>206</v>
      </c>
      <c r="U4727" s="17" t="n">
        <v>37</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I-I-0118</t>
        </is>
      </c>
      <c r="B4728" s="12" t="inlineStr">
        <is>
          <t>I</t>
        </is>
      </c>
      <c r="C4728" s="12" t="inlineStr">
        <is>
          <t>Modular / portable power</t>
        </is>
      </c>
      <c r="D4728" s="12" t="inlineStr">
        <is>
          <t>Instrumentation</t>
        </is>
      </c>
      <c r="E4728" s="12" t="inlineStr">
        <is>
          <t>PAD-EH</t>
        </is>
      </c>
      <c r="F4728" s="12" t="inlineStr">
        <is>
          <t>PAD-EH 13.8 kV switchgear e-house</t>
        </is>
      </c>
      <c r="G4728" s="12" t="inlineStr">
        <is>
          <t>GB-2.2</t>
        </is>
      </c>
      <c r="H4728" s="12" t="inlineStr">
        <is>
          <t>GB-2.2: modular gas genset ~450 kW, 480 V (block 2)</t>
        </is>
      </c>
      <c r="I4728" s="12" t="inlineStr">
        <is>
          <t>Instrumentation</t>
        </is>
      </c>
      <c r="J4728" s="12" t="inlineStr">
        <is>
          <t>Instrumentation PLTC / TC-ER 300 V, #18 twisted shielded pairs, overall shield</t>
        </is>
      </c>
      <c r="K4728" s="12" t="inlineStr">
        <is>
          <t>PLTC|4 pr|18</t>
        </is>
      </c>
      <c r="L4728" s="12" t="inlineStr">
        <is>
          <t>4 pr</t>
        </is>
      </c>
      <c r="M4728" s="12" t="inlineStr">
        <is>
          <t>18</t>
        </is>
      </c>
      <c r="N4728" s="12" t="n">
        <v>1</v>
      </c>
      <c r="O4728" s="12" t="n">
        <v>1</v>
      </c>
      <c r="P4728" s="12" t="n"/>
      <c r="Q4728" s="12" t="n"/>
      <c r="R4728" s="12" t="n"/>
      <c r="S4728" s="12" t="inlineStr">
        <is>
          <t>Surface</t>
        </is>
      </c>
      <c r="T4728" s="17" t="n">
        <v>204</v>
      </c>
      <c r="U4728" s="17" t="n">
        <v>32</v>
      </c>
      <c r="V4728" s="17">
        <f>ROUNDUP((T4728+U4728+2*'Read Me'!$B$13)*(1+'Read Me'!$B$12),-1)</f>
        <v/>
      </c>
      <c r="W4728" s="17">
        <f>V4728*N4728*O4728</f>
        <v/>
      </c>
      <c r="X4728" s="12">
        <f>IF(LEFT(I4728,2)="MV",2*N4728*IF(L4728="1/C",O4728,1),0)</f>
        <v/>
      </c>
      <c r="Y4728" s="12">
        <f>IF(OR(LEFT(K4728,4)="LVAX",LEFT(K4728,6)="MV15AX",LEFT(K4728,4)="CTAX",LEFT(K4728,2)="W|"),2*N4728*O4728,0)</f>
        <v/>
      </c>
      <c r="Z4728" s="12" t="inlineStr"/>
      <c r="AA4728" s="12">
        <f>N4728*O4728</f>
        <v/>
      </c>
    </row>
    <row r="4729">
      <c r="A4729" s="12" t="inlineStr">
        <is>
          <t>I-I-0119</t>
        </is>
      </c>
      <c r="B4729" s="12" t="inlineStr">
        <is>
          <t>I</t>
        </is>
      </c>
      <c r="C4729" s="12" t="inlineStr">
        <is>
          <t>Modular / portable power</t>
        </is>
      </c>
      <c r="D4729" s="12" t="inlineStr">
        <is>
          <t>Thermocouples</t>
        </is>
      </c>
      <c r="E4729" s="12" t="inlineStr">
        <is>
          <t>PAD-EH</t>
        </is>
      </c>
      <c r="F4729" s="12" t="inlineStr">
        <is>
          <t>PAD-EH 13.8 kV switchgear e-house</t>
        </is>
      </c>
      <c r="G4729" s="12" t="inlineStr">
        <is>
          <t>GB-2.2</t>
        </is>
      </c>
      <c r="H4729" s="12" t="inlineStr">
        <is>
          <t>GB-2.2: modular gas genset ~450 kW, 480 V (block 2)</t>
        </is>
      </c>
      <c r="I4729" s="12" t="inlineStr">
        <is>
          <t>Instrumentation</t>
        </is>
      </c>
      <c r="J4729" s="12" t="inlineStr">
        <is>
          <t>Thermocouple extension KX, #16 shielded pairs, PLTC</t>
        </is>
      </c>
      <c r="K4729" s="12" t="inlineStr">
        <is>
          <t>TCX|12 pr|16</t>
        </is>
      </c>
      <c r="L4729" s="12" t="inlineStr">
        <is>
          <t>12 pr</t>
        </is>
      </c>
      <c r="M4729" s="12" t="inlineStr">
        <is>
          <t>16</t>
        </is>
      </c>
      <c r="N4729" s="12" t="n">
        <v>1</v>
      </c>
      <c r="O4729" s="12" t="n">
        <v>1</v>
      </c>
      <c r="P4729" s="12" t="n"/>
      <c r="Q4729" s="12" t="n"/>
      <c r="R4729" s="12" t="n"/>
      <c r="S4729" s="12" t="inlineStr">
        <is>
          <t>Surface</t>
        </is>
      </c>
      <c r="T4729" s="17" t="n">
        <v>204</v>
      </c>
      <c r="U4729" s="17" t="n">
        <v>32</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I-I-0120</t>
        </is>
      </c>
      <c r="B4730" s="12" t="inlineStr">
        <is>
          <t>I</t>
        </is>
      </c>
      <c r="C4730" s="12" t="inlineStr">
        <is>
          <t>Modular / portable power</t>
        </is>
      </c>
      <c r="D4730" s="12" t="inlineStr">
        <is>
          <t>Thermocouples</t>
        </is>
      </c>
      <c r="E4730" s="12" t="inlineStr">
        <is>
          <t>PAD-EH</t>
        </is>
      </c>
      <c r="F4730" s="12" t="inlineStr">
        <is>
          <t>PAD-EH 13.8 kV switchgear e-house</t>
        </is>
      </c>
      <c r="G4730" s="12" t="inlineStr">
        <is>
          <t>GB-2.2</t>
        </is>
      </c>
      <c r="H4730" s="12" t="inlineStr">
        <is>
          <t>GB-2.2: modular gas genset ~450 kW, 480 V (block 2)</t>
        </is>
      </c>
      <c r="I4730" s="12" t="inlineStr">
        <is>
          <t>Instrumentation</t>
        </is>
      </c>
      <c r="J4730" s="12" t="inlineStr">
        <is>
          <t>Thermocouple extension KX, #16 shielded pairs, PLTC</t>
        </is>
      </c>
      <c r="K4730" s="12" t="inlineStr">
        <is>
          <t>TCX|12 pr|16</t>
        </is>
      </c>
      <c r="L4730" s="12" t="inlineStr">
        <is>
          <t>12 pr</t>
        </is>
      </c>
      <c r="M4730" s="12" t="inlineStr">
        <is>
          <t>16</t>
        </is>
      </c>
      <c r="N4730" s="12" t="n">
        <v>1</v>
      </c>
      <c r="O4730" s="12" t="n">
        <v>1</v>
      </c>
      <c r="P4730" s="12" t="n"/>
      <c r="Q4730" s="12" t="n"/>
      <c r="R4730" s="12" t="n"/>
      <c r="S4730" s="12" t="inlineStr">
        <is>
          <t>Surface</t>
        </is>
      </c>
      <c r="T4730" s="17" t="n">
        <v>204</v>
      </c>
      <c r="U4730" s="17" t="n">
        <v>32</v>
      </c>
      <c r="V4730" s="17">
        <f>ROUNDUP((T4730+U4730+2*'Read Me'!$B$13)*(1+'Read Me'!$B$12),-1)</f>
        <v/>
      </c>
      <c r="W4730" s="17">
        <f>V4730*N4730*O4730</f>
        <v/>
      </c>
      <c r="X4730" s="12">
        <f>IF(LEFT(I4730,2)="MV",2*N4730*IF(L4730="1/C",O4730,1),0)</f>
        <v/>
      </c>
      <c r="Y4730" s="12">
        <f>IF(OR(LEFT(K4730,4)="LVAX",LEFT(K4730,6)="MV15AX",LEFT(K4730,4)="CTAX",LEFT(K4730,2)="W|"),2*N4730*O4730,0)</f>
        <v/>
      </c>
      <c r="Z4730" s="12" t="inlineStr"/>
      <c r="AA4730" s="12">
        <f>N4730*O4730</f>
        <v/>
      </c>
    </row>
    <row r="4731">
      <c r="A4731" s="12" t="inlineStr">
        <is>
          <t>I-I-0121</t>
        </is>
      </c>
      <c r="B4731" s="12" t="inlineStr">
        <is>
          <t>I</t>
        </is>
      </c>
      <c r="C4731" s="12" t="inlineStr">
        <is>
          <t>Modular / portable power</t>
        </is>
      </c>
      <c r="D4731" s="12" t="inlineStr">
        <is>
          <t>Instrumentation</t>
        </is>
      </c>
      <c r="E4731" s="12" t="inlineStr">
        <is>
          <t>PAD-EH</t>
        </is>
      </c>
      <c r="F4731" s="12" t="inlineStr">
        <is>
          <t>PAD-EH 13.8 kV switchgear e-house</t>
        </is>
      </c>
      <c r="G4731" s="12" t="inlineStr">
        <is>
          <t>GB-2.3</t>
        </is>
      </c>
      <c r="H4731" s="12" t="inlineStr">
        <is>
          <t>GB-2.3: modular gas genset ~450 kW, 480 V (block 2)</t>
        </is>
      </c>
      <c r="I4731" s="12" t="inlineStr">
        <is>
          <t>Instrumentation</t>
        </is>
      </c>
      <c r="J4731" s="12" t="inlineStr">
        <is>
          <t>Instrumentation PLTC / TC-ER 300 V, #18 twisted shielded pairs, overall shield</t>
        </is>
      </c>
      <c r="K4731" s="12" t="inlineStr">
        <is>
          <t>PLTC|4 pr|18</t>
        </is>
      </c>
      <c r="L4731" s="12" t="inlineStr">
        <is>
          <t>4 pr</t>
        </is>
      </c>
      <c r="M4731" s="12" t="inlineStr">
        <is>
          <t>18</t>
        </is>
      </c>
      <c r="N4731" s="12" t="n">
        <v>1</v>
      </c>
      <c r="O4731" s="12" t="n">
        <v>1</v>
      </c>
      <c r="P4731" s="12" t="n"/>
      <c r="Q4731" s="12" t="n"/>
      <c r="R4731" s="12" t="n"/>
      <c r="S4731" s="12" t="inlineStr">
        <is>
          <t>Surface</t>
        </is>
      </c>
      <c r="T4731" s="17" t="n">
        <v>194</v>
      </c>
      <c r="U4731" s="17" t="n">
        <v>32</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I-I-0122</t>
        </is>
      </c>
      <c r="B4732" s="12" t="inlineStr">
        <is>
          <t>I</t>
        </is>
      </c>
      <c r="C4732" s="12" t="inlineStr">
        <is>
          <t>Modular / portable power</t>
        </is>
      </c>
      <c r="D4732" s="12" t="inlineStr">
        <is>
          <t>Thermocouples</t>
        </is>
      </c>
      <c r="E4732" s="12" t="inlineStr">
        <is>
          <t>PAD-EH</t>
        </is>
      </c>
      <c r="F4732" s="12" t="inlineStr">
        <is>
          <t>PAD-EH 13.8 kV switchgear e-house</t>
        </is>
      </c>
      <c r="G4732" s="12" t="inlineStr">
        <is>
          <t>GB-2.3</t>
        </is>
      </c>
      <c r="H4732" s="12" t="inlineStr">
        <is>
          <t>GB-2.3: modular gas genset ~450 kW, 480 V (block 2)</t>
        </is>
      </c>
      <c r="I4732" s="12" t="inlineStr">
        <is>
          <t>Instrumentation</t>
        </is>
      </c>
      <c r="J4732" s="12" t="inlineStr">
        <is>
          <t>Thermocouple extension KX, #16 shielded pairs, PLTC</t>
        </is>
      </c>
      <c r="K4732" s="12" t="inlineStr">
        <is>
          <t>TCX|12 pr|16</t>
        </is>
      </c>
      <c r="L4732" s="12" t="inlineStr">
        <is>
          <t>12 pr</t>
        </is>
      </c>
      <c r="M4732" s="12" t="inlineStr">
        <is>
          <t>16</t>
        </is>
      </c>
      <c r="N4732" s="12" t="n">
        <v>1</v>
      </c>
      <c r="O4732" s="12" t="n">
        <v>1</v>
      </c>
      <c r="P4732" s="12" t="n"/>
      <c r="Q4732" s="12" t="n"/>
      <c r="R4732" s="12" t="n"/>
      <c r="S4732" s="12" t="inlineStr">
        <is>
          <t>Surface</t>
        </is>
      </c>
      <c r="T4732" s="17" t="n">
        <v>194</v>
      </c>
      <c r="U4732" s="17" t="n">
        <v>32</v>
      </c>
      <c r="V4732" s="17">
        <f>ROUNDUP((T4732+U4732+2*'Read Me'!$B$13)*(1+'Read Me'!$B$12),-1)</f>
        <v/>
      </c>
      <c r="W4732" s="17">
        <f>V4732*N4732*O4732</f>
        <v/>
      </c>
      <c r="X4732" s="12">
        <f>IF(LEFT(I4732,2)="MV",2*N4732*IF(L4732="1/C",O4732,1),0)</f>
        <v/>
      </c>
      <c r="Y4732" s="12">
        <f>IF(OR(LEFT(K4732,4)="LVAX",LEFT(K4732,6)="MV15AX",LEFT(K4732,4)="CTAX",LEFT(K4732,2)="W|"),2*N4732*O4732,0)</f>
        <v/>
      </c>
      <c r="Z4732" s="12" t="inlineStr"/>
      <c r="AA4732" s="12">
        <f>N4732*O4732</f>
        <v/>
      </c>
    </row>
    <row r="4733">
      <c r="A4733" s="12" t="inlineStr">
        <is>
          <t>I-I-0123</t>
        </is>
      </c>
      <c r="B4733" s="12" t="inlineStr">
        <is>
          <t>I</t>
        </is>
      </c>
      <c r="C4733" s="12" t="inlineStr">
        <is>
          <t>Modular / portable power</t>
        </is>
      </c>
      <c r="D4733" s="12" t="inlineStr">
        <is>
          <t>Thermocouples</t>
        </is>
      </c>
      <c r="E4733" s="12" t="inlineStr">
        <is>
          <t>PAD-EH</t>
        </is>
      </c>
      <c r="F4733" s="12" t="inlineStr">
        <is>
          <t>PAD-EH 13.8 kV switchgear e-house</t>
        </is>
      </c>
      <c r="G4733" s="12" t="inlineStr">
        <is>
          <t>GB-2.3</t>
        </is>
      </c>
      <c r="H4733" s="12" t="inlineStr">
        <is>
          <t>GB-2.3: modular gas genset ~450 kW, 480 V (block 2)</t>
        </is>
      </c>
      <c r="I4733" s="12" t="inlineStr">
        <is>
          <t>Instrumentation</t>
        </is>
      </c>
      <c r="J4733" s="12" t="inlineStr">
        <is>
          <t>Thermocouple extension KX, #16 shielded pairs, PLTC</t>
        </is>
      </c>
      <c r="K4733" s="12" t="inlineStr">
        <is>
          <t>TCX|12 pr|16</t>
        </is>
      </c>
      <c r="L4733" s="12" t="inlineStr">
        <is>
          <t>12 pr</t>
        </is>
      </c>
      <c r="M4733" s="12" t="inlineStr">
        <is>
          <t>16</t>
        </is>
      </c>
      <c r="N4733" s="12" t="n">
        <v>1</v>
      </c>
      <c r="O4733" s="12" t="n">
        <v>1</v>
      </c>
      <c r="P4733" s="12" t="n"/>
      <c r="Q4733" s="12" t="n"/>
      <c r="R4733" s="12" t="n"/>
      <c r="S4733" s="12" t="inlineStr">
        <is>
          <t>Surface</t>
        </is>
      </c>
      <c r="T4733" s="17" t="n">
        <v>194</v>
      </c>
      <c r="U4733" s="17" t="n">
        <v>32</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I-I-0124</t>
        </is>
      </c>
      <c r="B4734" s="12" t="inlineStr">
        <is>
          <t>I</t>
        </is>
      </c>
      <c r="C4734" s="12" t="inlineStr">
        <is>
          <t>Modular / portable power</t>
        </is>
      </c>
      <c r="D4734" s="12" t="inlineStr">
        <is>
          <t>Instrumentation</t>
        </is>
      </c>
      <c r="E4734" s="12" t="inlineStr">
        <is>
          <t>PAD-EH</t>
        </is>
      </c>
      <c r="F4734" s="12" t="inlineStr">
        <is>
          <t>PAD-EH 13.8 kV switchgear e-house</t>
        </is>
      </c>
      <c r="G4734" s="12" t="inlineStr">
        <is>
          <t>GB-2.4</t>
        </is>
      </c>
      <c r="H4734" s="12" t="inlineStr">
        <is>
          <t>GB-2.4: modular gas genset ~450 kW, 480 V (block 2)</t>
        </is>
      </c>
      <c r="I4734" s="12" t="inlineStr">
        <is>
          <t>Instrumentation</t>
        </is>
      </c>
      <c r="J4734" s="12" t="inlineStr">
        <is>
          <t>Instrumentation PLTC / TC-ER 300 V, #18 twisted shielded pairs, overall shield</t>
        </is>
      </c>
      <c r="K4734" s="12" t="inlineStr">
        <is>
          <t>PLTC|4 pr|18</t>
        </is>
      </c>
      <c r="L4734" s="12" t="inlineStr">
        <is>
          <t>4 pr</t>
        </is>
      </c>
      <c r="M4734" s="12" t="inlineStr">
        <is>
          <t>18</t>
        </is>
      </c>
      <c r="N4734" s="12" t="n">
        <v>1</v>
      </c>
      <c r="O4734" s="12" t="n">
        <v>1</v>
      </c>
      <c r="P4734" s="12" t="n"/>
      <c r="Q4734" s="12" t="n"/>
      <c r="R4734" s="12" t="n"/>
      <c r="S4734" s="12" t="inlineStr">
        <is>
          <t>Surface</t>
        </is>
      </c>
      <c r="T4734" s="17" t="n">
        <v>194</v>
      </c>
      <c r="U4734" s="17" t="n">
        <v>39</v>
      </c>
      <c r="V4734" s="17">
        <f>ROUNDUP((T4734+U4734+2*'Read Me'!$B$13)*(1+'Read Me'!$B$12),-1)</f>
        <v/>
      </c>
      <c r="W4734" s="17">
        <f>V4734*N4734*O4734</f>
        <v/>
      </c>
      <c r="X4734" s="12">
        <f>IF(LEFT(I4734,2)="MV",2*N4734*IF(L4734="1/C",O4734,1),0)</f>
        <v/>
      </c>
      <c r="Y4734" s="12">
        <f>IF(OR(LEFT(K4734,4)="LVAX",LEFT(K4734,6)="MV15AX",LEFT(K4734,4)="CTAX",LEFT(K4734,2)="W|"),2*N4734*O4734,0)</f>
        <v/>
      </c>
      <c r="Z4734" s="12" t="inlineStr"/>
      <c r="AA4734" s="12">
        <f>N4734*O4734</f>
        <v/>
      </c>
    </row>
    <row r="4735">
      <c r="A4735" s="12" t="inlineStr">
        <is>
          <t>I-I-0125</t>
        </is>
      </c>
      <c r="B4735" s="12" t="inlineStr">
        <is>
          <t>I</t>
        </is>
      </c>
      <c r="C4735" s="12" t="inlineStr">
        <is>
          <t>Modular / portable power</t>
        </is>
      </c>
      <c r="D4735" s="12" t="inlineStr">
        <is>
          <t>Thermocouples</t>
        </is>
      </c>
      <c r="E4735" s="12" t="inlineStr">
        <is>
          <t>PAD-EH</t>
        </is>
      </c>
      <c r="F4735" s="12" t="inlineStr">
        <is>
          <t>PAD-EH 13.8 kV switchgear e-house</t>
        </is>
      </c>
      <c r="G4735" s="12" t="inlineStr">
        <is>
          <t>GB-2.4</t>
        </is>
      </c>
      <c r="H4735" s="12" t="inlineStr">
        <is>
          <t>GB-2.4: modular gas genset ~450 kW, 480 V (block 2)</t>
        </is>
      </c>
      <c r="I4735" s="12" t="inlineStr">
        <is>
          <t>Instrumentation</t>
        </is>
      </c>
      <c r="J4735" s="12" t="inlineStr">
        <is>
          <t>Thermocouple extension KX, #16 shielded pairs, PLTC</t>
        </is>
      </c>
      <c r="K4735" s="12" t="inlineStr">
        <is>
          <t>TCX|12 pr|16</t>
        </is>
      </c>
      <c r="L4735" s="12" t="inlineStr">
        <is>
          <t>12 pr</t>
        </is>
      </c>
      <c r="M4735" s="12" t="inlineStr">
        <is>
          <t>16</t>
        </is>
      </c>
      <c r="N4735" s="12" t="n">
        <v>1</v>
      </c>
      <c r="O4735" s="12" t="n">
        <v>1</v>
      </c>
      <c r="P4735" s="12" t="n"/>
      <c r="Q4735" s="12" t="n"/>
      <c r="R4735" s="12" t="n"/>
      <c r="S4735" s="12" t="inlineStr">
        <is>
          <t>Surface</t>
        </is>
      </c>
      <c r="T4735" s="17" t="n">
        <v>194</v>
      </c>
      <c r="U4735" s="17" t="n">
        <v>39</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I-I-0126</t>
        </is>
      </c>
      <c r="B4736" s="12" t="inlineStr">
        <is>
          <t>I</t>
        </is>
      </c>
      <c r="C4736" s="12" t="inlineStr">
        <is>
          <t>Modular / portable power</t>
        </is>
      </c>
      <c r="D4736" s="12" t="inlineStr">
        <is>
          <t>Thermocouples</t>
        </is>
      </c>
      <c r="E4736" s="12" t="inlineStr">
        <is>
          <t>PAD-EH</t>
        </is>
      </c>
      <c r="F4736" s="12" t="inlineStr">
        <is>
          <t>PAD-EH 13.8 kV switchgear e-house</t>
        </is>
      </c>
      <c r="G4736" s="12" t="inlineStr">
        <is>
          <t>GB-2.4</t>
        </is>
      </c>
      <c r="H4736" s="12" t="inlineStr">
        <is>
          <t>GB-2.4: modular gas genset ~450 kW, 480 V (block 2)</t>
        </is>
      </c>
      <c r="I4736" s="12" t="inlineStr">
        <is>
          <t>Instrumentation</t>
        </is>
      </c>
      <c r="J4736" s="12" t="inlineStr">
        <is>
          <t>Thermocouple extension KX, #16 shielded pairs, PLTC</t>
        </is>
      </c>
      <c r="K4736" s="12" t="inlineStr">
        <is>
          <t>TCX|12 pr|16</t>
        </is>
      </c>
      <c r="L4736" s="12" t="inlineStr">
        <is>
          <t>12 pr</t>
        </is>
      </c>
      <c r="M4736" s="12" t="inlineStr">
        <is>
          <t>16</t>
        </is>
      </c>
      <c r="N4736" s="12" t="n">
        <v>1</v>
      </c>
      <c r="O4736" s="12" t="n">
        <v>1</v>
      </c>
      <c r="P4736" s="12" t="n"/>
      <c r="Q4736" s="12" t="n"/>
      <c r="R4736" s="12" t="n"/>
      <c r="S4736" s="12" t="inlineStr">
        <is>
          <t>Surface</t>
        </is>
      </c>
      <c r="T4736" s="17" t="n">
        <v>194</v>
      </c>
      <c r="U4736" s="17" t="n">
        <v>39</v>
      </c>
      <c r="V4736" s="17">
        <f>ROUNDUP((T4736+U4736+2*'Read Me'!$B$13)*(1+'Read Me'!$B$12),-1)</f>
        <v/>
      </c>
      <c r="W4736" s="17">
        <f>V4736*N4736*O4736</f>
        <v/>
      </c>
      <c r="X4736" s="12">
        <f>IF(LEFT(I4736,2)="MV",2*N4736*IF(L4736="1/C",O4736,1),0)</f>
        <v/>
      </c>
      <c r="Y4736" s="12">
        <f>IF(OR(LEFT(K4736,4)="LVAX",LEFT(K4736,6)="MV15AX",LEFT(K4736,4)="CTAX",LEFT(K4736,2)="W|"),2*N4736*O4736,0)</f>
        <v/>
      </c>
      <c r="Z4736" s="12" t="inlineStr"/>
      <c r="AA4736" s="12">
        <f>N4736*O4736</f>
        <v/>
      </c>
    </row>
    <row r="4737">
      <c r="A4737" s="12" t="inlineStr">
        <is>
          <t>I-I-0127</t>
        </is>
      </c>
      <c r="B4737" s="12" t="inlineStr">
        <is>
          <t>I</t>
        </is>
      </c>
      <c r="C4737" s="12" t="inlineStr">
        <is>
          <t>Modular / portable power</t>
        </is>
      </c>
      <c r="D4737" s="12" t="inlineStr">
        <is>
          <t>Instrumentation</t>
        </is>
      </c>
      <c r="E4737" s="12" t="inlineStr">
        <is>
          <t>PAD-EH</t>
        </is>
      </c>
      <c r="F4737" s="12" t="inlineStr">
        <is>
          <t>PAD-EH 13.8 kV switchgear e-house</t>
        </is>
      </c>
      <c r="G4737" s="12" t="inlineStr">
        <is>
          <t>GB-3.1</t>
        </is>
      </c>
      <c r="H4737" s="12" t="inlineStr">
        <is>
          <t>GB-3.1: modular gas genset ~450 kW, 480 V (block 3)</t>
        </is>
      </c>
      <c r="I4737" s="12" t="inlineStr">
        <is>
          <t>Instrumentation</t>
        </is>
      </c>
      <c r="J4737" s="12" t="inlineStr">
        <is>
          <t>Instrumentation PLTC / TC-ER 300 V, #18 twisted shielded pairs, overall shield</t>
        </is>
      </c>
      <c r="K4737" s="12" t="inlineStr">
        <is>
          <t>PLTC|4 pr|18</t>
        </is>
      </c>
      <c r="L4737" s="12" t="inlineStr">
        <is>
          <t>4 pr</t>
        </is>
      </c>
      <c r="M4737" s="12" t="inlineStr">
        <is>
          <t>18</t>
        </is>
      </c>
      <c r="N4737" s="12" t="n">
        <v>1</v>
      </c>
      <c r="O4737" s="12" t="n">
        <v>1</v>
      </c>
      <c r="P4737" s="12" t="n"/>
      <c r="Q4737" s="12" t="n"/>
      <c r="R4737" s="12" t="n"/>
      <c r="S4737" s="12" t="inlineStr">
        <is>
          <t>Surface</t>
        </is>
      </c>
      <c r="T4737" s="17" t="n">
        <v>140</v>
      </c>
      <c r="U4737" s="17" t="n">
        <v>37</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I-I-0128</t>
        </is>
      </c>
      <c r="B4738" s="12" t="inlineStr">
        <is>
          <t>I</t>
        </is>
      </c>
      <c r="C4738" s="12" t="inlineStr">
        <is>
          <t>Modular / portable power</t>
        </is>
      </c>
      <c r="D4738" s="12" t="inlineStr">
        <is>
          <t>Thermocouples</t>
        </is>
      </c>
      <c r="E4738" s="12" t="inlineStr">
        <is>
          <t>PAD-EH</t>
        </is>
      </c>
      <c r="F4738" s="12" t="inlineStr">
        <is>
          <t>PAD-EH 13.8 kV switchgear e-house</t>
        </is>
      </c>
      <c r="G4738" s="12" t="inlineStr">
        <is>
          <t>GB-3.1</t>
        </is>
      </c>
      <c r="H4738" s="12" t="inlineStr">
        <is>
          <t>GB-3.1: modular gas genset ~450 kW, 480 V (block 3)</t>
        </is>
      </c>
      <c r="I4738" s="12" t="inlineStr">
        <is>
          <t>Instrumentation</t>
        </is>
      </c>
      <c r="J4738" s="12" t="inlineStr">
        <is>
          <t>Thermocouple extension KX, #16 shielded pairs, PLTC</t>
        </is>
      </c>
      <c r="K4738" s="12" t="inlineStr">
        <is>
          <t>TCX|12 pr|16</t>
        </is>
      </c>
      <c r="L4738" s="12" t="inlineStr">
        <is>
          <t>12 pr</t>
        </is>
      </c>
      <c r="M4738" s="12" t="inlineStr">
        <is>
          <t>16</t>
        </is>
      </c>
      <c r="N4738" s="12" t="n">
        <v>1</v>
      </c>
      <c r="O4738" s="12" t="n">
        <v>1</v>
      </c>
      <c r="P4738" s="12" t="n"/>
      <c r="Q4738" s="12" t="n"/>
      <c r="R4738" s="12" t="n"/>
      <c r="S4738" s="12" t="inlineStr">
        <is>
          <t>Surface</t>
        </is>
      </c>
      <c r="T4738" s="17" t="n">
        <v>140</v>
      </c>
      <c r="U4738" s="17" t="n">
        <v>37</v>
      </c>
      <c r="V4738" s="17">
        <f>ROUNDUP((T4738+U4738+2*'Read Me'!$B$13)*(1+'Read Me'!$B$12),-1)</f>
        <v/>
      </c>
      <c r="W4738" s="17">
        <f>V4738*N4738*O4738</f>
        <v/>
      </c>
      <c r="X4738" s="12">
        <f>IF(LEFT(I4738,2)="MV",2*N4738*IF(L4738="1/C",O4738,1),0)</f>
        <v/>
      </c>
      <c r="Y4738" s="12">
        <f>IF(OR(LEFT(K4738,4)="LVAX",LEFT(K4738,6)="MV15AX",LEFT(K4738,4)="CTAX",LEFT(K4738,2)="W|"),2*N4738*O4738,0)</f>
        <v/>
      </c>
      <c r="Z4738" s="12" t="inlineStr"/>
      <c r="AA4738" s="12">
        <f>N4738*O4738</f>
        <v/>
      </c>
    </row>
    <row r="4739">
      <c r="A4739" s="12" t="inlineStr">
        <is>
          <t>I-I-0129</t>
        </is>
      </c>
      <c r="B4739" s="12" t="inlineStr">
        <is>
          <t>I</t>
        </is>
      </c>
      <c r="C4739" s="12" t="inlineStr">
        <is>
          <t>Modular / portable power</t>
        </is>
      </c>
      <c r="D4739" s="12" t="inlineStr">
        <is>
          <t>Thermocouples</t>
        </is>
      </c>
      <c r="E4739" s="12" t="inlineStr">
        <is>
          <t>PAD-EH</t>
        </is>
      </c>
      <c r="F4739" s="12" t="inlineStr">
        <is>
          <t>PAD-EH 13.8 kV switchgear e-house</t>
        </is>
      </c>
      <c r="G4739" s="12" t="inlineStr">
        <is>
          <t>GB-3.1</t>
        </is>
      </c>
      <c r="H4739" s="12" t="inlineStr">
        <is>
          <t>GB-3.1: modular gas genset ~450 kW, 480 V (block 3)</t>
        </is>
      </c>
      <c r="I4739" s="12" t="inlineStr">
        <is>
          <t>Instrumentation</t>
        </is>
      </c>
      <c r="J4739" s="12" t="inlineStr">
        <is>
          <t>Thermocouple extension KX, #16 shielded pairs, PLTC</t>
        </is>
      </c>
      <c r="K4739" s="12" t="inlineStr">
        <is>
          <t>TCX|12 pr|16</t>
        </is>
      </c>
      <c r="L4739" s="12" t="inlineStr">
        <is>
          <t>12 pr</t>
        </is>
      </c>
      <c r="M4739" s="12" t="inlineStr">
        <is>
          <t>16</t>
        </is>
      </c>
      <c r="N4739" s="12" t="n">
        <v>1</v>
      </c>
      <c r="O4739" s="12" t="n">
        <v>1</v>
      </c>
      <c r="P4739" s="12" t="n"/>
      <c r="Q4739" s="12" t="n"/>
      <c r="R4739" s="12" t="n"/>
      <c r="S4739" s="12" t="inlineStr">
        <is>
          <t>Surface</t>
        </is>
      </c>
      <c r="T4739" s="17" t="n">
        <v>140</v>
      </c>
      <c r="U4739" s="17" t="n">
        <v>37</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I-I-0130</t>
        </is>
      </c>
      <c r="B4740" s="12" t="inlineStr">
        <is>
          <t>I</t>
        </is>
      </c>
      <c r="C4740" s="12" t="inlineStr">
        <is>
          <t>Modular / portable power</t>
        </is>
      </c>
      <c r="D4740" s="12" t="inlineStr">
        <is>
          <t>Instrumentation</t>
        </is>
      </c>
      <c r="E4740" s="12" t="inlineStr">
        <is>
          <t>PAD-EH</t>
        </is>
      </c>
      <c r="F4740" s="12" t="inlineStr">
        <is>
          <t>PAD-EH 13.8 kV switchgear e-house</t>
        </is>
      </c>
      <c r="G4740" s="12" t="inlineStr">
        <is>
          <t>GB-3.2</t>
        </is>
      </c>
      <c r="H4740" s="12" t="inlineStr">
        <is>
          <t>GB-3.2: modular gas genset ~450 kW, 480 V (block 3)</t>
        </is>
      </c>
      <c r="I4740" s="12" t="inlineStr">
        <is>
          <t>Instrumentation</t>
        </is>
      </c>
      <c r="J4740" s="12" t="inlineStr">
        <is>
          <t>Instrumentation PLTC / TC-ER 300 V, #18 twisted shielded pairs, overall shield</t>
        </is>
      </c>
      <c r="K4740" s="12" t="inlineStr">
        <is>
          <t>PLTC|4 pr|18</t>
        </is>
      </c>
      <c r="L4740" s="12" t="inlineStr">
        <is>
          <t>4 pr</t>
        </is>
      </c>
      <c r="M4740" s="12" t="inlineStr">
        <is>
          <t>18</t>
        </is>
      </c>
      <c r="N4740" s="12" t="n">
        <v>1</v>
      </c>
      <c r="O4740" s="12" t="n">
        <v>1</v>
      </c>
      <c r="P4740" s="12" t="n"/>
      <c r="Q4740" s="12" t="n"/>
      <c r="R4740" s="12" t="n"/>
      <c r="S4740" s="12" t="inlineStr">
        <is>
          <t>Surface</t>
        </is>
      </c>
      <c r="T4740" s="17" t="n">
        <v>138</v>
      </c>
      <c r="U4740" s="17" t="n">
        <v>32</v>
      </c>
      <c r="V4740" s="17">
        <f>ROUNDUP((T4740+U4740+2*'Read Me'!$B$13)*(1+'Read Me'!$B$12),-1)</f>
        <v/>
      </c>
      <c r="W4740" s="17">
        <f>V4740*N4740*O4740</f>
        <v/>
      </c>
      <c r="X4740" s="12">
        <f>IF(LEFT(I4740,2)="MV",2*N4740*IF(L4740="1/C",O4740,1),0)</f>
        <v/>
      </c>
      <c r="Y4740" s="12">
        <f>IF(OR(LEFT(K4740,4)="LVAX",LEFT(K4740,6)="MV15AX",LEFT(K4740,4)="CTAX",LEFT(K4740,2)="W|"),2*N4740*O4740,0)</f>
        <v/>
      </c>
      <c r="Z4740" s="12" t="inlineStr"/>
      <c r="AA4740" s="12">
        <f>N4740*O4740</f>
        <v/>
      </c>
    </row>
    <row r="4741">
      <c r="A4741" s="12" t="inlineStr">
        <is>
          <t>I-I-0131</t>
        </is>
      </c>
      <c r="B4741" s="12" t="inlineStr">
        <is>
          <t>I</t>
        </is>
      </c>
      <c r="C4741" s="12" t="inlineStr">
        <is>
          <t>Modular / portable power</t>
        </is>
      </c>
      <c r="D4741" s="12" t="inlineStr">
        <is>
          <t>Thermocouples</t>
        </is>
      </c>
      <c r="E4741" s="12" t="inlineStr">
        <is>
          <t>PAD-EH</t>
        </is>
      </c>
      <c r="F4741" s="12" t="inlineStr">
        <is>
          <t>PAD-EH 13.8 kV switchgear e-house</t>
        </is>
      </c>
      <c r="G4741" s="12" t="inlineStr">
        <is>
          <t>GB-3.2</t>
        </is>
      </c>
      <c r="H4741" s="12" t="inlineStr">
        <is>
          <t>GB-3.2: modular gas genset ~450 kW, 480 V (block 3)</t>
        </is>
      </c>
      <c r="I4741" s="12" t="inlineStr">
        <is>
          <t>Instrumentation</t>
        </is>
      </c>
      <c r="J4741" s="12" t="inlineStr">
        <is>
          <t>Thermocouple extension KX, #16 shielded pairs, PLTC</t>
        </is>
      </c>
      <c r="K4741" s="12" t="inlineStr">
        <is>
          <t>TCX|12 pr|16</t>
        </is>
      </c>
      <c r="L4741" s="12" t="inlineStr">
        <is>
          <t>12 pr</t>
        </is>
      </c>
      <c r="M4741" s="12" t="inlineStr">
        <is>
          <t>16</t>
        </is>
      </c>
      <c r="N4741" s="12" t="n">
        <v>1</v>
      </c>
      <c r="O4741" s="12" t="n">
        <v>1</v>
      </c>
      <c r="P4741" s="12" t="n"/>
      <c r="Q4741" s="12" t="n"/>
      <c r="R4741" s="12" t="n"/>
      <c r="S4741" s="12" t="inlineStr">
        <is>
          <t>Surface</t>
        </is>
      </c>
      <c r="T4741" s="17" t="n">
        <v>138</v>
      </c>
      <c r="U4741" s="17" t="n">
        <v>32</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I-I-0132</t>
        </is>
      </c>
      <c r="B4742" s="12" t="inlineStr">
        <is>
          <t>I</t>
        </is>
      </c>
      <c r="C4742" s="12" t="inlineStr">
        <is>
          <t>Modular / portable power</t>
        </is>
      </c>
      <c r="D4742" s="12" t="inlineStr">
        <is>
          <t>Thermocouples</t>
        </is>
      </c>
      <c r="E4742" s="12" t="inlineStr">
        <is>
          <t>PAD-EH</t>
        </is>
      </c>
      <c r="F4742" s="12" t="inlineStr">
        <is>
          <t>PAD-EH 13.8 kV switchgear e-house</t>
        </is>
      </c>
      <c r="G4742" s="12" t="inlineStr">
        <is>
          <t>GB-3.2</t>
        </is>
      </c>
      <c r="H4742" s="12" t="inlineStr">
        <is>
          <t>GB-3.2: modular gas genset ~450 kW, 480 V (block 3)</t>
        </is>
      </c>
      <c r="I4742" s="12" t="inlineStr">
        <is>
          <t>Instrumentation</t>
        </is>
      </c>
      <c r="J4742" s="12" t="inlineStr">
        <is>
          <t>Thermocouple extension KX, #16 shielded pairs, PLTC</t>
        </is>
      </c>
      <c r="K4742" s="12" t="inlineStr">
        <is>
          <t>TCX|12 pr|16</t>
        </is>
      </c>
      <c r="L4742" s="12" t="inlineStr">
        <is>
          <t>12 pr</t>
        </is>
      </c>
      <c r="M4742" s="12" t="inlineStr">
        <is>
          <t>16</t>
        </is>
      </c>
      <c r="N4742" s="12" t="n">
        <v>1</v>
      </c>
      <c r="O4742" s="12" t="n">
        <v>1</v>
      </c>
      <c r="P4742" s="12" t="n"/>
      <c r="Q4742" s="12" t="n"/>
      <c r="R4742" s="12" t="n"/>
      <c r="S4742" s="12" t="inlineStr">
        <is>
          <t>Surface</t>
        </is>
      </c>
      <c r="T4742" s="17" t="n">
        <v>138</v>
      </c>
      <c r="U4742" s="17" t="n">
        <v>32</v>
      </c>
      <c r="V4742" s="17">
        <f>ROUNDUP((T4742+U4742+2*'Read Me'!$B$13)*(1+'Read Me'!$B$12),-1)</f>
        <v/>
      </c>
      <c r="W4742" s="17">
        <f>V4742*N4742*O4742</f>
        <v/>
      </c>
      <c r="X4742" s="12">
        <f>IF(LEFT(I4742,2)="MV",2*N4742*IF(L4742="1/C",O4742,1),0)</f>
        <v/>
      </c>
      <c r="Y4742" s="12">
        <f>IF(OR(LEFT(K4742,4)="LVAX",LEFT(K4742,6)="MV15AX",LEFT(K4742,4)="CTAX",LEFT(K4742,2)="W|"),2*N4742*O4742,0)</f>
        <v/>
      </c>
      <c r="Z4742" s="12" t="inlineStr"/>
      <c r="AA4742" s="12">
        <f>N4742*O4742</f>
        <v/>
      </c>
    </row>
    <row r="4743">
      <c r="A4743" s="12" t="inlineStr">
        <is>
          <t>I-I-0133</t>
        </is>
      </c>
      <c r="B4743" s="12" t="inlineStr">
        <is>
          <t>I</t>
        </is>
      </c>
      <c r="C4743" s="12" t="inlineStr">
        <is>
          <t>Modular / portable power</t>
        </is>
      </c>
      <c r="D4743" s="12" t="inlineStr">
        <is>
          <t>Instrumentation</t>
        </is>
      </c>
      <c r="E4743" s="12" t="inlineStr">
        <is>
          <t>PAD-EH</t>
        </is>
      </c>
      <c r="F4743" s="12" t="inlineStr">
        <is>
          <t>PAD-EH 13.8 kV switchgear e-house</t>
        </is>
      </c>
      <c r="G4743" s="12" t="inlineStr">
        <is>
          <t>GB-3.3</t>
        </is>
      </c>
      <c r="H4743" s="12" t="inlineStr">
        <is>
          <t>GB-3.3: modular gas genset ~450 kW, 480 V (block 3)</t>
        </is>
      </c>
      <c r="I4743" s="12" t="inlineStr">
        <is>
          <t>Instrumentation</t>
        </is>
      </c>
      <c r="J4743" s="12" t="inlineStr">
        <is>
          <t>Instrumentation PLTC / TC-ER 300 V, #18 twisted shielded pairs, overall shield</t>
        </is>
      </c>
      <c r="K4743" s="12" t="inlineStr">
        <is>
          <t>PLTC|4 pr|18</t>
        </is>
      </c>
      <c r="L4743" s="12" t="inlineStr">
        <is>
          <t>4 pr</t>
        </is>
      </c>
      <c r="M4743" s="12" t="inlineStr">
        <is>
          <t>18</t>
        </is>
      </c>
      <c r="N4743" s="12" t="n">
        <v>1</v>
      </c>
      <c r="O4743" s="12" t="n">
        <v>1</v>
      </c>
      <c r="P4743" s="12" t="n"/>
      <c r="Q4743" s="12" t="n"/>
      <c r="R4743" s="12" t="n"/>
      <c r="S4743" s="12" t="inlineStr">
        <is>
          <t>Surface</t>
        </is>
      </c>
      <c r="T4743" s="17" t="n">
        <v>125</v>
      </c>
      <c r="U4743" s="17" t="n">
        <v>35</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I-I-0134</t>
        </is>
      </c>
      <c r="B4744" s="12" t="inlineStr">
        <is>
          <t>I</t>
        </is>
      </c>
      <c r="C4744" s="12" t="inlineStr">
        <is>
          <t>Modular / portable power</t>
        </is>
      </c>
      <c r="D4744" s="12" t="inlineStr">
        <is>
          <t>Thermocouples</t>
        </is>
      </c>
      <c r="E4744" s="12" t="inlineStr">
        <is>
          <t>PAD-EH</t>
        </is>
      </c>
      <c r="F4744" s="12" t="inlineStr">
        <is>
          <t>PAD-EH 13.8 kV switchgear e-house</t>
        </is>
      </c>
      <c r="G4744" s="12" t="inlineStr">
        <is>
          <t>GB-3.3</t>
        </is>
      </c>
      <c r="H4744" s="12" t="inlineStr">
        <is>
          <t>GB-3.3: modular gas genset ~450 kW, 480 V (block 3)</t>
        </is>
      </c>
      <c r="I4744" s="12" t="inlineStr">
        <is>
          <t>Instrumentation</t>
        </is>
      </c>
      <c r="J4744" s="12" t="inlineStr">
        <is>
          <t>Thermocouple extension KX, #16 shielded pairs, PLTC</t>
        </is>
      </c>
      <c r="K4744" s="12" t="inlineStr">
        <is>
          <t>TCX|12 pr|16</t>
        </is>
      </c>
      <c r="L4744" s="12" t="inlineStr">
        <is>
          <t>12 pr</t>
        </is>
      </c>
      <c r="M4744" s="12" t="inlineStr">
        <is>
          <t>16</t>
        </is>
      </c>
      <c r="N4744" s="12" t="n">
        <v>1</v>
      </c>
      <c r="O4744" s="12" t="n">
        <v>1</v>
      </c>
      <c r="P4744" s="12" t="n"/>
      <c r="Q4744" s="12" t="n"/>
      <c r="R4744" s="12" t="n"/>
      <c r="S4744" s="12" t="inlineStr">
        <is>
          <t>Surface</t>
        </is>
      </c>
      <c r="T4744" s="17" t="n">
        <v>125</v>
      </c>
      <c r="U4744" s="17" t="n">
        <v>35</v>
      </c>
      <c r="V4744" s="17">
        <f>ROUNDUP((T4744+U4744+2*'Read Me'!$B$13)*(1+'Read Me'!$B$12),-1)</f>
        <v/>
      </c>
      <c r="W4744" s="17">
        <f>V4744*N4744*O4744</f>
        <v/>
      </c>
      <c r="X4744" s="12">
        <f>IF(LEFT(I4744,2)="MV",2*N4744*IF(L4744="1/C",O4744,1),0)</f>
        <v/>
      </c>
      <c r="Y4744" s="12">
        <f>IF(OR(LEFT(K4744,4)="LVAX",LEFT(K4744,6)="MV15AX",LEFT(K4744,4)="CTAX",LEFT(K4744,2)="W|"),2*N4744*O4744,0)</f>
        <v/>
      </c>
      <c r="Z4744" s="12" t="inlineStr"/>
      <c r="AA4744" s="12">
        <f>N4744*O4744</f>
        <v/>
      </c>
    </row>
    <row r="4745">
      <c r="A4745" s="12" t="inlineStr">
        <is>
          <t>I-I-0135</t>
        </is>
      </c>
      <c r="B4745" s="12" t="inlineStr">
        <is>
          <t>I</t>
        </is>
      </c>
      <c r="C4745" s="12" t="inlineStr">
        <is>
          <t>Modular / portable power</t>
        </is>
      </c>
      <c r="D4745" s="12" t="inlineStr">
        <is>
          <t>Thermocouples</t>
        </is>
      </c>
      <c r="E4745" s="12" t="inlineStr">
        <is>
          <t>PAD-EH</t>
        </is>
      </c>
      <c r="F4745" s="12" t="inlineStr">
        <is>
          <t>PAD-EH 13.8 kV switchgear e-house</t>
        </is>
      </c>
      <c r="G4745" s="12" t="inlineStr">
        <is>
          <t>GB-3.3</t>
        </is>
      </c>
      <c r="H4745" s="12" t="inlineStr">
        <is>
          <t>GB-3.3: modular gas genset ~450 kW, 480 V (block 3)</t>
        </is>
      </c>
      <c r="I4745" s="12" t="inlineStr">
        <is>
          <t>Instrumentation</t>
        </is>
      </c>
      <c r="J4745" s="12" t="inlineStr">
        <is>
          <t>Thermocouple extension KX, #16 shielded pairs, PLTC</t>
        </is>
      </c>
      <c r="K4745" s="12" t="inlineStr">
        <is>
          <t>TCX|12 pr|16</t>
        </is>
      </c>
      <c r="L4745" s="12" t="inlineStr">
        <is>
          <t>12 pr</t>
        </is>
      </c>
      <c r="M4745" s="12" t="inlineStr">
        <is>
          <t>16</t>
        </is>
      </c>
      <c r="N4745" s="12" t="n">
        <v>1</v>
      </c>
      <c r="O4745" s="12" t="n">
        <v>1</v>
      </c>
      <c r="P4745" s="12" t="n"/>
      <c r="Q4745" s="12" t="n"/>
      <c r="R4745" s="12" t="n"/>
      <c r="S4745" s="12" t="inlineStr">
        <is>
          <t>Surface</t>
        </is>
      </c>
      <c r="T4745" s="17" t="n">
        <v>125</v>
      </c>
      <c r="U4745" s="17" t="n">
        <v>35</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I-I-0136</t>
        </is>
      </c>
      <c r="B4746" s="12" t="inlineStr">
        <is>
          <t>I</t>
        </is>
      </c>
      <c r="C4746" s="12" t="inlineStr">
        <is>
          <t>Modular / portable power</t>
        </is>
      </c>
      <c r="D4746" s="12" t="inlineStr">
        <is>
          <t>Instrumentation</t>
        </is>
      </c>
      <c r="E4746" s="12" t="inlineStr">
        <is>
          <t>PAD-EH</t>
        </is>
      </c>
      <c r="F4746" s="12" t="inlineStr">
        <is>
          <t>PAD-EH 13.8 kV switchgear e-house</t>
        </is>
      </c>
      <c r="G4746" s="12" t="inlineStr">
        <is>
          <t>GB-3.4</t>
        </is>
      </c>
      <c r="H4746" s="12" t="inlineStr">
        <is>
          <t>GB-3.4: modular gas genset ~450 kW, 480 V (block 3)</t>
        </is>
      </c>
      <c r="I4746" s="12" t="inlineStr">
        <is>
          <t>Instrumentation</t>
        </is>
      </c>
      <c r="J4746" s="12" t="inlineStr">
        <is>
          <t>Instrumentation PLTC / TC-ER 300 V, #18 twisted shielded pairs, overall shield</t>
        </is>
      </c>
      <c r="K4746" s="12" t="inlineStr">
        <is>
          <t>PLTC|4 pr|18</t>
        </is>
      </c>
      <c r="L4746" s="12" t="inlineStr">
        <is>
          <t>4 pr</t>
        </is>
      </c>
      <c r="M4746" s="12" t="inlineStr">
        <is>
          <t>18</t>
        </is>
      </c>
      <c r="N4746" s="12" t="n">
        <v>1</v>
      </c>
      <c r="O4746" s="12" t="n">
        <v>1</v>
      </c>
      <c r="P4746" s="12" t="n"/>
      <c r="Q4746" s="12" t="n"/>
      <c r="R4746" s="12" t="n"/>
      <c r="S4746" s="12" t="inlineStr">
        <is>
          <t>Surface</t>
        </is>
      </c>
      <c r="T4746" s="17" t="n">
        <v>128</v>
      </c>
      <c r="U4746" s="17" t="n">
        <v>39</v>
      </c>
      <c r="V4746" s="17">
        <f>ROUNDUP((T4746+U4746+2*'Read Me'!$B$13)*(1+'Read Me'!$B$12),-1)</f>
        <v/>
      </c>
      <c r="W4746" s="17">
        <f>V4746*N4746*O4746</f>
        <v/>
      </c>
      <c r="X4746" s="12">
        <f>IF(LEFT(I4746,2)="MV",2*N4746*IF(L4746="1/C",O4746,1),0)</f>
        <v/>
      </c>
      <c r="Y4746" s="12">
        <f>IF(OR(LEFT(K4746,4)="LVAX",LEFT(K4746,6)="MV15AX",LEFT(K4746,4)="CTAX",LEFT(K4746,2)="W|"),2*N4746*O4746,0)</f>
        <v/>
      </c>
      <c r="Z4746" s="12" t="inlineStr"/>
      <c r="AA4746" s="12">
        <f>N4746*O4746</f>
        <v/>
      </c>
    </row>
    <row r="4747">
      <c r="A4747" s="12" t="inlineStr">
        <is>
          <t>I-I-0137</t>
        </is>
      </c>
      <c r="B4747" s="12" t="inlineStr">
        <is>
          <t>I</t>
        </is>
      </c>
      <c r="C4747" s="12" t="inlineStr">
        <is>
          <t>Modular / portable power</t>
        </is>
      </c>
      <c r="D4747" s="12" t="inlineStr">
        <is>
          <t>Thermocouples</t>
        </is>
      </c>
      <c r="E4747" s="12" t="inlineStr">
        <is>
          <t>PAD-EH</t>
        </is>
      </c>
      <c r="F4747" s="12" t="inlineStr">
        <is>
          <t>PAD-EH 13.8 kV switchgear e-house</t>
        </is>
      </c>
      <c r="G4747" s="12" t="inlineStr">
        <is>
          <t>GB-3.4</t>
        </is>
      </c>
      <c r="H4747" s="12" t="inlineStr">
        <is>
          <t>GB-3.4: modular gas genset ~450 kW, 480 V (block 3)</t>
        </is>
      </c>
      <c r="I4747" s="12" t="inlineStr">
        <is>
          <t>Instrumentation</t>
        </is>
      </c>
      <c r="J4747" s="12" t="inlineStr">
        <is>
          <t>Thermocouple extension KX, #16 shielded pairs, PLTC</t>
        </is>
      </c>
      <c r="K4747" s="12" t="inlineStr">
        <is>
          <t>TCX|12 pr|16</t>
        </is>
      </c>
      <c r="L4747" s="12" t="inlineStr">
        <is>
          <t>12 pr</t>
        </is>
      </c>
      <c r="M4747" s="12" t="inlineStr">
        <is>
          <t>16</t>
        </is>
      </c>
      <c r="N4747" s="12" t="n">
        <v>1</v>
      </c>
      <c r="O4747" s="12" t="n">
        <v>1</v>
      </c>
      <c r="P4747" s="12" t="n"/>
      <c r="Q4747" s="12" t="n"/>
      <c r="R4747" s="12" t="n"/>
      <c r="S4747" s="12" t="inlineStr">
        <is>
          <t>Surface</t>
        </is>
      </c>
      <c r="T4747" s="17" t="n">
        <v>128</v>
      </c>
      <c r="U4747" s="17" t="n">
        <v>39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I-I-0138</t>
        </is>
      </c>
      <c r="B4748" s="12" t="inlineStr">
        <is>
          <t>I</t>
        </is>
      </c>
      <c r="C4748" s="12" t="inlineStr">
        <is>
          <t>Modular / portable power</t>
        </is>
      </c>
      <c r="D4748" s="12" t="inlineStr">
        <is>
          <t>Thermocouples</t>
        </is>
      </c>
      <c r="E4748" s="12" t="inlineStr">
        <is>
          <t>PAD-EH</t>
        </is>
      </c>
      <c r="F4748" s="12" t="inlineStr">
        <is>
          <t>PAD-EH 13.8 kV switchgear e-house</t>
        </is>
      </c>
      <c r="G4748" s="12" t="inlineStr">
        <is>
          <t>GB-3.4</t>
        </is>
      </c>
      <c r="H4748" s="12" t="inlineStr">
        <is>
          <t>GB-3.4: modular gas genset ~450 kW, 480 V (block 3)</t>
        </is>
      </c>
      <c r="I4748" s="12" t="inlineStr">
        <is>
          <t>Instrumentation</t>
        </is>
      </c>
      <c r="J4748" s="12" t="inlineStr">
        <is>
          <t>Thermocouple extension KX, #16 shielded pairs, PLTC</t>
        </is>
      </c>
      <c r="K4748" s="12" t="inlineStr">
        <is>
          <t>TCX|12 pr|16</t>
        </is>
      </c>
      <c r="L4748" s="12" t="inlineStr">
        <is>
          <t>12 pr</t>
        </is>
      </c>
      <c r="M4748" s="12" t="inlineStr">
        <is>
          <t>16</t>
        </is>
      </c>
      <c r="N4748" s="12" t="n">
        <v>1</v>
      </c>
      <c r="O4748" s="12" t="n">
        <v>1</v>
      </c>
      <c r="P4748" s="12" t="n"/>
      <c r="Q4748" s="12" t="n"/>
      <c r="R4748" s="12" t="n"/>
      <c r="S4748" s="12" t="inlineStr">
        <is>
          <t>Surface</t>
        </is>
      </c>
      <c r="T4748" s="17" t="n">
        <v>128</v>
      </c>
      <c r="U4748" s="17" t="n">
        <v>39</v>
      </c>
      <c r="V4748" s="17">
        <f>ROUNDUP((T4748+U4748+2*'Read Me'!$B$13)*(1+'Read Me'!$B$12),-1)</f>
        <v/>
      </c>
      <c r="W4748" s="17">
        <f>V4748*N4748*O4748</f>
        <v/>
      </c>
      <c r="X4748" s="12">
        <f>IF(LEFT(I4748,2)="MV",2*N4748*IF(L4748="1/C",O4748,1),0)</f>
        <v/>
      </c>
      <c r="Y4748" s="12">
        <f>IF(OR(LEFT(K4748,4)="LVAX",LEFT(K4748,6)="MV15AX",LEFT(K4748,4)="CTAX",LEFT(K4748,2)="W|"),2*N4748*O4748,0)</f>
        <v/>
      </c>
      <c r="Z4748" s="12" t="inlineStr"/>
      <c r="AA4748" s="12">
        <f>N4748*O4748</f>
        <v/>
      </c>
    </row>
    <row r="4749">
      <c r="A4749" s="12" t="inlineStr">
        <is>
          <t>I-I-0139</t>
        </is>
      </c>
      <c r="B4749" s="12" t="inlineStr">
        <is>
          <t>I</t>
        </is>
      </c>
      <c r="C4749" s="12" t="inlineStr">
        <is>
          <t>Modular / portable power</t>
        </is>
      </c>
      <c r="D4749" s="12" t="inlineStr">
        <is>
          <t>Instrumentation</t>
        </is>
      </c>
      <c r="E4749" s="12" t="inlineStr">
        <is>
          <t>PAD-EH</t>
        </is>
      </c>
      <c r="F4749" s="12" t="inlineStr">
        <is>
          <t>PAD-EH 13.8 kV switchgear e-house</t>
        </is>
      </c>
      <c r="G4749" s="12" t="inlineStr">
        <is>
          <t>GB-4.1</t>
        </is>
      </c>
      <c r="H4749" s="12" t="inlineStr">
        <is>
          <t>GB-4.1: modular gas genset ~450 kW, 480 V (block 4)</t>
        </is>
      </c>
      <c r="I4749" s="12" t="inlineStr">
        <is>
          <t>Instrumentation</t>
        </is>
      </c>
      <c r="J4749" s="12" t="inlineStr">
        <is>
          <t>Instrumentation PLTC / TC-ER 300 V, #18 twisted shielded pairs, overall shield</t>
        </is>
      </c>
      <c r="K4749" s="12" t="inlineStr">
        <is>
          <t>PLTC|4 pr|18</t>
        </is>
      </c>
      <c r="L4749" s="12" t="inlineStr">
        <is>
          <t>4 pr</t>
        </is>
      </c>
      <c r="M4749" s="12" t="inlineStr">
        <is>
          <t>18</t>
        </is>
      </c>
      <c r="N4749" s="12" t="n">
        <v>1</v>
      </c>
      <c r="O4749" s="12" t="n">
        <v>1</v>
      </c>
      <c r="P4749" s="12" t="n"/>
      <c r="Q4749" s="12" t="n"/>
      <c r="R4749" s="12" t="n"/>
      <c r="S4749" s="12" t="inlineStr">
        <is>
          <t>Surface</t>
        </is>
      </c>
      <c r="T4749" s="17" t="n">
        <v>186</v>
      </c>
      <c r="U4749" s="17" t="n">
        <v>37</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I-I-0140</t>
        </is>
      </c>
      <c r="B4750" s="12" t="inlineStr">
        <is>
          <t>I</t>
        </is>
      </c>
      <c r="C4750" s="12" t="inlineStr">
        <is>
          <t>Modular / portable power</t>
        </is>
      </c>
      <c r="D4750" s="12" t="inlineStr">
        <is>
          <t>Thermocouples</t>
        </is>
      </c>
      <c r="E4750" s="12" t="inlineStr">
        <is>
          <t>PAD-EH</t>
        </is>
      </c>
      <c r="F4750" s="12" t="inlineStr">
        <is>
          <t>PAD-EH 13.8 kV switchgear e-house</t>
        </is>
      </c>
      <c r="G4750" s="12" t="inlineStr">
        <is>
          <t>GB-4.1</t>
        </is>
      </c>
      <c r="H4750" s="12" t="inlineStr">
        <is>
          <t>GB-4.1: modular gas genset ~450 kW, 480 V (block 4)</t>
        </is>
      </c>
      <c r="I4750" s="12" t="inlineStr">
        <is>
          <t>Instrumentation</t>
        </is>
      </c>
      <c r="J4750" s="12" t="inlineStr">
        <is>
          <t>Thermocouple extension KX, #16 shielded pairs, PLTC</t>
        </is>
      </c>
      <c r="K4750" s="12" t="inlineStr">
        <is>
          <t>TCX|12 pr|16</t>
        </is>
      </c>
      <c r="L4750" s="12" t="inlineStr">
        <is>
          <t>12 pr</t>
        </is>
      </c>
      <c r="M4750" s="12" t="inlineStr">
        <is>
          <t>16</t>
        </is>
      </c>
      <c r="N4750" s="12" t="n">
        <v>1</v>
      </c>
      <c r="O4750" s="12" t="n">
        <v>1</v>
      </c>
      <c r="P4750" s="12" t="n"/>
      <c r="Q4750" s="12" t="n"/>
      <c r="R4750" s="12" t="n"/>
      <c r="S4750" s="12" t="inlineStr">
        <is>
          <t>Surface</t>
        </is>
      </c>
      <c r="T4750" s="17" t="n">
        <v>186</v>
      </c>
      <c r="U4750" s="17" t="n">
        <v>37</v>
      </c>
      <c r="V4750" s="17">
        <f>ROUNDUP((T4750+U4750+2*'Read Me'!$B$13)*(1+'Read Me'!$B$12),-1)</f>
        <v/>
      </c>
      <c r="W4750" s="17">
        <f>V4750*N4750*O4750</f>
        <v/>
      </c>
      <c r="X4750" s="12">
        <f>IF(LEFT(I4750,2)="MV",2*N4750*IF(L4750="1/C",O4750,1),0)</f>
        <v/>
      </c>
      <c r="Y4750" s="12">
        <f>IF(OR(LEFT(K4750,4)="LVAX",LEFT(K4750,6)="MV15AX",LEFT(K4750,4)="CTAX",LEFT(K4750,2)="W|"),2*N4750*O4750,0)</f>
        <v/>
      </c>
      <c r="Z4750" s="12" t="inlineStr"/>
      <c r="AA4750" s="12">
        <f>N4750*O4750</f>
        <v/>
      </c>
    </row>
    <row r="4751">
      <c r="A4751" s="12" t="inlineStr">
        <is>
          <t>I-I-0141</t>
        </is>
      </c>
      <c r="B4751" s="12" t="inlineStr">
        <is>
          <t>I</t>
        </is>
      </c>
      <c r="C4751" s="12" t="inlineStr">
        <is>
          <t>Modular / portable power</t>
        </is>
      </c>
      <c r="D4751" s="12" t="inlineStr">
        <is>
          <t>Thermocouples</t>
        </is>
      </c>
      <c r="E4751" s="12" t="inlineStr">
        <is>
          <t>PAD-EH</t>
        </is>
      </c>
      <c r="F4751" s="12" t="inlineStr">
        <is>
          <t>PAD-EH 13.8 kV switchgear e-house</t>
        </is>
      </c>
      <c r="G4751" s="12" t="inlineStr">
        <is>
          <t>GB-4.1</t>
        </is>
      </c>
      <c r="H4751" s="12" t="inlineStr">
        <is>
          <t>GB-4.1: modular gas genset ~450 kW, 480 V (block 4)</t>
        </is>
      </c>
      <c r="I4751" s="12" t="inlineStr">
        <is>
          <t>Instrumentation</t>
        </is>
      </c>
      <c r="J4751" s="12" t="inlineStr">
        <is>
          <t>Thermocouple extension KX, #16 shielded pairs, PLTC</t>
        </is>
      </c>
      <c r="K4751" s="12" t="inlineStr">
        <is>
          <t>TCX|12 pr|16</t>
        </is>
      </c>
      <c r="L4751" s="12" t="inlineStr">
        <is>
          <t>12 pr</t>
        </is>
      </c>
      <c r="M4751" s="12" t="inlineStr">
        <is>
          <t>16</t>
        </is>
      </c>
      <c r="N4751" s="12" t="n">
        <v>1</v>
      </c>
      <c r="O4751" s="12" t="n">
        <v>1</v>
      </c>
      <c r="P4751" s="12" t="n"/>
      <c r="Q4751" s="12" t="n"/>
      <c r="R4751" s="12" t="n"/>
      <c r="S4751" s="12" t="inlineStr">
        <is>
          <t>Surface</t>
        </is>
      </c>
      <c r="T4751" s="17" t="n">
        <v>186</v>
      </c>
      <c r="U4751" s="17" t="n">
        <v>37</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I-I-0142</t>
        </is>
      </c>
      <c r="B4752" s="12" t="inlineStr">
        <is>
          <t>I</t>
        </is>
      </c>
      <c r="C4752" s="12" t="inlineStr">
        <is>
          <t>Modular / portable power</t>
        </is>
      </c>
      <c r="D4752" s="12" t="inlineStr">
        <is>
          <t>Instrumentation</t>
        </is>
      </c>
      <c r="E4752" s="12" t="inlineStr">
        <is>
          <t>PAD-EH</t>
        </is>
      </c>
      <c r="F4752" s="12" t="inlineStr">
        <is>
          <t>PAD-EH 13.8 kV switchgear e-house</t>
        </is>
      </c>
      <c r="G4752" s="12" t="inlineStr">
        <is>
          <t>GB-4.2</t>
        </is>
      </c>
      <c r="H4752" s="12" t="inlineStr">
        <is>
          <t>GB-4.2: modular gas genset ~450 kW, 480 V (block 4)</t>
        </is>
      </c>
      <c r="I4752" s="12" t="inlineStr">
        <is>
          <t>Instrumentation</t>
        </is>
      </c>
      <c r="J4752" s="12" t="inlineStr">
        <is>
          <t>Instrumentation PLTC / TC-ER 300 V, #18 twisted shielded pairs, overall shield</t>
        </is>
      </c>
      <c r="K4752" s="12" t="inlineStr">
        <is>
          <t>PLTC|4 pr|18</t>
        </is>
      </c>
      <c r="L4752" s="12" t="inlineStr">
        <is>
          <t>4 pr</t>
        </is>
      </c>
      <c r="M4752" s="12" t="inlineStr">
        <is>
          <t>18</t>
        </is>
      </c>
      <c r="N4752" s="12" t="n">
        <v>1</v>
      </c>
      <c r="O4752" s="12" t="n">
        <v>1</v>
      </c>
      <c r="P4752" s="12" t="n"/>
      <c r="Q4752" s="12" t="n"/>
      <c r="R4752" s="12" t="n"/>
      <c r="S4752" s="12" t="inlineStr">
        <is>
          <t>Surface</t>
        </is>
      </c>
      <c r="T4752" s="17" t="n">
        <v>184</v>
      </c>
      <c r="U4752" s="17" t="n">
        <v>32</v>
      </c>
      <c r="V4752" s="17">
        <f>ROUNDUP((T4752+U4752+2*'Read Me'!$B$13)*(1+'Read Me'!$B$12),-1)</f>
        <v/>
      </c>
      <c r="W4752" s="17">
        <f>V4752*N4752*O4752</f>
        <v/>
      </c>
      <c r="X4752" s="12">
        <f>IF(LEFT(I4752,2)="MV",2*N4752*IF(L4752="1/C",O4752,1),0)</f>
        <v/>
      </c>
      <c r="Y4752" s="12">
        <f>IF(OR(LEFT(K4752,4)="LVAX",LEFT(K4752,6)="MV15AX",LEFT(K4752,4)="CTAX",LEFT(K4752,2)="W|"),2*N4752*O4752,0)</f>
        <v/>
      </c>
      <c r="Z4752" s="12" t="inlineStr"/>
      <c r="AA4752" s="12">
        <f>N4752*O4752</f>
        <v/>
      </c>
    </row>
    <row r="4753">
      <c r="A4753" s="12" t="inlineStr">
        <is>
          <t>I-I-0143</t>
        </is>
      </c>
      <c r="B4753" s="12" t="inlineStr">
        <is>
          <t>I</t>
        </is>
      </c>
      <c r="C4753" s="12" t="inlineStr">
        <is>
          <t>Modular / portable power</t>
        </is>
      </c>
      <c r="D4753" s="12" t="inlineStr">
        <is>
          <t>Thermocouples</t>
        </is>
      </c>
      <c r="E4753" s="12" t="inlineStr">
        <is>
          <t>PAD-EH</t>
        </is>
      </c>
      <c r="F4753" s="12" t="inlineStr">
        <is>
          <t>PAD-EH 13.8 kV switchgear e-house</t>
        </is>
      </c>
      <c r="G4753" s="12" t="inlineStr">
        <is>
          <t>GB-4.2</t>
        </is>
      </c>
      <c r="H4753" s="12" t="inlineStr">
        <is>
          <t>GB-4.2: modular gas genset ~450 kW, 480 V (block 4)</t>
        </is>
      </c>
      <c r="I4753" s="12" t="inlineStr">
        <is>
          <t>Instrumentation</t>
        </is>
      </c>
      <c r="J4753" s="12" t="inlineStr">
        <is>
          <t>Thermocouple extension KX, #16 shielded pairs, PLTC</t>
        </is>
      </c>
      <c r="K4753" s="12" t="inlineStr">
        <is>
          <t>TCX|12 pr|16</t>
        </is>
      </c>
      <c r="L4753" s="12" t="inlineStr">
        <is>
          <t>12 pr</t>
        </is>
      </c>
      <c r="M4753" s="12" t="inlineStr">
        <is>
          <t>16</t>
        </is>
      </c>
      <c r="N4753" s="12" t="n">
        <v>1</v>
      </c>
      <c r="O4753" s="12" t="n">
        <v>1</v>
      </c>
      <c r="P4753" s="12" t="n"/>
      <c r="Q4753" s="12" t="n"/>
      <c r="R4753" s="12" t="n"/>
      <c r="S4753" s="12" t="inlineStr">
        <is>
          <t>Surface</t>
        </is>
      </c>
      <c r="T4753" s="17" t="n">
        <v>184</v>
      </c>
      <c r="U4753" s="17" t="n">
        <v>32</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I-I-0144</t>
        </is>
      </c>
      <c r="B4754" s="12" t="inlineStr">
        <is>
          <t>I</t>
        </is>
      </c>
      <c r="C4754" s="12" t="inlineStr">
        <is>
          <t>Modular / portable power</t>
        </is>
      </c>
      <c r="D4754" s="12" t="inlineStr">
        <is>
          <t>Thermocouples</t>
        </is>
      </c>
      <c r="E4754" s="12" t="inlineStr">
        <is>
          <t>PAD-EH</t>
        </is>
      </c>
      <c r="F4754" s="12" t="inlineStr">
        <is>
          <t>PAD-EH 13.8 kV switchgear e-house</t>
        </is>
      </c>
      <c r="G4754" s="12" t="inlineStr">
        <is>
          <t>GB-4.2</t>
        </is>
      </c>
      <c r="H4754" s="12" t="inlineStr">
        <is>
          <t>GB-4.2: modular gas genset ~450 kW, 480 V (block 4)</t>
        </is>
      </c>
      <c r="I4754" s="12" t="inlineStr">
        <is>
          <t>Instrumentation</t>
        </is>
      </c>
      <c r="J4754" s="12" t="inlineStr">
        <is>
          <t>Thermocouple extension KX, #16 shielded pairs, PLTC</t>
        </is>
      </c>
      <c r="K4754" s="12" t="inlineStr">
        <is>
          <t>TCX|12 pr|16</t>
        </is>
      </c>
      <c r="L4754" s="12" t="inlineStr">
        <is>
          <t>12 pr</t>
        </is>
      </c>
      <c r="M4754" s="12" t="inlineStr">
        <is>
          <t>16</t>
        </is>
      </c>
      <c r="N4754" s="12" t="n">
        <v>1</v>
      </c>
      <c r="O4754" s="12" t="n">
        <v>1</v>
      </c>
      <c r="P4754" s="12" t="n"/>
      <c r="Q4754" s="12" t="n"/>
      <c r="R4754" s="12" t="n"/>
      <c r="S4754" s="12" t="inlineStr">
        <is>
          <t>Surface</t>
        </is>
      </c>
      <c r="T4754" s="17" t="n">
        <v>184</v>
      </c>
      <c r="U4754" s="17" t="n">
        <v>32</v>
      </c>
      <c r="V4754" s="17">
        <f>ROUNDUP((T4754+U4754+2*'Read Me'!$B$13)*(1+'Read Me'!$B$12),-1)</f>
        <v/>
      </c>
      <c r="W4754" s="17">
        <f>V4754*N4754*O4754</f>
        <v/>
      </c>
      <c r="X4754" s="12">
        <f>IF(LEFT(I4754,2)="MV",2*N4754*IF(L4754="1/C",O4754,1),0)</f>
        <v/>
      </c>
      <c r="Y4754" s="12">
        <f>IF(OR(LEFT(K4754,4)="LVAX",LEFT(K4754,6)="MV15AX",LEFT(K4754,4)="CTAX",LEFT(K4754,2)="W|"),2*N4754*O4754,0)</f>
        <v/>
      </c>
      <c r="Z4754" s="12" t="inlineStr"/>
      <c r="AA4754" s="12">
        <f>N4754*O4754</f>
        <v/>
      </c>
    </row>
    <row r="4755">
      <c r="A4755" s="12" t="inlineStr">
        <is>
          <t>I-I-0145</t>
        </is>
      </c>
      <c r="B4755" s="12" t="inlineStr">
        <is>
          <t>I</t>
        </is>
      </c>
      <c r="C4755" s="12" t="inlineStr">
        <is>
          <t>Modular / portable power</t>
        </is>
      </c>
      <c r="D4755" s="12" t="inlineStr">
        <is>
          <t>Instrumentation</t>
        </is>
      </c>
      <c r="E4755" s="12" t="inlineStr">
        <is>
          <t>PAD-EH</t>
        </is>
      </c>
      <c r="F4755" s="12" t="inlineStr">
        <is>
          <t>PAD-EH 13.8 kV switchgear e-house</t>
        </is>
      </c>
      <c r="G4755" s="12" t="inlineStr">
        <is>
          <t>GB-4.3</t>
        </is>
      </c>
      <c r="H4755" s="12" t="inlineStr">
        <is>
          <t>GB-4.3: modular gas genset ~450 kW, 480 V (block 4)</t>
        </is>
      </c>
      <c r="I4755" s="12" t="inlineStr">
        <is>
          <t>Instrumentation</t>
        </is>
      </c>
      <c r="J4755" s="12" t="inlineStr">
        <is>
          <t>Instrumentation PLTC / TC-ER 300 V, #18 twisted shielded pairs, overall shield</t>
        </is>
      </c>
      <c r="K4755" s="12" t="inlineStr">
        <is>
          <t>PLTC|4 pr|18</t>
        </is>
      </c>
      <c r="L4755" s="12" t="inlineStr">
        <is>
          <t>4 pr</t>
        </is>
      </c>
      <c r="M4755" s="12" t="inlineStr">
        <is>
          <t>18</t>
        </is>
      </c>
      <c r="N4755" s="12" t="n">
        <v>1</v>
      </c>
      <c r="O4755" s="12" t="n">
        <v>1</v>
      </c>
      <c r="P4755" s="12" t="n"/>
      <c r="Q4755" s="12" t="n"/>
      <c r="R4755" s="12" t="n"/>
      <c r="S4755" s="12" t="inlineStr">
        <is>
          <t>Surface</t>
        </is>
      </c>
      <c r="T4755" s="17" t="n">
        <v>171</v>
      </c>
      <c r="U4755" s="17" t="n">
        <v>35</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I-I-0146</t>
        </is>
      </c>
      <c r="B4756" s="12" t="inlineStr">
        <is>
          <t>I</t>
        </is>
      </c>
      <c r="C4756" s="12" t="inlineStr">
        <is>
          <t>Modular / portable power</t>
        </is>
      </c>
      <c r="D4756" s="12" t="inlineStr">
        <is>
          <t>Thermocouples</t>
        </is>
      </c>
      <c r="E4756" s="12" t="inlineStr">
        <is>
          <t>PAD-EH</t>
        </is>
      </c>
      <c r="F4756" s="12" t="inlineStr">
        <is>
          <t>PAD-EH 13.8 kV switchgear e-house</t>
        </is>
      </c>
      <c r="G4756" s="12" t="inlineStr">
        <is>
          <t>GB-4.3</t>
        </is>
      </c>
      <c r="H4756" s="12" t="inlineStr">
        <is>
          <t>GB-4.3: modular gas genset ~450 kW, 480 V (block 4)</t>
        </is>
      </c>
      <c r="I4756" s="12" t="inlineStr">
        <is>
          <t>Instrumentation</t>
        </is>
      </c>
      <c r="J4756" s="12" t="inlineStr">
        <is>
          <t>Thermocouple extension KX, #16 shielded pairs, PLTC</t>
        </is>
      </c>
      <c r="K4756" s="12" t="inlineStr">
        <is>
          <t>TCX|12 pr|16</t>
        </is>
      </c>
      <c r="L4756" s="12" t="inlineStr">
        <is>
          <t>12 pr</t>
        </is>
      </c>
      <c r="M4756" s="12" t="inlineStr">
        <is>
          <t>16</t>
        </is>
      </c>
      <c r="N4756" s="12" t="n">
        <v>1</v>
      </c>
      <c r="O4756" s="12" t="n">
        <v>1</v>
      </c>
      <c r="P4756" s="12" t="n"/>
      <c r="Q4756" s="12" t="n"/>
      <c r="R4756" s="12" t="n"/>
      <c r="S4756" s="12" t="inlineStr">
        <is>
          <t>Surface</t>
        </is>
      </c>
      <c r="T4756" s="17" t="n">
        <v>171</v>
      </c>
      <c r="U4756" s="17" t="n">
        <v>35</v>
      </c>
      <c r="V4756" s="17">
        <f>ROUNDUP((T4756+U4756+2*'Read Me'!$B$13)*(1+'Read Me'!$B$12),-1)</f>
        <v/>
      </c>
      <c r="W4756" s="17">
        <f>V4756*N4756*O4756</f>
        <v/>
      </c>
      <c r="X4756" s="12">
        <f>IF(LEFT(I4756,2)="MV",2*N4756*IF(L4756="1/C",O4756,1),0)</f>
        <v/>
      </c>
      <c r="Y4756" s="12">
        <f>IF(OR(LEFT(K4756,4)="LVAX",LEFT(K4756,6)="MV15AX",LEFT(K4756,4)="CTAX",LEFT(K4756,2)="W|"),2*N4756*O4756,0)</f>
        <v/>
      </c>
      <c r="Z4756" s="12" t="inlineStr"/>
      <c r="AA4756" s="12">
        <f>N4756*O4756</f>
        <v/>
      </c>
    </row>
    <row r="4757">
      <c r="A4757" s="12" t="inlineStr">
        <is>
          <t>I-I-0147</t>
        </is>
      </c>
      <c r="B4757" s="12" t="inlineStr">
        <is>
          <t>I</t>
        </is>
      </c>
      <c r="C4757" s="12" t="inlineStr">
        <is>
          <t>Modular / portable power</t>
        </is>
      </c>
      <c r="D4757" s="12" t="inlineStr">
        <is>
          <t>Thermocouples</t>
        </is>
      </c>
      <c r="E4757" s="12" t="inlineStr">
        <is>
          <t>PAD-EH</t>
        </is>
      </c>
      <c r="F4757" s="12" t="inlineStr">
        <is>
          <t>PAD-EH 13.8 kV switchgear e-house</t>
        </is>
      </c>
      <c r="G4757" s="12" t="inlineStr">
        <is>
          <t>GB-4.3</t>
        </is>
      </c>
      <c r="H4757" s="12" t="inlineStr">
        <is>
          <t>GB-4.3: modular gas genset ~450 kW, 480 V (block 4)</t>
        </is>
      </c>
      <c r="I4757" s="12" t="inlineStr">
        <is>
          <t>Instrumentation</t>
        </is>
      </c>
      <c r="J4757" s="12" t="inlineStr">
        <is>
          <t>Thermocouple extension KX, #16 shielded pairs, PLTC</t>
        </is>
      </c>
      <c r="K4757" s="12" t="inlineStr">
        <is>
          <t>TCX|12 pr|16</t>
        </is>
      </c>
      <c r="L4757" s="12" t="inlineStr">
        <is>
          <t>12 pr</t>
        </is>
      </c>
      <c r="M4757" s="12" t="inlineStr">
        <is>
          <t>16</t>
        </is>
      </c>
      <c r="N4757" s="12" t="n">
        <v>1</v>
      </c>
      <c r="O4757" s="12" t="n">
        <v>1</v>
      </c>
      <c r="P4757" s="12" t="n"/>
      <c r="Q4757" s="12" t="n"/>
      <c r="R4757" s="12" t="n"/>
      <c r="S4757" s="12" t="inlineStr">
        <is>
          <t>Surface</t>
        </is>
      </c>
      <c r="T4757" s="17" t="n">
        <v>171</v>
      </c>
      <c r="U4757" s="17" t="n">
        <v>35</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I-I-0148</t>
        </is>
      </c>
      <c r="B4758" s="12" t="inlineStr">
        <is>
          <t>I</t>
        </is>
      </c>
      <c r="C4758" s="12" t="inlineStr">
        <is>
          <t>Modular / portable power</t>
        </is>
      </c>
      <c r="D4758" s="12" t="inlineStr">
        <is>
          <t>Instrumentation</t>
        </is>
      </c>
      <c r="E4758" s="12" t="inlineStr">
        <is>
          <t>PAD-EH</t>
        </is>
      </c>
      <c r="F4758" s="12" t="inlineStr">
        <is>
          <t>PAD-EH 13.8 kV switchgear e-house</t>
        </is>
      </c>
      <c r="G4758" s="12" t="inlineStr">
        <is>
          <t>GB-4.4</t>
        </is>
      </c>
      <c r="H4758" s="12" t="inlineStr">
        <is>
          <t>GB-4.4: modular gas genset ~450 kW, 480 V (block 4)</t>
        </is>
      </c>
      <c r="I4758" s="12" t="inlineStr">
        <is>
          <t>Instrumentation</t>
        </is>
      </c>
      <c r="J4758" s="12" t="inlineStr">
        <is>
          <t>Instrumentation PLTC / TC-ER 300 V, #18 twisted shielded pairs, overall shield</t>
        </is>
      </c>
      <c r="K4758" s="12" t="inlineStr">
        <is>
          <t>PLTC|4 pr|18</t>
        </is>
      </c>
      <c r="L4758" s="12" t="inlineStr">
        <is>
          <t>4 pr</t>
        </is>
      </c>
      <c r="M4758" s="12" t="inlineStr">
        <is>
          <t>18</t>
        </is>
      </c>
      <c r="N4758" s="12" t="n">
        <v>1</v>
      </c>
      <c r="O4758" s="12" t="n">
        <v>1</v>
      </c>
      <c r="P4758" s="12" t="n"/>
      <c r="Q4758" s="12" t="n"/>
      <c r="R4758" s="12" t="n"/>
      <c r="S4758" s="12" t="inlineStr">
        <is>
          <t>Surface</t>
        </is>
      </c>
      <c r="T4758" s="17" t="n">
        <v>174</v>
      </c>
      <c r="U4758" s="17" t="n">
        <v>39</v>
      </c>
      <c r="V4758" s="17">
        <f>ROUNDUP((T4758+U4758+2*'Read Me'!$B$13)*(1+'Read Me'!$B$12),-1)</f>
        <v/>
      </c>
      <c r="W4758" s="17">
        <f>V4758*N4758*O4758</f>
        <v/>
      </c>
      <c r="X4758" s="12">
        <f>IF(LEFT(I4758,2)="MV",2*N4758*IF(L4758="1/C",O4758,1),0)</f>
        <v/>
      </c>
      <c r="Y4758" s="12">
        <f>IF(OR(LEFT(K4758,4)="LVAX",LEFT(K4758,6)="MV15AX",LEFT(K4758,4)="CTAX",LEFT(K4758,2)="W|"),2*N4758*O4758,0)</f>
        <v/>
      </c>
      <c r="Z4758" s="12" t="inlineStr"/>
      <c r="AA4758" s="12">
        <f>N4758*O4758</f>
        <v/>
      </c>
    </row>
    <row r="4759">
      <c r="A4759" s="12" t="inlineStr">
        <is>
          <t>I-I-0149</t>
        </is>
      </c>
      <c r="B4759" s="12" t="inlineStr">
        <is>
          <t>I</t>
        </is>
      </c>
      <c r="C4759" s="12" t="inlineStr">
        <is>
          <t>Modular / portable power</t>
        </is>
      </c>
      <c r="D4759" s="12" t="inlineStr">
        <is>
          <t>Thermocouples</t>
        </is>
      </c>
      <c r="E4759" s="12" t="inlineStr">
        <is>
          <t>PAD-EH</t>
        </is>
      </c>
      <c r="F4759" s="12" t="inlineStr">
        <is>
          <t>PAD-EH 13.8 kV switchgear e-house</t>
        </is>
      </c>
      <c r="G4759" s="12" t="inlineStr">
        <is>
          <t>GB-4.4</t>
        </is>
      </c>
      <c r="H4759" s="12" t="inlineStr">
        <is>
          <t>GB-4.4: modular gas genset ~450 kW, 480 V (block 4)</t>
        </is>
      </c>
      <c r="I4759" s="12" t="inlineStr">
        <is>
          <t>Instrumentation</t>
        </is>
      </c>
      <c r="J4759" s="12" t="inlineStr">
        <is>
          <t>Thermocouple extension KX, #16 shielded pairs, PLTC</t>
        </is>
      </c>
      <c r="K4759" s="12" t="inlineStr">
        <is>
          <t>TCX|12 pr|16</t>
        </is>
      </c>
      <c r="L4759" s="12" t="inlineStr">
        <is>
          <t>12 pr</t>
        </is>
      </c>
      <c r="M4759" s="12" t="inlineStr">
        <is>
          <t>16</t>
        </is>
      </c>
      <c r="N4759" s="12" t="n">
        <v>1</v>
      </c>
      <c r="O4759" s="12" t="n">
        <v>1</v>
      </c>
      <c r="P4759" s="12" t="n"/>
      <c r="Q4759" s="12" t="n"/>
      <c r="R4759" s="12" t="n"/>
      <c r="S4759" s="12" t="inlineStr">
        <is>
          <t>Surface</t>
        </is>
      </c>
      <c r="T4759" s="17" t="n">
        <v>174</v>
      </c>
      <c r="U4759" s="17" t="n">
        <v>39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I-I-0150</t>
        </is>
      </c>
      <c r="B4760" s="12" t="inlineStr">
        <is>
          <t>I</t>
        </is>
      </c>
      <c r="C4760" s="12" t="inlineStr">
        <is>
          <t>Modular / portable power</t>
        </is>
      </c>
      <c r="D4760" s="12" t="inlineStr">
        <is>
          <t>Thermocouples</t>
        </is>
      </c>
      <c r="E4760" s="12" t="inlineStr">
        <is>
          <t>PAD-EH</t>
        </is>
      </c>
      <c r="F4760" s="12" t="inlineStr">
        <is>
          <t>PAD-EH 13.8 kV switchgear e-house</t>
        </is>
      </c>
      <c r="G4760" s="12" t="inlineStr">
        <is>
          <t>GB-4.4</t>
        </is>
      </c>
      <c r="H4760" s="12" t="inlineStr">
        <is>
          <t>GB-4.4: modular gas genset ~450 kW, 480 V (block 4)</t>
        </is>
      </c>
      <c r="I4760" s="12" t="inlineStr">
        <is>
          <t>Instrumentation</t>
        </is>
      </c>
      <c r="J4760" s="12" t="inlineStr">
        <is>
          <t>Thermocouple extension KX, #16 shielded pairs, PLTC</t>
        </is>
      </c>
      <c r="K4760" s="12" t="inlineStr">
        <is>
          <t>TCX|12 pr|16</t>
        </is>
      </c>
      <c r="L4760" s="12" t="inlineStr">
        <is>
          <t>12 pr</t>
        </is>
      </c>
      <c r="M4760" s="12" t="inlineStr">
        <is>
          <t>16</t>
        </is>
      </c>
      <c r="N4760" s="12" t="n">
        <v>1</v>
      </c>
      <c r="O4760" s="12" t="n">
        <v>1</v>
      </c>
      <c r="P4760" s="12" t="n"/>
      <c r="Q4760" s="12" t="n"/>
      <c r="R4760" s="12" t="n"/>
      <c r="S4760" s="12" t="inlineStr">
        <is>
          <t>Surface</t>
        </is>
      </c>
      <c r="T4760" s="17" t="n">
        <v>174</v>
      </c>
      <c r="U4760" s="17" t="n">
        <v>39</v>
      </c>
      <c r="V4760" s="17">
        <f>ROUNDUP((T4760+U4760+2*'Read Me'!$B$13)*(1+'Read Me'!$B$12),-1)</f>
        <v/>
      </c>
      <c r="W4760" s="17">
        <f>V4760*N4760*O4760</f>
        <v/>
      </c>
      <c r="X4760" s="12">
        <f>IF(LEFT(I4760,2)="MV",2*N4760*IF(L4760="1/C",O4760,1),0)</f>
        <v/>
      </c>
      <c r="Y4760" s="12">
        <f>IF(OR(LEFT(K4760,4)="LVAX",LEFT(K4760,6)="MV15AX",LEFT(K4760,4)="CTAX",LEFT(K4760,2)="W|"),2*N4760*O4760,0)</f>
        <v/>
      </c>
      <c r="Z4760" s="12" t="inlineStr"/>
      <c r="AA4760" s="12">
        <f>N4760*O4760</f>
        <v/>
      </c>
    </row>
    <row r="4761">
      <c r="A4761" s="12" t="inlineStr">
        <is>
          <t>I-I-0151</t>
        </is>
      </c>
      <c r="B4761" s="12" t="inlineStr">
        <is>
          <t>I</t>
        </is>
      </c>
      <c r="C4761" s="12" t="inlineStr">
        <is>
          <t>Modular / portable power</t>
        </is>
      </c>
      <c r="D4761" s="12" t="inlineStr">
        <is>
          <t>Instrumentation</t>
        </is>
      </c>
      <c r="E4761" s="12" t="inlineStr">
        <is>
          <t>PAD-EH</t>
        </is>
      </c>
      <c r="F4761" s="12" t="inlineStr">
        <is>
          <t>PAD-EH 13.8 kV switchgear e-house</t>
        </is>
      </c>
      <c r="G4761" s="12" t="inlineStr">
        <is>
          <t>GB-5.1</t>
        </is>
      </c>
      <c r="H4761" s="12" t="inlineStr">
        <is>
          <t>GB-5.1: modular gas genset ~450 kW, 480 V (block 5)</t>
        </is>
      </c>
      <c r="I4761" s="12" t="inlineStr">
        <is>
          <t>Instrumentation</t>
        </is>
      </c>
      <c r="J4761" s="12" t="inlineStr">
        <is>
          <t>Instrumentation PLTC / TC-ER 300 V, #18 twisted shielded pairs, overall shield</t>
        </is>
      </c>
      <c r="K4761" s="12" t="inlineStr">
        <is>
          <t>PLTC|4 pr|18</t>
        </is>
      </c>
      <c r="L4761" s="12" t="inlineStr">
        <is>
          <t>4 pr</t>
        </is>
      </c>
      <c r="M4761" s="12" t="inlineStr">
        <is>
          <t>18</t>
        </is>
      </c>
      <c r="N4761" s="12" t="n">
        <v>1</v>
      </c>
      <c r="O4761" s="12" t="n">
        <v>1</v>
      </c>
      <c r="P4761" s="12" t="n"/>
      <c r="Q4761" s="12" t="n"/>
      <c r="R4761" s="12" t="n"/>
      <c r="S4761" s="12" t="inlineStr">
        <is>
          <t>Surface</t>
        </is>
      </c>
      <c r="T4761" s="17" t="n">
        <v>284</v>
      </c>
      <c r="U4761" s="17" t="n">
        <v>37</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I-I-0152</t>
        </is>
      </c>
      <c r="B4762" s="12" t="inlineStr">
        <is>
          <t>I</t>
        </is>
      </c>
      <c r="C4762" s="12" t="inlineStr">
        <is>
          <t>Modular / portable power</t>
        </is>
      </c>
      <c r="D4762" s="12" t="inlineStr">
        <is>
          <t>Thermocouples</t>
        </is>
      </c>
      <c r="E4762" s="12" t="inlineStr">
        <is>
          <t>PAD-EH</t>
        </is>
      </c>
      <c r="F4762" s="12" t="inlineStr">
        <is>
          <t>PAD-EH 13.8 kV switchgear e-house</t>
        </is>
      </c>
      <c r="G4762" s="12" t="inlineStr">
        <is>
          <t>GB-5.1</t>
        </is>
      </c>
      <c r="H4762" s="12" t="inlineStr">
        <is>
          <t>GB-5.1: modular gas genset ~450 kW, 480 V (block 5)</t>
        </is>
      </c>
      <c r="I4762" s="12" t="inlineStr">
        <is>
          <t>Instrumentation</t>
        </is>
      </c>
      <c r="J4762" s="12" t="inlineStr">
        <is>
          <t>Thermocouple extension KX, #16 shielded pairs, PLTC</t>
        </is>
      </c>
      <c r="K4762" s="12" t="inlineStr">
        <is>
          <t>TCX|12 pr|16</t>
        </is>
      </c>
      <c r="L4762" s="12" t="inlineStr">
        <is>
          <t>12 pr</t>
        </is>
      </c>
      <c r="M4762" s="12" t="inlineStr">
        <is>
          <t>16</t>
        </is>
      </c>
      <c r="N4762" s="12" t="n">
        <v>1</v>
      </c>
      <c r="O4762" s="12" t="n">
        <v>1</v>
      </c>
      <c r="P4762" s="12" t="n"/>
      <c r="Q4762" s="12" t="n"/>
      <c r="R4762" s="12" t="n"/>
      <c r="S4762" s="12" t="inlineStr">
        <is>
          <t>Surface</t>
        </is>
      </c>
      <c r="T4762" s="17" t="n">
        <v>284</v>
      </c>
      <c r="U4762" s="17" t="n">
        <v>37</v>
      </c>
      <c r="V4762" s="17">
        <f>ROUNDUP((T4762+U4762+2*'Read Me'!$B$13)*(1+'Read Me'!$B$12),-1)</f>
        <v/>
      </c>
      <c r="W4762" s="17">
        <f>V4762*N4762*O4762</f>
        <v/>
      </c>
      <c r="X4762" s="12">
        <f>IF(LEFT(I4762,2)="MV",2*N4762*IF(L4762="1/C",O4762,1),0)</f>
        <v/>
      </c>
      <c r="Y4762" s="12">
        <f>IF(OR(LEFT(K4762,4)="LVAX",LEFT(K4762,6)="MV15AX",LEFT(K4762,4)="CTAX",LEFT(K4762,2)="W|"),2*N4762*O4762,0)</f>
        <v/>
      </c>
      <c r="Z4762" s="12" t="inlineStr"/>
      <c r="AA4762" s="12">
        <f>N4762*O4762</f>
        <v/>
      </c>
    </row>
    <row r="4763">
      <c r="A4763" s="12" t="inlineStr">
        <is>
          <t>I-I-0153</t>
        </is>
      </c>
      <c r="B4763" s="12" t="inlineStr">
        <is>
          <t>I</t>
        </is>
      </c>
      <c r="C4763" s="12" t="inlineStr">
        <is>
          <t>Modular / portable power</t>
        </is>
      </c>
      <c r="D4763" s="12" t="inlineStr">
        <is>
          <t>Thermocouples</t>
        </is>
      </c>
      <c r="E4763" s="12" t="inlineStr">
        <is>
          <t>PAD-EH</t>
        </is>
      </c>
      <c r="F4763" s="12" t="inlineStr">
        <is>
          <t>PAD-EH 13.8 kV switchgear e-house</t>
        </is>
      </c>
      <c r="G4763" s="12" t="inlineStr">
        <is>
          <t>GB-5.1</t>
        </is>
      </c>
      <c r="H4763" s="12" t="inlineStr">
        <is>
          <t>GB-5.1: modular gas genset ~450 kW, 480 V (block 5)</t>
        </is>
      </c>
      <c r="I4763" s="12" t="inlineStr">
        <is>
          <t>Instrumentation</t>
        </is>
      </c>
      <c r="J4763" s="12" t="inlineStr">
        <is>
          <t>Thermocouple extension KX, #16 shielded pairs, PLTC</t>
        </is>
      </c>
      <c r="K4763" s="12" t="inlineStr">
        <is>
          <t>TCX|12 pr|16</t>
        </is>
      </c>
      <c r="L4763" s="12" t="inlineStr">
        <is>
          <t>12 pr</t>
        </is>
      </c>
      <c r="M4763" s="12" t="inlineStr">
        <is>
          <t>16</t>
        </is>
      </c>
      <c r="N4763" s="12" t="n">
        <v>1</v>
      </c>
      <c r="O4763" s="12" t="n">
        <v>1</v>
      </c>
      <c r="P4763" s="12" t="n"/>
      <c r="Q4763" s="12" t="n"/>
      <c r="R4763" s="12" t="n"/>
      <c r="S4763" s="12" t="inlineStr">
        <is>
          <t>Surface</t>
        </is>
      </c>
      <c r="T4763" s="17" t="n">
        <v>284</v>
      </c>
      <c r="U4763" s="17" t="n">
        <v>37</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I-I-0154</t>
        </is>
      </c>
      <c r="B4764" s="12" t="inlineStr">
        <is>
          <t>I</t>
        </is>
      </c>
      <c r="C4764" s="12" t="inlineStr">
        <is>
          <t>Modular / portable power</t>
        </is>
      </c>
      <c r="D4764" s="12" t="inlineStr">
        <is>
          <t>Instrumentation</t>
        </is>
      </c>
      <c r="E4764" s="12" t="inlineStr">
        <is>
          <t>PAD-EH</t>
        </is>
      </c>
      <c r="F4764" s="12" t="inlineStr">
        <is>
          <t>PAD-EH 13.8 kV switchgear e-house</t>
        </is>
      </c>
      <c r="G4764" s="12" t="inlineStr">
        <is>
          <t>GB-5.2</t>
        </is>
      </c>
      <c r="H4764" s="12" t="inlineStr">
        <is>
          <t>GB-5.2: modular gas genset ~450 kW, 480 V (block 5)</t>
        </is>
      </c>
      <c r="I4764" s="12" t="inlineStr">
        <is>
          <t>Instrumentation</t>
        </is>
      </c>
      <c r="J4764" s="12" t="inlineStr">
        <is>
          <t>Instrumentation PLTC / TC-ER 300 V, #18 twisted shielded pairs, overall shield</t>
        </is>
      </c>
      <c r="K4764" s="12" t="inlineStr">
        <is>
          <t>PLTC|4 pr|18</t>
        </is>
      </c>
      <c r="L4764" s="12" t="inlineStr">
        <is>
          <t>4 pr</t>
        </is>
      </c>
      <c r="M4764" s="12" t="inlineStr">
        <is>
          <t>18</t>
        </is>
      </c>
      <c r="N4764" s="12" t="n">
        <v>1</v>
      </c>
      <c r="O4764" s="12" t="n">
        <v>1</v>
      </c>
      <c r="P4764" s="12" t="n"/>
      <c r="Q4764" s="12" t="n"/>
      <c r="R4764" s="12" t="n"/>
      <c r="S4764" s="12" t="inlineStr">
        <is>
          <t>Surface</t>
        </is>
      </c>
      <c r="T4764" s="17" t="n">
        <v>282</v>
      </c>
      <c r="U4764" s="17" t="n">
        <v>32</v>
      </c>
      <c r="V4764" s="17">
        <f>ROUNDUP((T4764+U4764+2*'Read Me'!$B$13)*(1+'Read Me'!$B$12),-1)</f>
        <v/>
      </c>
      <c r="W4764" s="17">
        <f>V4764*N4764*O4764</f>
        <v/>
      </c>
      <c r="X4764" s="12">
        <f>IF(LEFT(I4764,2)="MV",2*N4764*IF(L4764="1/C",O4764,1),0)</f>
        <v/>
      </c>
      <c r="Y4764" s="12">
        <f>IF(OR(LEFT(K4764,4)="LVAX",LEFT(K4764,6)="MV15AX",LEFT(K4764,4)="CTAX",LEFT(K4764,2)="W|"),2*N4764*O4764,0)</f>
        <v/>
      </c>
      <c r="Z4764" s="12" t="inlineStr"/>
      <c r="AA4764" s="12">
        <f>N4764*O4764</f>
        <v/>
      </c>
    </row>
    <row r="4765">
      <c r="A4765" s="12" t="inlineStr">
        <is>
          <t>I-I-0155</t>
        </is>
      </c>
      <c r="B4765" s="12" t="inlineStr">
        <is>
          <t>I</t>
        </is>
      </c>
      <c r="C4765" s="12" t="inlineStr">
        <is>
          <t>Modular / portable power</t>
        </is>
      </c>
      <c r="D4765" s="12" t="inlineStr">
        <is>
          <t>Thermocouples</t>
        </is>
      </c>
      <c r="E4765" s="12" t="inlineStr">
        <is>
          <t>PAD-EH</t>
        </is>
      </c>
      <c r="F4765" s="12" t="inlineStr">
        <is>
          <t>PAD-EH 13.8 kV switchgear e-house</t>
        </is>
      </c>
      <c r="G4765" s="12" t="inlineStr">
        <is>
          <t>GB-5.2</t>
        </is>
      </c>
      <c r="H4765" s="12" t="inlineStr">
        <is>
          <t>GB-5.2: modular gas genset ~450 kW, 480 V (block 5)</t>
        </is>
      </c>
      <c r="I4765" s="12" t="inlineStr">
        <is>
          <t>Instrumentation</t>
        </is>
      </c>
      <c r="J4765" s="12" t="inlineStr">
        <is>
          <t>Thermocouple extension KX, #16 shielded pairs, PLTC</t>
        </is>
      </c>
      <c r="K4765" s="12" t="inlineStr">
        <is>
          <t>TCX|12 pr|16</t>
        </is>
      </c>
      <c r="L4765" s="12" t="inlineStr">
        <is>
          <t>12 pr</t>
        </is>
      </c>
      <c r="M4765" s="12" t="inlineStr">
        <is>
          <t>16</t>
        </is>
      </c>
      <c r="N4765" s="12" t="n">
        <v>1</v>
      </c>
      <c r="O4765" s="12" t="n">
        <v>1</v>
      </c>
      <c r="P4765" s="12" t="n"/>
      <c r="Q4765" s="12" t="n"/>
      <c r="R4765" s="12" t="n"/>
      <c r="S4765" s="12" t="inlineStr">
        <is>
          <t>Surface</t>
        </is>
      </c>
      <c r="T4765" s="17" t="n">
        <v>282</v>
      </c>
      <c r="U4765" s="17" t="n">
        <v>32</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I-I-0156</t>
        </is>
      </c>
      <c r="B4766" s="12" t="inlineStr">
        <is>
          <t>I</t>
        </is>
      </c>
      <c r="C4766" s="12" t="inlineStr">
        <is>
          <t>Modular / portable power</t>
        </is>
      </c>
      <c r="D4766" s="12" t="inlineStr">
        <is>
          <t>Thermocouples</t>
        </is>
      </c>
      <c r="E4766" s="12" t="inlineStr">
        <is>
          <t>PAD-EH</t>
        </is>
      </c>
      <c r="F4766" s="12" t="inlineStr">
        <is>
          <t>PAD-EH 13.8 kV switchgear e-house</t>
        </is>
      </c>
      <c r="G4766" s="12" t="inlineStr">
        <is>
          <t>GB-5.2</t>
        </is>
      </c>
      <c r="H4766" s="12" t="inlineStr">
        <is>
          <t>GB-5.2: modular gas genset ~450 kW, 480 V (block 5)</t>
        </is>
      </c>
      <c r="I4766" s="12" t="inlineStr">
        <is>
          <t>Instrumentation</t>
        </is>
      </c>
      <c r="J4766" s="12" t="inlineStr">
        <is>
          <t>Thermocouple extension KX, #16 shielded pairs, PLTC</t>
        </is>
      </c>
      <c r="K4766" s="12" t="inlineStr">
        <is>
          <t>TCX|12 pr|16</t>
        </is>
      </c>
      <c r="L4766" s="12" t="inlineStr">
        <is>
          <t>12 pr</t>
        </is>
      </c>
      <c r="M4766" s="12" t="inlineStr">
        <is>
          <t>16</t>
        </is>
      </c>
      <c r="N4766" s="12" t="n">
        <v>1</v>
      </c>
      <c r="O4766" s="12" t="n">
        <v>1</v>
      </c>
      <c r="P4766" s="12" t="n"/>
      <c r="Q4766" s="12" t="n"/>
      <c r="R4766" s="12" t="n"/>
      <c r="S4766" s="12" t="inlineStr">
        <is>
          <t>Surface</t>
        </is>
      </c>
      <c r="T4766" s="17" t="n">
        <v>282</v>
      </c>
      <c r="U4766" s="17" t="n">
        <v>32</v>
      </c>
      <c r="V4766" s="17">
        <f>ROUNDUP((T4766+U4766+2*'Read Me'!$B$13)*(1+'Read Me'!$B$12),-1)</f>
        <v/>
      </c>
      <c r="W4766" s="17">
        <f>V4766*N4766*O4766</f>
        <v/>
      </c>
      <c r="X4766" s="12">
        <f>IF(LEFT(I4766,2)="MV",2*N4766*IF(L4766="1/C",O4766,1),0)</f>
        <v/>
      </c>
      <c r="Y4766" s="12">
        <f>IF(OR(LEFT(K4766,4)="LVAX",LEFT(K4766,6)="MV15AX",LEFT(K4766,4)="CTAX",LEFT(K4766,2)="W|"),2*N4766*O4766,0)</f>
        <v/>
      </c>
      <c r="Z4766" s="12" t="inlineStr"/>
      <c r="AA4766" s="12">
        <f>N4766*O4766</f>
        <v/>
      </c>
    </row>
    <row r="4767">
      <c r="A4767" s="12" t="inlineStr">
        <is>
          <t>I-I-0157</t>
        </is>
      </c>
      <c r="B4767" s="12" t="inlineStr">
        <is>
          <t>I</t>
        </is>
      </c>
      <c r="C4767" s="12" t="inlineStr">
        <is>
          <t>Modular / portable power</t>
        </is>
      </c>
      <c r="D4767" s="12" t="inlineStr">
        <is>
          <t>Instrumentation</t>
        </is>
      </c>
      <c r="E4767" s="12" t="inlineStr">
        <is>
          <t>PAD-EH</t>
        </is>
      </c>
      <c r="F4767" s="12" t="inlineStr">
        <is>
          <t>PAD-EH 13.8 kV switchgear e-house</t>
        </is>
      </c>
      <c r="G4767" s="12" t="inlineStr">
        <is>
          <t>GB-5.3</t>
        </is>
      </c>
      <c r="H4767" s="12" t="inlineStr">
        <is>
          <t>GB-5.3: modular gas genset ~450 kW, 480 V (block 5)</t>
        </is>
      </c>
      <c r="I4767" s="12" t="inlineStr">
        <is>
          <t>Instrumentation</t>
        </is>
      </c>
      <c r="J4767" s="12" t="inlineStr">
        <is>
          <t>Instrumentation PLTC / TC-ER 300 V, #18 twisted shielded pairs, overall shield</t>
        </is>
      </c>
      <c r="K4767" s="12" t="inlineStr">
        <is>
          <t>PLTC|4 pr|18</t>
        </is>
      </c>
      <c r="L4767" s="12" t="inlineStr">
        <is>
          <t>4 pr</t>
        </is>
      </c>
      <c r="M4767" s="12" t="inlineStr">
        <is>
          <t>18</t>
        </is>
      </c>
      <c r="N4767" s="12" t="n">
        <v>1</v>
      </c>
      <c r="O4767" s="12" t="n">
        <v>1</v>
      </c>
      <c r="P4767" s="12" t="n"/>
      <c r="Q4767" s="12" t="n"/>
      <c r="R4767" s="12" t="n"/>
      <c r="S4767" s="12" t="inlineStr">
        <is>
          <t>Surface</t>
        </is>
      </c>
      <c r="T4767" s="17" t="n">
        <v>269</v>
      </c>
      <c r="U4767" s="17" t="n">
        <v>35</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I-I-0158</t>
        </is>
      </c>
      <c r="B4768" s="12" t="inlineStr">
        <is>
          <t>I</t>
        </is>
      </c>
      <c r="C4768" s="12" t="inlineStr">
        <is>
          <t>Modular / portable power</t>
        </is>
      </c>
      <c r="D4768" s="12" t="inlineStr">
        <is>
          <t>Thermocouples</t>
        </is>
      </c>
      <c r="E4768" s="12" t="inlineStr">
        <is>
          <t>PAD-EH</t>
        </is>
      </c>
      <c r="F4768" s="12" t="inlineStr">
        <is>
          <t>PAD-EH 13.8 kV switchgear e-house</t>
        </is>
      </c>
      <c r="G4768" s="12" t="inlineStr">
        <is>
          <t>GB-5.3</t>
        </is>
      </c>
      <c r="H4768" s="12" t="inlineStr">
        <is>
          <t>GB-5.3: modular gas genset ~450 kW, 480 V (block 5)</t>
        </is>
      </c>
      <c r="I4768" s="12" t="inlineStr">
        <is>
          <t>Instrumentation</t>
        </is>
      </c>
      <c r="J4768" s="12" t="inlineStr">
        <is>
          <t>Thermocouple extension KX, #16 shielded pairs, PLTC</t>
        </is>
      </c>
      <c r="K4768" s="12" t="inlineStr">
        <is>
          <t>TCX|12 pr|16</t>
        </is>
      </c>
      <c r="L4768" s="12" t="inlineStr">
        <is>
          <t>12 pr</t>
        </is>
      </c>
      <c r="M4768" s="12" t="inlineStr">
        <is>
          <t>16</t>
        </is>
      </c>
      <c r="N4768" s="12" t="n">
        <v>1</v>
      </c>
      <c r="O4768" s="12" t="n">
        <v>1</v>
      </c>
      <c r="P4768" s="12" t="n"/>
      <c r="Q4768" s="12" t="n"/>
      <c r="R4768" s="12" t="n"/>
      <c r="S4768" s="12" t="inlineStr">
        <is>
          <t>Surface</t>
        </is>
      </c>
      <c r="T4768" s="17" t="n">
        <v>269</v>
      </c>
      <c r="U4768" s="17" t="n">
        <v>35</v>
      </c>
      <c r="V4768" s="17">
        <f>ROUNDUP((T4768+U4768+2*'Read Me'!$B$13)*(1+'Read Me'!$B$12),-1)</f>
        <v/>
      </c>
      <c r="W4768" s="17">
        <f>V4768*N4768*O4768</f>
        <v/>
      </c>
      <c r="X4768" s="12">
        <f>IF(LEFT(I4768,2)="MV",2*N4768*IF(L4768="1/C",O4768,1),0)</f>
        <v/>
      </c>
      <c r="Y4768" s="12">
        <f>IF(OR(LEFT(K4768,4)="LVAX",LEFT(K4768,6)="MV15AX",LEFT(K4768,4)="CTAX",LEFT(K4768,2)="W|"),2*N4768*O4768,0)</f>
        <v/>
      </c>
      <c r="Z4768" s="12" t="inlineStr"/>
      <c r="AA4768" s="12">
        <f>N4768*O4768</f>
        <v/>
      </c>
    </row>
    <row r="4769">
      <c r="A4769" s="12" t="inlineStr">
        <is>
          <t>I-I-0159</t>
        </is>
      </c>
      <c r="B4769" s="12" t="inlineStr">
        <is>
          <t>I</t>
        </is>
      </c>
      <c r="C4769" s="12" t="inlineStr">
        <is>
          <t>Modular / portable power</t>
        </is>
      </c>
      <c r="D4769" s="12" t="inlineStr">
        <is>
          <t>Thermocouples</t>
        </is>
      </c>
      <c r="E4769" s="12" t="inlineStr">
        <is>
          <t>PAD-EH</t>
        </is>
      </c>
      <c r="F4769" s="12" t="inlineStr">
        <is>
          <t>PAD-EH 13.8 kV switchgear e-house</t>
        </is>
      </c>
      <c r="G4769" s="12" t="inlineStr">
        <is>
          <t>GB-5.3</t>
        </is>
      </c>
      <c r="H4769" s="12" t="inlineStr">
        <is>
          <t>GB-5.3: modular gas genset ~450 kW, 480 V (block 5)</t>
        </is>
      </c>
      <c r="I4769" s="12" t="inlineStr">
        <is>
          <t>Instrumentation</t>
        </is>
      </c>
      <c r="J4769" s="12" t="inlineStr">
        <is>
          <t>Thermocouple extension KX, #16 shielded pairs, PLTC</t>
        </is>
      </c>
      <c r="K4769" s="12" t="inlineStr">
        <is>
          <t>TCX|12 pr|16</t>
        </is>
      </c>
      <c r="L4769" s="12" t="inlineStr">
        <is>
          <t>12 pr</t>
        </is>
      </c>
      <c r="M4769" s="12" t="inlineStr">
        <is>
          <t>16</t>
        </is>
      </c>
      <c r="N4769" s="12" t="n">
        <v>1</v>
      </c>
      <c r="O4769" s="12" t="n">
        <v>1</v>
      </c>
      <c r="P4769" s="12" t="n"/>
      <c r="Q4769" s="12" t="n"/>
      <c r="R4769" s="12" t="n"/>
      <c r="S4769" s="12" t="inlineStr">
        <is>
          <t>Surface</t>
        </is>
      </c>
      <c r="T4769" s="17" t="n">
        <v>269</v>
      </c>
      <c r="U4769" s="17" t="n">
        <v>35</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I-I-0160</t>
        </is>
      </c>
      <c r="B4770" s="12" t="inlineStr">
        <is>
          <t>I</t>
        </is>
      </c>
      <c r="C4770" s="12" t="inlineStr">
        <is>
          <t>Modular / portable power</t>
        </is>
      </c>
      <c r="D4770" s="12" t="inlineStr">
        <is>
          <t>Instrumentation</t>
        </is>
      </c>
      <c r="E4770" s="12" t="inlineStr">
        <is>
          <t>PAD-EH</t>
        </is>
      </c>
      <c r="F4770" s="12" t="inlineStr">
        <is>
          <t>PAD-EH 13.8 kV switchgear e-house</t>
        </is>
      </c>
      <c r="G4770" s="12" t="inlineStr">
        <is>
          <t>GB-5.4</t>
        </is>
      </c>
      <c r="H4770" s="12" t="inlineStr">
        <is>
          <t>GB-5.4: modular gas genset ~450 kW, 480 V (block 5)</t>
        </is>
      </c>
      <c r="I4770" s="12" t="inlineStr">
        <is>
          <t>Instrumentation</t>
        </is>
      </c>
      <c r="J4770" s="12" t="inlineStr">
        <is>
          <t>Instrumentation PLTC / TC-ER 300 V, #18 twisted shielded pairs, overall shield</t>
        </is>
      </c>
      <c r="K4770" s="12" t="inlineStr">
        <is>
          <t>PLTC|4 pr|18</t>
        </is>
      </c>
      <c r="L4770" s="12" t="inlineStr">
        <is>
          <t>4 pr</t>
        </is>
      </c>
      <c r="M4770" s="12" t="inlineStr">
        <is>
          <t>18</t>
        </is>
      </c>
      <c r="N4770" s="12" t="n">
        <v>1</v>
      </c>
      <c r="O4770" s="12" t="n">
        <v>1</v>
      </c>
      <c r="P4770" s="12" t="n"/>
      <c r="Q4770" s="12" t="n"/>
      <c r="R4770" s="12" t="n"/>
      <c r="S4770" s="12" t="inlineStr">
        <is>
          <t>Surface</t>
        </is>
      </c>
      <c r="T4770" s="17" t="n">
        <v>272</v>
      </c>
      <c r="U4770" s="17" t="n">
        <v>39</v>
      </c>
      <c r="V4770" s="17">
        <f>ROUNDUP((T4770+U4770+2*'Read Me'!$B$13)*(1+'Read Me'!$B$12),-1)</f>
        <v/>
      </c>
      <c r="W4770" s="17">
        <f>V4770*N4770*O4770</f>
        <v/>
      </c>
      <c r="X4770" s="12">
        <f>IF(LEFT(I4770,2)="MV",2*N4770*IF(L4770="1/C",O4770,1),0)</f>
        <v/>
      </c>
      <c r="Y4770" s="12">
        <f>IF(OR(LEFT(K4770,4)="LVAX",LEFT(K4770,6)="MV15AX",LEFT(K4770,4)="CTAX",LEFT(K4770,2)="W|"),2*N4770*O4770,0)</f>
        <v/>
      </c>
      <c r="Z4770" s="12" t="inlineStr"/>
      <c r="AA4770" s="12">
        <f>N4770*O4770</f>
        <v/>
      </c>
    </row>
    <row r="4771">
      <c r="A4771" s="12" t="inlineStr">
        <is>
          <t>I-I-0161</t>
        </is>
      </c>
      <c r="B4771" s="12" t="inlineStr">
        <is>
          <t>I</t>
        </is>
      </c>
      <c r="C4771" s="12" t="inlineStr">
        <is>
          <t>Modular / portable power</t>
        </is>
      </c>
      <c r="D4771" s="12" t="inlineStr">
        <is>
          <t>Thermocouples</t>
        </is>
      </c>
      <c r="E4771" s="12" t="inlineStr">
        <is>
          <t>PAD-EH</t>
        </is>
      </c>
      <c r="F4771" s="12" t="inlineStr">
        <is>
          <t>PAD-EH 13.8 kV switchgear e-house</t>
        </is>
      </c>
      <c r="G4771" s="12" t="inlineStr">
        <is>
          <t>GB-5.4</t>
        </is>
      </c>
      <c r="H4771" s="12" t="inlineStr">
        <is>
          <t>GB-5.4: modular gas genset ~450 kW, 480 V (block 5)</t>
        </is>
      </c>
      <c r="I4771" s="12" t="inlineStr">
        <is>
          <t>Instrumentation</t>
        </is>
      </c>
      <c r="J4771" s="12" t="inlineStr">
        <is>
          <t>Thermocouple extension KX, #16 shielded pairs, PLTC</t>
        </is>
      </c>
      <c r="K4771" s="12" t="inlineStr">
        <is>
          <t>TCX|12 pr|16</t>
        </is>
      </c>
      <c r="L4771" s="12" t="inlineStr">
        <is>
          <t>12 pr</t>
        </is>
      </c>
      <c r="M4771" s="12" t="inlineStr">
        <is>
          <t>16</t>
        </is>
      </c>
      <c r="N4771" s="12" t="n">
        <v>1</v>
      </c>
      <c r="O4771" s="12" t="n">
        <v>1</v>
      </c>
      <c r="P4771" s="12" t="n"/>
      <c r="Q4771" s="12" t="n"/>
      <c r="R4771" s="12" t="n"/>
      <c r="S4771" s="12" t="inlineStr">
        <is>
          <t>Surface</t>
        </is>
      </c>
      <c r="T4771" s="17" t="n">
        <v>272</v>
      </c>
      <c r="U4771" s="17" t="n">
        <v>39</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I-I-0162</t>
        </is>
      </c>
      <c r="B4772" s="12" t="inlineStr">
        <is>
          <t>I</t>
        </is>
      </c>
      <c r="C4772" s="12" t="inlineStr">
        <is>
          <t>Modular / portable power</t>
        </is>
      </c>
      <c r="D4772" s="12" t="inlineStr">
        <is>
          <t>Thermocouples</t>
        </is>
      </c>
      <c r="E4772" s="12" t="inlineStr">
        <is>
          <t>PAD-EH</t>
        </is>
      </c>
      <c r="F4772" s="12" t="inlineStr">
        <is>
          <t>PAD-EH 13.8 kV switchgear e-house</t>
        </is>
      </c>
      <c r="G4772" s="12" t="inlineStr">
        <is>
          <t>GB-5.4</t>
        </is>
      </c>
      <c r="H4772" s="12" t="inlineStr">
        <is>
          <t>GB-5.4: modular gas genset ~450 kW, 480 V (block 5)</t>
        </is>
      </c>
      <c r="I4772" s="12" t="inlineStr">
        <is>
          <t>Instrumentation</t>
        </is>
      </c>
      <c r="J4772" s="12" t="inlineStr">
        <is>
          <t>Thermocouple extension KX, #16 shielded pairs, PLTC</t>
        </is>
      </c>
      <c r="K4772" s="12" t="inlineStr">
        <is>
          <t>TCX|12 pr|16</t>
        </is>
      </c>
      <c r="L4772" s="12" t="inlineStr">
        <is>
          <t>12 pr</t>
        </is>
      </c>
      <c r="M4772" s="12" t="inlineStr">
        <is>
          <t>16</t>
        </is>
      </c>
      <c r="N4772" s="12" t="n">
        <v>1</v>
      </c>
      <c r="O4772" s="12" t="n">
        <v>1</v>
      </c>
      <c r="P4772" s="12" t="n"/>
      <c r="Q4772" s="12" t="n"/>
      <c r="R4772" s="12" t="n"/>
      <c r="S4772" s="12" t="inlineStr">
        <is>
          <t>Surface</t>
        </is>
      </c>
      <c r="T4772" s="17" t="n">
        <v>272</v>
      </c>
      <c r="U4772" s="17" t="n">
        <v>39</v>
      </c>
      <c r="V4772" s="17">
        <f>ROUNDUP((T4772+U4772+2*'Read Me'!$B$13)*(1+'Read Me'!$B$12),-1)</f>
        <v/>
      </c>
      <c r="W4772" s="17">
        <f>V4772*N4772*O4772</f>
        <v/>
      </c>
      <c r="X4772" s="12">
        <f>IF(LEFT(I4772,2)="MV",2*N4772*IF(L4772="1/C",O4772,1),0)</f>
        <v/>
      </c>
      <c r="Y4772" s="12">
        <f>IF(OR(LEFT(K4772,4)="LVAX",LEFT(K4772,6)="MV15AX",LEFT(K4772,4)="CTAX",LEFT(K4772,2)="W|"),2*N4772*O4772,0)</f>
        <v/>
      </c>
      <c r="Z4772" s="12" t="inlineStr"/>
      <c r="AA4772" s="12">
        <f>N4772*O4772</f>
        <v/>
      </c>
    </row>
    <row r="4773">
      <c r="A4773" s="12" t="inlineStr">
        <is>
          <t>I-I-0163</t>
        </is>
      </c>
      <c r="B4773" s="12" t="inlineStr">
        <is>
          <t>I</t>
        </is>
      </c>
      <c r="C4773" s="12" t="inlineStr">
        <is>
          <t>Modular / portable power</t>
        </is>
      </c>
      <c r="D4773" s="12" t="inlineStr">
        <is>
          <t>Instrumentation</t>
        </is>
      </c>
      <c r="E4773" s="12" t="inlineStr">
        <is>
          <t>PAD-EH</t>
        </is>
      </c>
      <c r="F4773" s="12" t="inlineStr">
        <is>
          <t>PAD-EH 13.8 kV switchgear e-house</t>
        </is>
      </c>
      <c r="G4773" s="12" t="inlineStr">
        <is>
          <t>GB-6.1</t>
        </is>
      </c>
      <c r="H4773" s="12" t="inlineStr">
        <is>
          <t>GB-6.1: modular gas genset ~450 kW, 480 V (block 6)</t>
        </is>
      </c>
      <c r="I4773" s="12" t="inlineStr">
        <is>
          <t>Instrumentation</t>
        </is>
      </c>
      <c r="J4773" s="12" t="inlineStr">
        <is>
          <t>Instrumentation PLTC / TC-ER 300 V, #18 twisted shielded pairs, overall shield</t>
        </is>
      </c>
      <c r="K4773" s="12" t="inlineStr">
        <is>
          <t>PLTC|4 pr|18</t>
        </is>
      </c>
      <c r="L4773" s="12" t="inlineStr">
        <is>
          <t>4 pr</t>
        </is>
      </c>
      <c r="M4773" s="12" t="inlineStr">
        <is>
          <t>18</t>
        </is>
      </c>
      <c r="N4773" s="12" t="n">
        <v>1</v>
      </c>
      <c r="O4773" s="12" t="n">
        <v>1</v>
      </c>
      <c r="P4773" s="12" t="n"/>
      <c r="Q4773" s="12" t="n"/>
      <c r="R4773" s="12" t="n"/>
      <c r="S4773" s="12" t="inlineStr">
        <is>
          <t>Surface</t>
        </is>
      </c>
      <c r="T4773" s="17" t="n">
        <v>330</v>
      </c>
      <c r="U4773" s="17" t="n">
        <v>37</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I-I-0164</t>
        </is>
      </c>
      <c r="B4774" s="12" t="inlineStr">
        <is>
          <t>I</t>
        </is>
      </c>
      <c r="C4774" s="12" t="inlineStr">
        <is>
          <t>Modular / portable power</t>
        </is>
      </c>
      <c r="D4774" s="12" t="inlineStr">
        <is>
          <t>Thermocouples</t>
        </is>
      </c>
      <c r="E4774" s="12" t="inlineStr">
        <is>
          <t>PAD-EH</t>
        </is>
      </c>
      <c r="F4774" s="12" t="inlineStr">
        <is>
          <t>PAD-EH 13.8 kV switchgear e-house</t>
        </is>
      </c>
      <c r="G4774" s="12" t="inlineStr">
        <is>
          <t>GB-6.1</t>
        </is>
      </c>
      <c r="H4774" s="12" t="inlineStr">
        <is>
          <t>GB-6.1: modular gas genset ~450 kW, 480 V (block 6)</t>
        </is>
      </c>
      <c r="I4774" s="12" t="inlineStr">
        <is>
          <t>Instrumentation</t>
        </is>
      </c>
      <c r="J4774" s="12" t="inlineStr">
        <is>
          <t>Thermocouple extension KX, #16 shielded pairs, PLTC</t>
        </is>
      </c>
      <c r="K4774" s="12" t="inlineStr">
        <is>
          <t>TCX|12 pr|16</t>
        </is>
      </c>
      <c r="L4774" s="12" t="inlineStr">
        <is>
          <t>12 pr</t>
        </is>
      </c>
      <c r="M4774" s="12" t="inlineStr">
        <is>
          <t>16</t>
        </is>
      </c>
      <c r="N4774" s="12" t="n">
        <v>1</v>
      </c>
      <c r="O4774" s="12" t="n">
        <v>1</v>
      </c>
      <c r="P4774" s="12" t="n"/>
      <c r="Q4774" s="12" t="n"/>
      <c r="R4774" s="12" t="n"/>
      <c r="S4774" s="12" t="inlineStr">
        <is>
          <t>Surface</t>
        </is>
      </c>
      <c r="T4774" s="17" t="n">
        <v>330</v>
      </c>
      <c r="U4774" s="17" t="n">
        <v>37</v>
      </c>
      <c r="V4774" s="17">
        <f>ROUNDUP((T4774+U4774+2*'Read Me'!$B$13)*(1+'Read Me'!$B$12),-1)</f>
        <v/>
      </c>
      <c r="W4774" s="17">
        <f>V4774*N4774*O4774</f>
        <v/>
      </c>
      <c r="X4774" s="12">
        <f>IF(LEFT(I4774,2)="MV",2*N4774*IF(L4774="1/C",O4774,1),0)</f>
        <v/>
      </c>
      <c r="Y4774" s="12">
        <f>IF(OR(LEFT(K4774,4)="LVAX",LEFT(K4774,6)="MV15AX",LEFT(K4774,4)="CTAX",LEFT(K4774,2)="W|"),2*N4774*O4774,0)</f>
        <v/>
      </c>
      <c r="Z4774" s="12" t="inlineStr"/>
      <c r="AA4774" s="12">
        <f>N4774*O4774</f>
        <v/>
      </c>
    </row>
    <row r="4775">
      <c r="A4775" s="12" t="inlineStr">
        <is>
          <t>I-I-0165</t>
        </is>
      </c>
      <c r="B4775" s="12" t="inlineStr">
        <is>
          <t>I</t>
        </is>
      </c>
      <c r="C4775" s="12" t="inlineStr">
        <is>
          <t>Modular / portable power</t>
        </is>
      </c>
      <c r="D4775" s="12" t="inlineStr">
        <is>
          <t>Thermocouples</t>
        </is>
      </c>
      <c r="E4775" s="12" t="inlineStr">
        <is>
          <t>PAD-EH</t>
        </is>
      </c>
      <c r="F4775" s="12" t="inlineStr">
        <is>
          <t>PAD-EH 13.8 kV switchgear e-house</t>
        </is>
      </c>
      <c r="G4775" s="12" t="inlineStr">
        <is>
          <t>GB-6.1</t>
        </is>
      </c>
      <c r="H4775" s="12" t="inlineStr">
        <is>
          <t>GB-6.1: modular gas genset ~450 kW, 480 V (block 6)</t>
        </is>
      </c>
      <c r="I4775" s="12" t="inlineStr">
        <is>
          <t>Instrumentation</t>
        </is>
      </c>
      <c r="J4775" s="12" t="inlineStr">
        <is>
          <t>Thermocouple extension KX, #16 shielded pairs, PLTC</t>
        </is>
      </c>
      <c r="K4775" s="12" t="inlineStr">
        <is>
          <t>TCX|12 pr|16</t>
        </is>
      </c>
      <c r="L4775" s="12" t="inlineStr">
        <is>
          <t>12 pr</t>
        </is>
      </c>
      <c r="M4775" s="12" t="inlineStr">
        <is>
          <t>16</t>
        </is>
      </c>
      <c r="N4775" s="12" t="n">
        <v>1</v>
      </c>
      <c r="O4775" s="12" t="n">
        <v>1</v>
      </c>
      <c r="P4775" s="12" t="n"/>
      <c r="Q4775" s="12" t="n"/>
      <c r="R4775" s="12" t="n"/>
      <c r="S4775" s="12" t="inlineStr">
        <is>
          <t>Surface</t>
        </is>
      </c>
      <c r="T4775" s="17" t="n">
        <v>330</v>
      </c>
      <c r="U4775" s="17" t="n">
        <v>37</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I-I-0166</t>
        </is>
      </c>
      <c r="B4776" s="12" t="inlineStr">
        <is>
          <t>I</t>
        </is>
      </c>
      <c r="C4776" s="12" t="inlineStr">
        <is>
          <t>Modular / portable power</t>
        </is>
      </c>
      <c r="D4776" s="12" t="inlineStr">
        <is>
          <t>Instrumentation</t>
        </is>
      </c>
      <c r="E4776" s="12" t="inlineStr">
        <is>
          <t>PAD-EH</t>
        </is>
      </c>
      <c r="F4776" s="12" t="inlineStr">
        <is>
          <t>PAD-EH 13.8 kV switchgear e-house</t>
        </is>
      </c>
      <c r="G4776" s="12" t="inlineStr">
        <is>
          <t>GB-6.2</t>
        </is>
      </c>
      <c r="H4776" s="12" t="inlineStr">
        <is>
          <t>GB-6.2: modular gas genset ~450 kW, 480 V (block 6)</t>
        </is>
      </c>
      <c r="I4776" s="12" t="inlineStr">
        <is>
          <t>Instrumentation</t>
        </is>
      </c>
      <c r="J4776" s="12" t="inlineStr">
        <is>
          <t>Instrumentation PLTC / TC-ER 300 V, #18 twisted shielded pairs, overall shield</t>
        </is>
      </c>
      <c r="K4776" s="12" t="inlineStr">
        <is>
          <t>PLTC|4 pr|18</t>
        </is>
      </c>
      <c r="L4776" s="12" t="inlineStr">
        <is>
          <t>4 pr</t>
        </is>
      </c>
      <c r="M4776" s="12" t="inlineStr">
        <is>
          <t>18</t>
        </is>
      </c>
      <c r="N4776" s="12" t="n">
        <v>1</v>
      </c>
      <c r="O4776" s="12" t="n">
        <v>1</v>
      </c>
      <c r="P4776" s="12" t="n"/>
      <c r="Q4776" s="12" t="n"/>
      <c r="R4776" s="12" t="n"/>
      <c r="S4776" s="12" t="inlineStr">
        <is>
          <t>Surface</t>
        </is>
      </c>
      <c r="T4776" s="17" t="n">
        <v>328</v>
      </c>
      <c r="U4776" s="17" t="n">
        <v>32</v>
      </c>
      <c r="V4776" s="17">
        <f>ROUNDUP((T4776+U4776+2*'Read Me'!$B$13)*(1+'Read Me'!$B$12),-1)</f>
        <v/>
      </c>
      <c r="W4776" s="17">
        <f>V4776*N4776*O4776</f>
        <v/>
      </c>
      <c r="X4776" s="12">
        <f>IF(LEFT(I4776,2)="MV",2*N4776*IF(L4776="1/C",O4776,1),0)</f>
        <v/>
      </c>
      <c r="Y4776" s="12">
        <f>IF(OR(LEFT(K4776,4)="LVAX",LEFT(K4776,6)="MV15AX",LEFT(K4776,4)="CTAX",LEFT(K4776,2)="W|"),2*N4776*O4776,0)</f>
        <v/>
      </c>
      <c r="Z4776" s="12" t="inlineStr"/>
      <c r="AA4776" s="12">
        <f>N4776*O4776</f>
        <v/>
      </c>
    </row>
    <row r="4777">
      <c r="A4777" s="12" t="inlineStr">
        <is>
          <t>I-I-0167</t>
        </is>
      </c>
      <c r="B4777" s="12" t="inlineStr">
        <is>
          <t>I</t>
        </is>
      </c>
      <c r="C4777" s="12" t="inlineStr">
        <is>
          <t>Modular / portable power</t>
        </is>
      </c>
      <c r="D4777" s="12" t="inlineStr">
        <is>
          <t>Thermocouples</t>
        </is>
      </c>
      <c r="E4777" s="12" t="inlineStr">
        <is>
          <t>PAD-EH</t>
        </is>
      </c>
      <c r="F4777" s="12" t="inlineStr">
        <is>
          <t>PAD-EH 13.8 kV switchgear e-house</t>
        </is>
      </c>
      <c r="G4777" s="12" t="inlineStr">
        <is>
          <t>GB-6.2</t>
        </is>
      </c>
      <c r="H4777" s="12" t="inlineStr">
        <is>
          <t>GB-6.2: modular gas genset ~450 kW, 480 V (block 6)</t>
        </is>
      </c>
      <c r="I4777" s="12" t="inlineStr">
        <is>
          <t>Instrumentation</t>
        </is>
      </c>
      <c r="J4777" s="12" t="inlineStr">
        <is>
          <t>Thermocouple extension KX, #16 shielded pairs, PLTC</t>
        </is>
      </c>
      <c r="K4777" s="12" t="inlineStr">
        <is>
          <t>TCX|12 pr|16</t>
        </is>
      </c>
      <c r="L4777" s="12" t="inlineStr">
        <is>
          <t>12 pr</t>
        </is>
      </c>
      <c r="M4777" s="12" t="inlineStr">
        <is>
          <t>16</t>
        </is>
      </c>
      <c r="N4777" s="12" t="n">
        <v>1</v>
      </c>
      <c r="O4777" s="12" t="n">
        <v>1</v>
      </c>
      <c r="P4777" s="12" t="n"/>
      <c r="Q4777" s="12" t="n"/>
      <c r="R4777" s="12" t="n"/>
      <c r="S4777" s="12" t="inlineStr">
        <is>
          <t>Surface</t>
        </is>
      </c>
      <c r="T4777" s="17" t="n">
        <v>328</v>
      </c>
      <c r="U4777" s="17" t="n">
        <v>32</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I-I-0168</t>
        </is>
      </c>
      <c r="B4778" s="12" t="inlineStr">
        <is>
          <t>I</t>
        </is>
      </c>
      <c r="C4778" s="12" t="inlineStr">
        <is>
          <t>Modular / portable power</t>
        </is>
      </c>
      <c r="D4778" s="12" t="inlineStr">
        <is>
          <t>Thermocouples</t>
        </is>
      </c>
      <c r="E4778" s="12" t="inlineStr">
        <is>
          <t>PAD-EH</t>
        </is>
      </c>
      <c r="F4778" s="12" t="inlineStr">
        <is>
          <t>PAD-EH 13.8 kV switchgear e-house</t>
        </is>
      </c>
      <c r="G4778" s="12" t="inlineStr">
        <is>
          <t>GB-6.2</t>
        </is>
      </c>
      <c r="H4778" s="12" t="inlineStr">
        <is>
          <t>GB-6.2: modular gas genset ~450 kW, 480 V (block 6)</t>
        </is>
      </c>
      <c r="I4778" s="12" t="inlineStr">
        <is>
          <t>Instrumentation</t>
        </is>
      </c>
      <c r="J4778" s="12" t="inlineStr">
        <is>
          <t>Thermocouple extension KX, #16 shielded pairs, PLTC</t>
        </is>
      </c>
      <c r="K4778" s="12" t="inlineStr">
        <is>
          <t>TCX|12 pr|16</t>
        </is>
      </c>
      <c r="L4778" s="12" t="inlineStr">
        <is>
          <t>12 pr</t>
        </is>
      </c>
      <c r="M4778" s="12" t="inlineStr">
        <is>
          <t>16</t>
        </is>
      </c>
      <c r="N4778" s="12" t="n">
        <v>1</v>
      </c>
      <c r="O4778" s="12" t="n">
        <v>1</v>
      </c>
      <c r="P4778" s="12" t="n"/>
      <c r="Q4778" s="12" t="n"/>
      <c r="R4778" s="12" t="n"/>
      <c r="S4778" s="12" t="inlineStr">
        <is>
          <t>Surface</t>
        </is>
      </c>
      <c r="T4778" s="17" t="n">
        <v>328</v>
      </c>
      <c r="U4778" s="17" t="n">
        <v>32</v>
      </c>
      <c r="V4778" s="17">
        <f>ROUNDUP((T4778+U4778+2*'Read Me'!$B$13)*(1+'Read Me'!$B$12),-1)</f>
        <v/>
      </c>
      <c r="W4778" s="17">
        <f>V4778*N4778*O4778</f>
        <v/>
      </c>
      <c r="X4778" s="12">
        <f>IF(LEFT(I4778,2)="MV",2*N4778*IF(L4778="1/C",O4778,1),0)</f>
        <v/>
      </c>
      <c r="Y4778" s="12">
        <f>IF(OR(LEFT(K4778,4)="LVAX",LEFT(K4778,6)="MV15AX",LEFT(K4778,4)="CTAX",LEFT(K4778,2)="W|"),2*N4778*O4778,0)</f>
        <v/>
      </c>
      <c r="Z4778" s="12" t="inlineStr"/>
      <c r="AA4778" s="12">
        <f>N4778*O4778</f>
        <v/>
      </c>
    </row>
    <row r="4779">
      <c r="A4779" s="12" t="inlineStr">
        <is>
          <t>I-I-0169</t>
        </is>
      </c>
      <c r="B4779" s="12" t="inlineStr">
        <is>
          <t>I</t>
        </is>
      </c>
      <c r="C4779" s="12" t="inlineStr">
        <is>
          <t>Modular / portable power</t>
        </is>
      </c>
      <c r="D4779" s="12" t="inlineStr">
        <is>
          <t>Instrumentation</t>
        </is>
      </c>
      <c r="E4779" s="12" t="inlineStr">
        <is>
          <t>PAD-EH</t>
        </is>
      </c>
      <c r="F4779" s="12" t="inlineStr">
        <is>
          <t>PAD-EH 13.8 kV switchgear e-house</t>
        </is>
      </c>
      <c r="G4779" s="12" t="inlineStr">
        <is>
          <t>GB-6.3</t>
        </is>
      </c>
      <c r="H4779" s="12" t="inlineStr">
        <is>
          <t>GB-6.3: modular gas genset ~450 kW, 480 V (block 6)</t>
        </is>
      </c>
      <c r="I4779" s="12" t="inlineStr">
        <is>
          <t>Instrumentation</t>
        </is>
      </c>
      <c r="J4779" s="12" t="inlineStr">
        <is>
          <t>Instrumentation PLTC / TC-ER 300 V, #18 twisted shielded pairs, overall shield</t>
        </is>
      </c>
      <c r="K4779" s="12" t="inlineStr">
        <is>
          <t>PLTC|4 pr|18</t>
        </is>
      </c>
      <c r="L4779" s="12" t="inlineStr">
        <is>
          <t>4 pr</t>
        </is>
      </c>
      <c r="M4779" s="12" t="inlineStr">
        <is>
          <t>18</t>
        </is>
      </c>
      <c r="N4779" s="12" t="n">
        <v>1</v>
      </c>
      <c r="O4779" s="12" t="n">
        <v>1</v>
      </c>
      <c r="P4779" s="12" t="n"/>
      <c r="Q4779" s="12" t="n"/>
      <c r="R4779" s="12" t="n"/>
      <c r="S4779" s="12" t="inlineStr">
        <is>
          <t>Surface</t>
        </is>
      </c>
      <c r="T4779" s="17" t="n">
        <v>315</v>
      </c>
      <c r="U4779" s="17" t="n">
        <v>35</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I-I-0170</t>
        </is>
      </c>
      <c r="B4780" s="12" t="inlineStr">
        <is>
          <t>I</t>
        </is>
      </c>
      <c r="C4780" s="12" t="inlineStr">
        <is>
          <t>Modular / portable power</t>
        </is>
      </c>
      <c r="D4780" s="12" t="inlineStr">
        <is>
          <t>Thermocouples</t>
        </is>
      </c>
      <c r="E4780" s="12" t="inlineStr">
        <is>
          <t>PAD-EH</t>
        </is>
      </c>
      <c r="F4780" s="12" t="inlineStr">
        <is>
          <t>PAD-EH 13.8 kV switchgear e-house</t>
        </is>
      </c>
      <c r="G4780" s="12" t="inlineStr">
        <is>
          <t>GB-6.3</t>
        </is>
      </c>
      <c r="H4780" s="12" t="inlineStr">
        <is>
          <t>GB-6.3: modular gas genset ~450 kW, 480 V (block 6)</t>
        </is>
      </c>
      <c r="I4780" s="12" t="inlineStr">
        <is>
          <t>Instrumentation</t>
        </is>
      </c>
      <c r="J4780" s="12" t="inlineStr">
        <is>
          <t>Thermocouple extension KX, #16 shielded pairs, PLTC</t>
        </is>
      </c>
      <c r="K4780" s="12" t="inlineStr">
        <is>
          <t>TCX|12 pr|16</t>
        </is>
      </c>
      <c r="L4780" s="12" t="inlineStr">
        <is>
          <t>12 pr</t>
        </is>
      </c>
      <c r="M4780" s="12" t="inlineStr">
        <is>
          <t>16</t>
        </is>
      </c>
      <c r="N4780" s="12" t="n">
        <v>1</v>
      </c>
      <c r="O4780" s="12" t="n">
        <v>1</v>
      </c>
      <c r="P4780" s="12" t="n"/>
      <c r="Q4780" s="12" t="n"/>
      <c r="R4780" s="12" t="n"/>
      <c r="S4780" s="12" t="inlineStr">
        <is>
          <t>Surface</t>
        </is>
      </c>
      <c r="T4780" s="17" t="n">
        <v>315</v>
      </c>
      <c r="U4780" s="17" t="n">
        <v>35</v>
      </c>
      <c r="V4780" s="17">
        <f>ROUNDUP((T4780+U4780+2*'Read Me'!$B$13)*(1+'Read Me'!$B$12),-1)</f>
        <v/>
      </c>
      <c r="W4780" s="17">
        <f>V4780*N4780*O4780</f>
        <v/>
      </c>
      <c r="X4780" s="12">
        <f>IF(LEFT(I4780,2)="MV",2*N4780*IF(L4780="1/C",O4780,1),0)</f>
        <v/>
      </c>
      <c r="Y4780" s="12">
        <f>IF(OR(LEFT(K4780,4)="LVAX",LEFT(K4780,6)="MV15AX",LEFT(K4780,4)="CTAX",LEFT(K4780,2)="W|"),2*N4780*O4780,0)</f>
        <v/>
      </c>
      <c r="Z4780" s="12" t="inlineStr"/>
      <c r="AA4780" s="12">
        <f>N4780*O4780</f>
        <v/>
      </c>
    </row>
    <row r="4781">
      <c r="A4781" s="12" t="inlineStr">
        <is>
          <t>I-I-0171</t>
        </is>
      </c>
      <c r="B4781" s="12" t="inlineStr">
        <is>
          <t>I</t>
        </is>
      </c>
      <c r="C4781" s="12" t="inlineStr">
        <is>
          <t>Modular / portable power</t>
        </is>
      </c>
      <c r="D4781" s="12" t="inlineStr">
        <is>
          <t>Thermocouples</t>
        </is>
      </c>
      <c r="E4781" s="12" t="inlineStr">
        <is>
          <t>PAD-EH</t>
        </is>
      </c>
      <c r="F4781" s="12" t="inlineStr">
        <is>
          <t>PAD-EH 13.8 kV switchgear e-house</t>
        </is>
      </c>
      <c r="G4781" s="12" t="inlineStr">
        <is>
          <t>GB-6.3</t>
        </is>
      </c>
      <c r="H4781" s="12" t="inlineStr">
        <is>
          <t>GB-6.3: modular gas genset ~450 kW, 480 V (block 6)</t>
        </is>
      </c>
      <c r="I4781" s="12" t="inlineStr">
        <is>
          <t>Instrumentation</t>
        </is>
      </c>
      <c r="J4781" s="12" t="inlineStr">
        <is>
          <t>Thermocouple extension KX, #16 shielded pairs, PLTC</t>
        </is>
      </c>
      <c r="K4781" s="12" t="inlineStr">
        <is>
          <t>TCX|12 pr|16</t>
        </is>
      </c>
      <c r="L4781" s="12" t="inlineStr">
        <is>
          <t>12 pr</t>
        </is>
      </c>
      <c r="M4781" s="12" t="inlineStr">
        <is>
          <t>16</t>
        </is>
      </c>
      <c r="N4781" s="12" t="n">
        <v>1</v>
      </c>
      <c r="O4781" s="12" t="n">
        <v>1</v>
      </c>
      <c r="P4781" s="12" t="n"/>
      <c r="Q4781" s="12" t="n"/>
      <c r="R4781" s="12" t="n"/>
      <c r="S4781" s="12" t="inlineStr">
        <is>
          <t>Surface</t>
        </is>
      </c>
      <c r="T4781" s="17" t="n">
        <v>315</v>
      </c>
      <c r="U4781" s="17" t="n">
        <v>35</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I-I-0172</t>
        </is>
      </c>
      <c r="B4782" s="12" t="inlineStr">
        <is>
          <t>I</t>
        </is>
      </c>
      <c r="C4782" s="12" t="inlineStr">
        <is>
          <t>Modular / portable power</t>
        </is>
      </c>
      <c r="D4782" s="12" t="inlineStr">
        <is>
          <t>Instrumentation</t>
        </is>
      </c>
      <c r="E4782" s="12" t="inlineStr">
        <is>
          <t>PAD-EH</t>
        </is>
      </c>
      <c r="F4782" s="12" t="inlineStr">
        <is>
          <t>PAD-EH 13.8 kV switchgear e-house</t>
        </is>
      </c>
      <c r="G4782" s="12" t="inlineStr">
        <is>
          <t>GB-6.4</t>
        </is>
      </c>
      <c r="H4782" s="12" t="inlineStr">
        <is>
          <t>GB-6.4: modular gas genset ~450 kW, 480 V (block 6)</t>
        </is>
      </c>
      <c r="I4782" s="12" t="inlineStr">
        <is>
          <t>Instrumentation</t>
        </is>
      </c>
      <c r="J4782" s="12" t="inlineStr">
        <is>
          <t>Instrumentation PLTC / TC-ER 300 V, #18 twisted shielded pairs, overall shield</t>
        </is>
      </c>
      <c r="K4782" s="12" t="inlineStr">
        <is>
          <t>PLTC|4 pr|18</t>
        </is>
      </c>
      <c r="L4782" s="12" t="inlineStr">
        <is>
          <t>4 pr</t>
        </is>
      </c>
      <c r="M4782" s="12" t="inlineStr">
        <is>
          <t>18</t>
        </is>
      </c>
      <c r="N4782" s="12" t="n">
        <v>1</v>
      </c>
      <c r="O4782" s="12" t="n">
        <v>1</v>
      </c>
      <c r="P4782" s="12" t="n"/>
      <c r="Q4782" s="12" t="n"/>
      <c r="R4782" s="12" t="n"/>
      <c r="S4782" s="12" t="inlineStr">
        <is>
          <t>Surface</t>
        </is>
      </c>
      <c r="T4782" s="17" t="n">
        <v>318</v>
      </c>
      <c r="U4782" s="17" t="n">
        <v>39</v>
      </c>
      <c r="V4782" s="17">
        <f>ROUNDUP((T4782+U4782+2*'Read Me'!$B$13)*(1+'Read Me'!$B$12),-1)</f>
        <v/>
      </c>
      <c r="W4782" s="17">
        <f>V4782*N4782*O4782</f>
        <v/>
      </c>
      <c r="X4782" s="12">
        <f>IF(LEFT(I4782,2)="MV",2*N4782*IF(L4782="1/C",O4782,1),0)</f>
        <v/>
      </c>
      <c r="Y4782" s="12">
        <f>IF(OR(LEFT(K4782,4)="LVAX",LEFT(K4782,6)="MV15AX",LEFT(K4782,4)="CTAX",LEFT(K4782,2)="W|"),2*N4782*O4782,0)</f>
        <v/>
      </c>
      <c r="Z4782" s="12" t="inlineStr"/>
      <c r="AA4782" s="12">
        <f>N4782*O4782</f>
        <v/>
      </c>
    </row>
    <row r="4783">
      <c r="A4783" s="12" t="inlineStr">
        <is>
          <t>I-I-0173</t>
        </is>
      </c>
      <c r="B4783" s="12" t="inlineStr">
        <is>
          <t>I</t>
        </is>
      </c>
      <c r="C4783" s="12" t="inlineStr">
        <is>
          <t>Modular / portable power</t>
        </is>
      </c>
      <c r="D4783" s="12" t="inlineStr">
        <is>
          <t>Thermocouples</t>
        </is>
      </c>
      <c r="E4783" s="12" t="inlineStr">
        <is>
          <t>PAD-EH</t>
        </is>
      </c>
      <c r="F4783" s="12" t="inlineStr">
        <is>
          <t>PAD-EH 13.8 kV switchgear e-house</t>
        </is>
      </c>
      <c r="G4783" s="12" t="inlineStr">
        <is>
          <t>GB-6.4</t>
        </is>
      </c>
      <c r="H4783" s="12" t="inlineStr">
        <is>
          <t>GB-6.4: modular gas genset ~450 kW, 480 V (block 6)</t>
        </is>
      </c>
      <c r="I4783" s="12" t="inlineStr">
        <is>
          <t>Instrumentation</t>
        </is>
      </c>
      <c r="J4783" s="12" t="inlineStr">
        <is>
          <t>Thermocouple extension KX, #16 shielded pairs, PLTC</t>
        </is>
      </c>
      <c r="K4783" s="12" t="inlineStr">
        <is>
          <t>TCX|12 pr|16</t>
        </is>
      </c>
      <c r="L4783" s="12" t="inlineStr">
        <is>
          <t>12 pr</t>
        </is>
      </c>
      <c r="M4783" s="12" t="inlineStr">
        <is>
          <t>16</t>
        </is>
      </c>
      <c r="N4783" s="12" t="n">
        <v>1</v>
      </c>
      <c r="O4783" s="12" t="n">
        <v>1</v>
      </c>
      <c r="P4783" s="12" t="n"/>
      <c r="Q4783" s="12" t="n"/>
      <c r="R4783" s="12" t="n"/>
      <c r="S4783" s="12" t="inlineStr">
        <is>
          <t>Surface</t>
        </is>
      </c>
      <c r="T4783" s="17" t="n">
        <v>318</v>
      </c>
      <c r="U4783" s="17" t="n">
        <v>39</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I-I-0174</t>
        </is>
      </c>
      <c r="B4784" s="12" t="inlineStr">
        <is>
          <t>I</t>
        </is>
      </c>
      <c r="C4784" s="12" t="inlineStr">
        <is>
          <t>Modular / portable power</t>
        </is>
      </c>
      <c r="D4784" s="12" t="inlineStr">
        <is>
          <t>Thermocouples</t>
        </is>
      </c>
      <c r="E4784" s="12" t="inlineStr">
        <is>
          <t>PAD-EH</t>
        </is>
      </c>
      <c r="F4784" s="12" t="inlineStr">
        <is>
          <t>PAD-EH 13.8 kV switchgear e-house</t>
        </is>
      </c>
      <c r="G4784" s="12" t="inlineStr">
        <is>
          <t>GB-6.4</t>
        </is>
      </c>
      <c r="H4784" s="12" t="inlineStr">
        <is>
          <t>GB-6.4: modular gas genset ~450 kW, 480 V (block 6)</t>
        </is>
      </c>
      <c r="I4784" s="12" t="inlineStr">
        <is>
          <t>Instrumentation</t>
        </is>
      </c>
      <c r="J4784" s="12" t="inlineStr">
        <is>
          <t>Thermocouple extension KX, #16 shielded pairs, PLTC</t>
        </is>
      </c>
      <c r="K4784" s="12" t="inlineStr">
        <is>
          <t>TCX|12 pr|16</t>
        </is>
      </c>
      <c r="L4784" s="12" t="inlineStr">
        <is>
          <t>12 pr</t>
        </is>
      </c>
      <c r="M4784" s="12" t="inlineStr">
        <is>
          <t>16</t>
        </is>
      </c>
      <c r="N4784" s="12" t="n">
        <v>1</v>
      </c>
      <c r="O4784" s="12" t="n">
        <v>1</v>
      </c>
      <c r="P4784" s="12" t="n"/>
      <c r="Q4784" s="12" t="n"/>
      <c r="R4784" s="12" t="n"/>
      <c r="S4784" s="12" t="inlineStr">
        <is>
          <t>Surface</t>
        </is>
      </c>
      <c r="T4784" s="17" t="n">
        <v>318</v>
      </c>
      <c r="U4784" s="17" t="n">
        <v>39</v>
      </c>
      <c r="V4784" s="17">
        <f>ROUNDUP((T4784+U4784+2*'Read Me'!$B$13)*(1+'Read Me'!$B$12),-1)</f>
        <v/>
      </c>
      <c r="W4784" s="17">
        <f>V4784*N4784*O4784</f>
        <v/>
      </c>
      <c r="X4784" s="12">
        <f>IF(LEFT(I4784,2)="MV",2*N4784*IF(L4784="1/C",O4784,1),0)</f>
        <v/>
      </c>
      <c r="Y4784" s="12">
        <f>IF(OR(LEFT(K4784,4)="LVAX",LEFT(K4784,6)="MV15AX",LEFT(K4784,4)="CTAX",LEFT(K4784,2)="W|"),2*N4784*O4784,0)</f>
        <v/>
      </c>
      <c r="Z4784" s="12" t="inlineStr"/>
      <c r="AA4784" s="12">
        <f>N4784*O4784</f>
        <v/>
      </c>
    </row>
    <row r="4785">
      <c r="A4785" s="12" t="inlineStr">
        <is>
          <t>I-I-0175</t>
        </is>
      </c>
      <c r="B4785" s="12" t="inlineStr">
        <is>
          <t>I</t>
        </is>
      </c>
      <c r="C4785" s="12" t="inlineStr">
        <is>
          <t>Modular / portable power</t>
        </is>
      </c>
      <c r="D4785" s="12" t="inlineStr">
        <is>
          <t>GB-1.1 instrumentation: gas pressure, temperatures</t>
        </is>
      </c>
      <c r="E4785" s="12" t="inlineStr">
        <is>
          <t>GB-1.1</t>
        </is>
      </c>
      <c r="F4785" s="12" t="inlineStr">
        <is>
          <t>GB-1.1: modular gas genset ~450 kW, 480 V (block 1)</t>
        </is>
      </c>
      <c r="G4785" s="12" t="inlineStr">
        <is>
          <t>GBS-1</t>
        </is>
      </c>
      <c r="H4785" s="12" t="inlineStr">
        <is>
          <t>GBS-1: block 1 480 V paralleling switchgear (4 gensets)</t>
        </is>
      </c>
      <c r="I4785" s="12" t="inlineStr">
        <is>
          <t>Instrumentation</t>
        </is>
      </c>
      <c r="J4785" s="12" t="inlineStr">
        <is>
          <t>Instrumentation ITC / PLTC, IS, #18 shielded pairs, blue jacket</t>
        </is>
      </c>
      <c r="K4785" s="12" t="inlineStr">
        <is>
          <t>ITC|4 pr|18</t>
        </is>
      </c>
      <c r="L4785" s="12" t="inlineStr">
        <is>
          <t>4 pr</t>
        </is>
      </c>
      <c r="M4785" s="12" t="inlineStr">
        <is>
          <t>18</t>
        </is>
      </c>
      <c r="N4785" s="12" t="n">
        <v>1</v>
      </c>
      <c r="O4785" s="12" t="n">
        <v>1</v>
      </c>
      <c r="P4785" s="12" t="n"/>
      <c r="Q4785" s="12" t="n"/>
      <c r="R4785" s="12" t="n"/>
      <c r="S4785" s="12" t="inlineStr">
        <is>
          <t>Riser</t>
        </is>
      </c>
      <c r="T4785" s="17" t="n">
        <v>5</v>
      </c>
      <c r="U4785" s="17" t="n">
        <v>28</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I-I-0176</t>
        </is>
      </c>
      <c r="B4786" s="12" t="inlineStr">
        <is>
          <t>I</t>
        </is>
      </c>
      <c r="C4786" s="12" t="inlineStr">
        <is>
          <t>Modular / portable power</t>
        </is>
      </c>
      <c r="D4786" s="12" t="inlineStr">
        <is>
          <t>GB-1.2 instrumentation: gas pressure, temperatures</t>
        </is>
      </c>
      <c r="E4786" s="12" t="inlineStr">
        <is>
          <t>GB-1.2</t>
        </is>
      </c>
      <c r="F4786" s="12" t="inlineStr">
        <is>
          <t>GB-1.2: modular gas genset ~450 kW, 480 V (block 1)</t>
        </is>
      </c>
      <c r="G4786" s="12" t="inlineStr">
        <is>
          <t>GBS-1</t>
        </is>
      </c>
      <c r="H4786" s="12" t="inlineStr">
        <is>
          <t>GBS-1: block 1 480 V paralleling switchgear (4 gensets)</t>
        </is>
      </c>
      <c r="I4786" s="12" t="inlineStr">
        <is>
          <t>Instrumentation</t>
        </is>
      </c>
      <c r="J4786" s="12" t="inlineStr">
        <is>
          <t>Instrumentation ITC / PLTC, IS, #18 shielded pairs, blue jacket</t>
        </is>
      </c>
      <c r="K4786" s="12" t="inlineStr">
        <is>
          <t>ITC|4 pr|18</t>
        </is>
      </c>
      <c r="L4786" s="12" t="inlineStr">
        <is>
          <t>4 pr</t>
        </is>
      </c>
      <c r="M4786" s="12" t="inlineStr">
        <is>
          <t>18</t>
        </is>
      </c>
      <c r="N4786" s="12" t="n">
        <v>1</v>
      </c>
      <c r="O4786" s="12" t="n">
        <v>1</v>
      </c>
      <c r="P4786" s="12" t="n"/>
      <c r="Q4786" s="12" t="n"/>
      <c r="R4786" s="12" t="n"/>
      <c r="S4786" s="12" t="inlineStr">
        <is>
          <t>Riser</t>
        </is>
      </c>
      <c r="T4786" s="17" t="n">
        <v>7</v>
      </c>
      <c r="U4786" s="17" t="n">
        <v>27</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I-I-0177</t>
        </is>
      </c>
      <c r="B4787" s="12" t="inlineStr">
        <is>
          <t>I</t>
        </is>
      </c>
      <c r="C4787" s="12" t="inlineStr">
        <is>
          <t>Modular / portable power</t>
        </is>
      </c>
      <c r="D4787" s="12" t="inlineStr">
        <is>
          <t>GB-1.3 instrumentation: gas pressure, temperatures</t>
        </is>
      </c>
      <c r="E4787" s="12" t="inlineStr">
        <is>
          <t>GB-1.3</t>
        </is>
      </c>
      <c r="F4787" s="12" t="inlineStr">
        <is>
          <t>GB-1.3: modular gas genset ~450 kW, 480 V (block 1)</t>
        </is>
      </c>
      <c r="G4787" s="12" t="inlineStr">
        <is>
          <t>GBS-1</t>
        </is>
      </c>
      <c r="H4787" s="12" t="inlineStr">
        <is>
          <t>GBS-1: block 1 480 V paralleling switchgear (4 gensets)</t>
        </is>
      </c>
      <c r="I4787" s="12" t="inlineStr">
        <is>
          <t>Instrumentation</t>
        </is>
      </c>
      <c r="J4787" s="12" t="inlineStr">
        <is>
          <t>Instrumentation ITC / PLTC, IS, #18 shielded pairs, blue jacket</t>
        </is>
      </c>
      <c r="K4787" s="12" t="inlineStr">
        <is>
          <t>ITC|4 pr|18</t>
        </is>
      </c>
      <c r="L4787" s="12" t="inlineStr">
        <is>
          <t>4 pr</t>
        </is>
      </c>
      <c r="M4787" s="12" t="inlineStr">
        <is>
          <t>18</t>
        </is>
      </c>
      <c r="N4787" s="12" t="n">
        <v>1</v>
      </c>
      <c r="O4787" s="12" t="n">
        <v>1</v>
      </c>
      <c r="P4787" s="12" t="n"/>
      <c r="Q4787" s="12" t="n"/>
      <c r="R4787" s="12" t="n"/>
      <c r="S4787" s="12" t="inlineStr">
        <is>
          <t>Surface</t>
        </is>
      </c>
      <c r="T4787" s="17" t="n">
        <v>15</v>
      </c>
      <c r="U4787" s="17" t="n">
        <v>32</v>
      </c>
      <c r="V4787" s="17">
        <f>ROUNDUP((T4787+U4787+2*'Read Me'!$B$13)*(1+'Read Me'!$B$12),-1)</f>
        <v/>
      </c>
      <c r="W4787" s="17">
        <f>V4787*N4787*O4787</f>
        <v/>
      </c>
      <c r="X4787" s="12">
        <f>IF(LEFT(I4787,2)="MV",2*N4787*IF(L4787="1/C",O4787,1),0)</f>
        <v/>
      </c>
      <c r="Y4787" s="12">
        <f>IF(OR(LEFT(K4787,4)="LVAX",LEFT(K4787,6)="MV15AX",LEFT(K4787,4)="CTAX",LEFT(K4787,2)="W|"),2*N4787*O4787,0)</f>
        <v/>
      </c>
      <c r="Z4787" s="12" t="inlineStr"/>
      <c r="AA4787" s="12">
        <f>N4787*O4787</f>
        <v/>
      </c>
    </row>
    <row r="4788">
      <c r="A4788" s="12" t="inlineStr">
        <is>
          <t>I-I-0178</t>
        </is>
      </c>
      <c r="B4788" s="12" t="inlineStr">
        <is>
          <t>I</t>
        </is>
      </c>
      <c r="C4788" s="12" t="inlineStr">
        <is>
          <t>Modular / portable power</t>
        </is>
      </c>
      <c r="D4788" s="12" t="inlineStr">
        <is>
          <t>GB-1.4 instrumentation: gas pressure, temperatures</t>
        </is>
      </c>
      <c r="E4788" s="12" t="inlineStr">
        <is>
          <t>GB-1.4</t>
        </is>
      </c>
      <c r="F4788" s="12" t="inlineStr">
        <is>
          <t>GB-1.4: modular gas genset ~450 kW, 480 V (block 1)</t>
        </is>
      </c>
      <c r="G4788" s="12" t="inlineStr">
        <is>
          <t>GBS-1</t>
        </is>
      </c>
      <c r="H4788" s="12" t="inlineStr">
        <is>
          <t>GBS-1: block 1 480 V paralleling switchgear (4 gensets)</t>
        </is>
      </c>
      <c r="I4788" s="12" t="inlineStr">
        <is>
          <t>Instrumentation</t>
        </is>
      </c>
      <c r="J4788" s="12" t="inlineStr">
        <is>
          <t>Instrumentation ITC / PLTC, IS, #18 shielded pairs, blue jacket</t>
        </is>
      </c>
      <c r="K4788" s="12" t="inlineStr">
        <is>
          <t>ITC|4 pr|18</t>
        </is>
      </c>
      <c r="L4788" s="12" t="inlineStr">
        <is>
          <t>4 pr</t>
        </is>
      </c>
      <c r="M4788" s="12" t="inlineStr">
        <is>
          <t>18</t>
        </is>
      </c>
      <c r="N4788" s="12" t="n">
        <v>1</v>
      </c>
      <c r="O4788" s="12" t="n">
        <v>1</v>
      </c>
      <c r="P4788" s="12" t="n"/>
      <c r="Q4788" s="12" t="n"/>
      <c r="R4788" s="12" t="n"/>
      <c r="S4788" s="12" t="inlineStr">
        <is>
          <t>Surface</t>
        </is>
      </c>
      <c r="T4788" s="17" t="n">
        <v>22</v>
      </c>
      <c r="U4788" s="17" t="n">
        <v>32</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I-I-0179</t>
        </is>
      </c>
      <c r="B4789" s="12" t="inlineStr">
        <is>
          <t>I</t>
        </is>
      </c>
      <c r="C4789" s="12" t="inlineStr">
        <is>
          <t>Modular / portable power</t>
        </is>
      </c>
      <c r="D4789" s="12" t="inlineStr">
        <is>
          <t>GB-2.1 instrumentation: gas pressure, temperatures</t>
        </is>
      </c>
      <c r="E4789" s="12" t="inlineStr">
        <is>
          <t>GB-2.1</t>
        </is>
      </c>
      <c r="F4789" s="12" t="inlineStr">
        <is>
          <t>GB-2.1: modular gas genset ~450 kW, 480 V (block 2)</t>
        </is>
      </c>
      <c r="G4789" s="12" t="inlineStr">
        <is>
          <t>GBS-2</t>
        </is>
      </c>
      <c r="H4789" s="12" t="inlineStr">
        <is>
          <t>GBS-2: block 2 480 V paralleling switchgear (4 gensets)</t>
        </is>
      </c>
      <c r="I4789" s="12" t="inlineStr">
        <is>
          <t>Instrumentation</t>
        </is>
      </c>
      <c r="J4789" s="12" t="inlineStr">
        <is>
          <t>Instrumentation ITC / PLTC, IS, #18 shielded pairs, blue jacket</t>
        </is>
      </c>
      <c r="K4789" s="12" t="inlineStr">
        <is>
          <t>ITC|4 pr|18</t>
        </is>
      </c>
      <c r="L4789" s="12" t="inlineStr">
        <is>
          <t>4 pr</t>
        </is>
      </c>
      <c r="M4789" s="12" t="inlineStr">
        <is>
          <t>18</t>
        </is>
      </c>
      <c r="N4789" s="12" t="n">
        <v>1</v>
      </c>
      <c r="O4789" s="12" t="n">
        <v>1</v>
      </c>
      <c r="P4789" s="12" t="n"/>
      <c r="Q4789" s="12" t="n"/>
      <c r="R4789" s="12" t="n"/>
      <c r="S4789" s="12" t="inlineStr">
        <is>
          <t>Riser</t>
        </is>
      </c>
      <c r="T4789" s="17" t="n">
        <v>3</v>
      </c>
      <c r="U4789" s="17" t="n">
        <v>30</v>
      </c>
      <c r="V4789" s="17">
        <f>ROUNDUP((T4789+U4789+2*'Read Me'!$B$13)*(1+'Read Me'!$B$12),-1)</f>
        <v/>
      </c>
      <c r="W4789" s="17">
        <f>V4789*N4789*O4789</f>
        <v/>
      </c>
      <c r="X4789" s="12">
        <f>IF(LEFT(I4789,2)="MV",2*N4789*IF(L4789="1/C",O4789,1),0)</f>
        <v/>
      </c>
      <c r="Y4789" s="12">
        <f>IF(OR(LEFT(K4789,4)="LVAX",LEFT(K4789,6)="MV15AX",LEFT(K4789,4)="CTAX",LEFT(K4789,2)="W|"),2*N4789*O4789,0)</f>
        <v/>
      </c>
      <c r="Z4789" s="12" t="inlineStr"/>
      <c r="AA4789" s="12">
        <f>N4789*O4789</f>
        <v/>
      </c>
    </row>
    <row r="4790">
      <c r="A4790" s="12" t="inlineStr">
        <is>
          <t>I-I-0180</t>
        </is>
      </c>
      <c r="B4790" s="12" t="inlineStr">
        <is>
          <t>I</t>
        </is>
      </c>
      <c r="C4790" s="12" t="inlineStr">
        <is>
          <t>Modular / portable power</t>
        </is>
      </c>
      <c r="D4790" s="12" t="inlineStr">
        <is>
          <t>GB-2.2 instrumentation: gas pressure, temperatures</t>
        </is>
      </c>
      <c r="E4790" s="12" t="inlineStr">
        <is>
          <t>GB-2.2</t>
        </is>
      </c>
      <c r="F4790" s="12" t="inlineStr">
        <is>
          <t>GB-2.2: modular gas genset ~450 kW, 480 V (block 2)</t>
        </is>
      </c>
      <c r="G4790" s="12" t="inlineStr">
        <is>
          <t>GBS-2</t>
        </is>
      </c>
      <c r="H4790" s="12" t="inlineStr">
        <is>
          <t>GBS-2: block 2 480 V paralleling switchgear (4 gensets)</t>
        </is>
      </c>
      <c r="I4790" s="12" t="inlineStr">
        <is>
          <t>Instrumentation</t>
        </is>
      </c>
      <c r="J4790" s="12" t="inlineStr">
        <is>
          <t>Instrumentation ITC / PLTC, IS, #18 shielded pairs, blue jacket</t>
        </is>
      </c>
      <c r="K4790" s="12" t="inlineStr">
        <is>
          <t>ITC|4 pr|18</t>
        </is>
      </c>
      <c r="L4790" s="12" t="inlineStr">
        <is>
          <t>4 pr</t>
        </is>
      </c>
      <c r="M4790" s="12" t="inlineStr">
        <is>
          <t>18</t>
        </is>
      </c>
      <c r="N4790" s="12" t="n">
        <v>1</v>
      </c>
      <c r="O4790" s="12" t="n">
        <v>1</v>
      </c>
      <c r="P4790" s="12" t="n"/>
      <c r="Q4790" s="12" t="n"/>
      <c r="R4790" s="12" t="n"/>
      <c r="S4790" s="12" t="inlineStr">
        <is>
          <t>Riser</t>
        </is>
      </c>
      <c r="T4790" s="17" t="n">
        <v>7</v>
      </c>
      <c r="U4790" s="17" t="n">
        <v>27</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I-I-0181</t>
        </is>
      </c>
      <c r="B4791" s="12" t="inlineStr">
        <is>
          <t>I</t>
        </is>
      </c>
      <c r="C4791" s="12" t="inlineStr">
        <is>
          <t>Modular / portable power</t>
        </is>
      </c>
      <c r="D4791" s="12" t="inlineStr">
        <is>
          <t>GB-2.3 instrumentation: gas pressure, temperatures</t>
        </is>
      </c>
      <c r="E4791" s="12" t="inlineStr">
        <is>
          <t>GB-2.3</t>
        </is>
      </c>
      <c r="F4791" s="12" t="inlineStr">
        <is>
          <t>GB-2.3: modular gas genset ~450 kW, 480 V (block 2)</t>
        </is>
      </c>
      <c r="G4791" s="12" t="inlineStr">
        <is>
          <t>GBS-2</t>
        </is>
      </c>
      <c r="H4791" s="12" t="inlineStr">
        <is>
          <t>GBS-2: block 2 480 V paralleling switchgear (4 gensets)</t>
        </is>
      </c>
      <c r="I4791" s="12" t="inlineStr">
        <is>
          <t>Instrumentation</t>
        </is>
      </c>
      <c r="J4791" s="12" t="inlineStr">
        <is>
          <t>Instrumentation ITC / PLTC, IS, #18 shielded pairs, blue jacket</t>
        </is>
      </c>
      <c r="K4791" s="12" t="inlineStr">
        <is>
          <t>ITC|4 pr|18</t>
        </is>
      </c>
      <c r="L4791" s="12" t="inlineStr">
        <is>
          <t>4 pr</t>
        </is>
      </c>
      <c r="M4791" s="12" t="inlineStr">
        <is>
          <t>18</t>
        </is>
      </c>
      <c r="N4791" s="12" t="n">
        <v>1</v>
      </c>
      <c r="O4791" s="12" t="n">
        <v>1</v>
      </c>
      <c r="P4791" s="12" t="n"/>
      <c r="Q4791" s="12" t="n"/>
      <c r="R4791" s="12" t="n"/>
      <c r="S4791" s="12" t="inlineStr">
        <is>
          <t>Surface</t>
        </is>
      </c>
      <c r="T4791" s="17" t="n">
        <v>15</v>
      </c>
      <c r="U4791" s="17" t="n">
        <v>32</v>
      </c>
      <c r="V4791" s="17">
        <f>ROUNDUP((T4791+U4791+2*'Read Me'!$B$13)*(1+'Read Me'!$B$12),-1)</f>
        <v/>
      </c>
      <c r="W4791" s="17">
        <f>V4791*N4791*O4791</f>
        <v/>
      </c>
      <c r="X4791" s="12">
        <f>IF(LEFT(I4791,2)="MV",2*N4791*IF(L4791="1/C",O4791,1),0)</f>
        <v/>
      </c>
      <c r="Y4791" s="12">
        <f>IF(OR(LEFT(K4791,4)="LVAX",LEFT(K4791,6)="MV15AX",LEFT(K4791,4)="CTAX",LEFT(K4791,2)="W|"),2*N4791*O4791,0)</f>
        <v/>
      </c>
      <c r="Z4791" s="12" t="inlineStr"/>
      <c r="AA4791" s="12">
        <f>N4791*O4791</f>
        <v/>
      </c>
    </row>
    <row r="4792">
      <c r="A4792" s="12" t="inlineStr">
        <is>
          <t>I-I-0182</t>
        </is>
      </c>
      <c r="B4792" s="12" t="inlineStr">
        <is>
          <t>I</t>
        </is>
      </c>
      <c r="C4792" s="12" t="inlineStr">
        <is>
          <t>Modular / portable power</t>
        </is>
      </c>
      <c r="D4792" s="12" t="inlineStr">
        <is>
          <t>GB-2.4 instrumentation: gas pressure, temperatures</t>
        </is>
      </c>
      <c r="E4792" s="12" t="inlineStr">
        <is>
          <t>GB-2.4</t>
        </is>
      </c>
      <c r="F4792" s="12" t="inlineStr">
        <is>
          <t>GB-2.4: modular gas genset ~450 kW, 480 V (block 2)</t>
        </is>
      </c>
      <c r="G4792" s="12" t="inlineStr">
        <is>
          <t>GBS-2</t>
        </is>
      </c>
      <c r="H4792" s="12" t="inlineStr">
        <is>
          <t>GBS-2: block 2 480 V paralleling switchgear (4 gensets)</t>
        </is>
      </c>
      <c r="I4792" s="12" t="inlineStr">
        <is>
          <t>Instrumentation</t>
        </is>
      </c>
      <c r="J4792" s="12" t="inlineStr">
        <is>
          <t>Instrumentation ITC / PLTC, IS, #18 shielded pairs, blue jacket</t>
        </is>
      </c>
      <c r="K4792" s="12" t="inlineStr">
        <is>
          <t>ITC|4 pr|18</t>
        </is>
      </c>
      <c r="L4792" s="12" t="inlineStr">
        <is>
          <t>4 pr</t>
        </is>
      </c>
      <c r="M4792" s="12" t="inlineStr">
        <is>
          <t>18</t>
        </is>
      </c>
      <c r="N4792" s="12" t="n">
        <v>1</v>
      </c>
      <c r="O4792" s="12" t="n">
        <v>1</v>
      </c>
      <c r="P4792" s="12" t="n"/>
      <c r="Q4792" s="12" t="n"/>
      <c r="R4792" s="12" t="n"/>
      <c r="S4792" s="12" t="inlineStr">
        <is>
          <t>Surface</t>
        </is>
      </c>
      <c r="T4792" s="17" t="n">
        <v>22</v>
      </c>
      <c r="U4792" s="17" t="n">
        <v>32</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I-I-0183</t>
        </is>
      </c>
      <c r="B4793" s="12" t="inlineStr">
        <is>
          <t>I</t>
        </is>
      </c>
      <c r="C4793" s="12" t="inlineStr">
        <is>
          <t>Modular / portable power</t>
        </is>
      </c>
      <c r="D4793" s="12" t="inlineStr">
        <is>
          <t>GB-3.1 instrumentation: gas pressure, temperatures</t>
        </is>
      </c>
      <c r="E4793" s="12" t="inlineStr">
        <is>
          <t>GB-3.1</t>
        </is>
      </c>
      <c r="F4793" s="12" t="inlineStr">
        <is>
          <t>GB-3.1: modular gas genset ~450 kW, 480 V (block 3)</t>
        </is>
      </c>
      <c r="G4793" s="12" t="inlineStr">
        <is>
          <t>GBS-3</t>
        </is>
      </c>
      <c r="H4793" s="12" t="inlineStr">
        <is>
          <t>GBS-3: block 3 480 V paralleling switchgear (4 gensets)</t>
        </is>
      </c>
      <c r="I4793" s="12" t="inlineStr">
        <is>
          <t>Instrumentation</t>
        </is>
      </c>
      <c r="J4793" s="12" t="inlineStr">
        <is>
          <t>Instrumentation ITC / PLTC, IS, #18 shielded pairs, blue jacket</t>
        </is>
      </c>
      <c r="K4793" s="12" t="inlineStr">
        <is>
          <t>ITC|4 pr|18</t>
        </is>
      </c>
      <c r="L4793" s="12" t="inlineStr">
        <is>
          <t>4 pr</t>
        </is>
      </c>
      <c r="M4793" s="12" t="inlineStr">
        <is>
          <t>18</t>
        </is>
      </c>
      <c r="N4793" s="12" t="n">
        <v>1</v>
      </c>
      <c r="O4793" s="12" t="n">
        <v>1</v>
      </c>
      <c r="P4793" s="12" t="n"/>
      <c r="Q4793" s="12" t="n"/>
      <c r="R4793" s="12" t="n"/>
      <c r="S4793" s="12" t="inlineStr">
        <is>
          <t>Riser</t>
        </is>
      </c>
      <c r="T4793" s="17" t="n">
        <v>3</v>
      </c>
      <c r="U4793" s="17" t="n">
        <v>30</v>
      </c>
      <c r="V4793" s="17">
        <f>ROUNDUP((T4793+U4793+2*'Read Me'!$B$13)*(1+'Read Me'!$B$12),-1)</f>
        <v/>
      </c>
      <c r="W4793" s="17">
        <f>V4793*N4793*O4793</f>
        <v/>
      </c>
      <c r="X4793" s="12">
        <f>IF(LEFT(I4793,2)="MV",2*N4793*IF(L4793="1/C",O4793,1),0)</f>
        <v/>
      </c>
      <c r="Y4793" s="12">
        <f>IF(OR(LEFT(K4793,4)="LVAX",LEFT(K4793,6)="MV15AX",LEFT(K4793,4)="CTAX",LEFT(K4793,2)="W|"),2*N4793*O4793,0)</f>
        <v/>
      </c>
      <c r="Z4793" s="12" t="inlineStr"/>
      <c r="AA4793" s="12">
        <f>N4793*O4793</f>
        <v/>
      </c>
    </row>
    <row r="4794">
      <c r="A4794" s="12" t="inlineStr">
        <is>
          <t>I-I-0184</t>
        </is>
      </c>
      <c r="B4794" s="12" t="inlineStr">
        <is>
          <t>I</t>
        </is>
      </c>
      <c r="C4794" s="12" t="inlineStr">
        <is>
          <t>Modular / portable power</t>
        </is>
      </c>
      <c r="D4794" s="12" t="inlineStr">
        <is>
          <t>GB-3.2 instrumentation: gas pressure, temperatures</t>
        </is>
      </c>
      <c r="E4794" s="12" t="inlineStr">
        <is>
          <t>GB-3.2</t>
        </is>
      </c>
      <c r="F4794" s="12" t="inlineStr">
        <is>
          <t>GB-3.2: modular gas genset ~450 kW, 480 V (block 3)</t>
        </is>
      </c>
      <c r="G4794" s="12" t="inlineStr">
        <is>
          <t>GBS-3</t>
        </is>
      </c>
      <c r="H4794" s="12" t="inlineStr">
        <is>
          <t>GBS-3: block 3 480 V paralleling switchgear (4 gensets)</t>
        </is>
      </c>
      <c r="I4794" s="12" t="inlineStr">
        <is>
          <t>Instrumentation</t>
        </is>
      </c>
      <c r="J4794" s="12" t="inlineStr">
        <is>
          <t>Instrumentation ITC / PLTC, IS, #18 shielded pairs, blue jacket</t>
        </is>
      </c>
      <c r="K4794" s="12" t="inlineStr">
        <is>
          <t>ITC|4 pr|18</t>
        </is>
      </c>
      <c r="L4794" s="12" t="inlineStr">
        <is>
          <t>4 pr</t>
        </is>
      </c>
      <c r="M4794" s="12" t="inlineStr">
        <is>
          <t>18</t>
        </is>
      </c>
      <c r="N4794" s="12" t="n">
        <v>1</v>
      </c>
      <c r="O4794" s="12" t="n">
        <v>1</v>
      </c>
      <c r="P4794" s="12" t="n"/>
      <c r="Q4794" s="12" t="n"/>
      <c r="R4794" s="12" t="n"/>
      <c r="S4794" s="12" t="inlineStr">
        <is>
          <t>Riser</t>
        </is>
      </c>
      <c r="T4794" s="17" t="n">
        <v>7</v>
      </c>
      <c r="U4794" s="17" t="n">
        <v>27</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I-I-0185</t>
        </is>
      </c>
      <c r="B4795" s="12" t="inlineStr">
        <is>
          <t>I</t>
        </is>
      </c>
      <c r="C4795" s="12" t="inlineStr">
        <is>
          <t>Modular / portable power</t>
        </is>
      </c>
      <c r="D4795" s="12" t="inlineStr">
        <is>
          <t>GB-3.3 instrumentation: gas pressure, temperatures</t>
        </is>
      </c>
      <c r="E4795" s="12" t="inlineStr">
        <is>
          <t>GB-3.3</t>
        </is>
      </c>
      <c r="F4795" s="12" t="inlineStr">
        <is>
          <t>GB-3.3: modular gas genset ~450 kW, 480 V (block 3)</t>
        </is>
      </c>
      <c r="G4795" s="12" t="inlineStr">
        <is>
          <t>GBS-3</t>
        </is>
      </c>
      <c r="H4795" s="12" t="inlineStr">
        <is>
          <t>GBS-3: block 3 480 V paralleling switchgear (4 gensets)</t>
        </is>
      </c>
      <c r="I4795" s="12" t="inlineStr">
        <is>
          <t>Instrumentation</t>
        </is>
      </c>
      <c r="J4795" s="12" t="inlineStr">
        <is>
          <t>Instrumentation ITC / PLTC, IS, #18 shielded pairs, blue jacket</t>
        </is>
      </c>
      <c r="K4795" s="12" t="inlineStr">
        <is>
          <t>ITC|4 pr|18</t>
        </is>
      </c>
      <c r="L4795" s="12" t="inlineStr">
        <is>
          <t>4 pr</t>
        </is>
      </c>
      <c r="M4795" s="12" t="inlineStr">
        <is>
          <t>18</t>
        </is>
      </c>
      <c r="N4795" s="12" t="n">
        <v>1</v>
      </c>
      <c r="O4795" s="12" t="n">
        <v>1</v>
      </c>
      <c r="P4795" s="12" t="n"/>
      <c r="Q4795" s="12" t="n"/>
      <c r="R4795" s="12" t="n"/>
      <c r="S4795" s="12" t="inlineStr">
        <is>
          <t>Surface</t>
        </is>
      </c>
      <c r="T4795" s="17" t="n">
        <v>15</v>
      </c>
      <c r="U4795" s="17" t="n">
        <v>32</v>
      </c>
      <c r="V4795" s="17">
        <f>ROUNDUP((T4795+U4795+2*'Read Me'!$B$13)*(1+'Read Me'!$B$12),-1)</f>
        <v/>
      </c>
      <c r="W4795" s="17">
        <f>V4795*N4795*O4795</f>
        <v/>
      </c>
      <c r="X4795" s="12">
        <f>IF(LEFT(I4795,2)="MV",2*N4795*IF(L4795="1/C",O4795,1),0)</f>
        <v/>
      </c>
      <c r="Y4795" s="12">
        <f>IF(OR(LEFT(K4795,4)="LVAX",LEFT(K4795,6)="MV15AX",LEFT(K4795,4)="CTAX",LEFT(K4795,2)="W|"),2*N4795*O4795,0)</f>
        <v/>
      </c>
      <c r="Z4795" s="12" t="inlineStr"/>
      <c r="AA4795" s="12">
        <f>N4795*O4795</f>
        <v/>
      </c>
    </row>
    <row r="4796">
      <c r="A4796" s="12" t="inlineStr">
        <is>
          <t>I-I-0186</t>
        </is>
      </c>
      <c r="B4796" s="12" t="inlineStr">
        <is>
          <t>I</t>
        </is>
      </c>
      <c r="C4796" s="12" t="inlineStr">
        <is>
          <t>Modular / portable power</t>
        </is>
      </c>
      <c r="D4796" s="12" t="inlineStr">
        <is>
          <t>GB-3.4 instrumentation: gas pressure, temperatures</t>
        </is>
      </c>
      <c r="E4796" s="12" t="inlineStr">
        <is>
          <t>GB-3.4</t>
        </is>
      </c>
      <c r="F4796" s="12" t="inlineStr">
        <is>
          <t>GB-3.4: modular gas genset ~450 kW, 480 V (block 3)</t>
        </is>
      </c>
      <c r="G4796" s="12" t="inlineStr">
        <is>
          <t>GBS-3</t>
        </is>
      </c>
      <c r="H4796" s="12" t="inlineStr">
        <is>
          <t>GBS-3: block 3 480 V paralleling switchgear (4 gensets)</t>
        </is>
      </c>
      <c r="I4796" s="12" t="inlineStr">
        <is>
          <t>Instrumentation</t>
        </is>
      </c>
      <c r="J4796" s="12" t="inlineStr">
        <is>
          <t>Instrumentation ITC / PLTC, IS, #18 shielded pairs, blue jacket</t>
        </is>
      </c>
      <c r="K4796" s="12" t="inlineStr">
        <is>
          <t>ITC|4 pr|18</t>
        </is>
      </c>
      <c r="L4796" s="12" t="inlineStr">
        <is>
          <t>4 pr</t>
        </is>
      </c>
      <c r="M4796" s="12" t="inlineStr">
        <is>
          <t>18</t>
        </is>
      </c>
      <c r="N4796" s="12" t="n">
        <v>1</v>
      </c>
      <c r="O4796" s="12" t="n">
        <v>1</v>
      </c>
      <c r="P4796" s="12" t="n"/>
      <c r="Q4796" s="12" t="n"/>
      <c r="R4796" s="12" t="n"/>
      <c r="S4796" s="12" t="inlineStr">
        <is>
          <t>Surface</t>
        </is>
      </c>
      <c r="T4796" s="17" t="n">
        <v>22</v>
      </c>
      <c r="U4796" s="17" t="n">
        <v>32</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I-I-0187</t>
        </is>
      </c>
      <c r="B4797" s="12" t="inlineStr">
        <is>
          <t>I</t>
        </is>
      </c>
      <c r="C4797" s="12" t="inlineStr">
        <is>
          <t>Modular / portable power</t>
        </is>
      </c>
      <c r="D4797" s="12" t="inlineStr">
        <is>
          <t>GB-4.1 instrumentation: gas pressure, temperatures</t>
        </is>
      </c>
      <c r="E4797" s="12" t="inlineStr">
        <is>
          <t>GB-4.1</t>
        </is>
      </c>
      <c r="F4797" s="12" t="inlineStr">
        <is>
          <t>GB-4.1: modular gas genset ~450 kW, 480 V (block 4)</t>
        </is>
      </c>
      <c r="G4797" s="12" t="inlineStr">
        <is>
          <t>GBS-4</t>
        </is>
      </c>
      <c r="H4797" s="12" t="inlineStr">
        <is>
          <t>GBS-4: block 4 480 V paralleling switchgear (4 gensets)</t>
        </is>
      </c>
      <c r="I4797" s="12" t="inlineStr">
        <is>
          <t>Instrumentation</t>
        </is>
      </c>
      <c r="J4797" s="12" t="inlineStr">
        <is>
          <t>Instrumentation ITC / PLTC, IS, #18 shielded pairs, blue jacket</t>
        </is>
      </c>
      <c r="K4797" s="12" t="inlineStr">
        <is>
          <t>ITC|4 pr|18</t>
        </is>
      </c>
      <c r="L4797" s="12" t="inlineStr">
        <is>
          <t>4 pr</t>
        </is>
      </c>
      <c r="M4797" s="12" t="inlineStr">
        <is>
          <t>18</t>
        </is>
      </c>
      <c r="N4797" s="12" t="n">
        <v>1</v>
      </c>
      <c r="O4797" s="12" t="n">
        <v>1</v>
      </c>
      <c r="P4797" s="12" t="n"/>
      <c r="Q4797" s="12" t="n"/>
      <c r="R4797" s="12" t="n"/>
      <c r="S4797" s="12" t="inlineStr">
        <is>
          <t>Riser</t>
        </is>
      </c>
      <c r="T4797" s="17" t="n">
        <v>3</v>
      </c>
      <c r="U4797" s="17" t="n">
        <v>30</v>
      </c>
      <c r="V4797" s="17">
        <f>ROUNDUP((T4797+U4797+2*'Read Me'!$B$13)*(1+'Read Me'!$B$12),-1)</f>
        <v/>
      </c>
      <c r="W4797" s="17">
        <f>V4797*N4797*O4797</f>
        <v/>
      </c>
      <c r="X4797" s="12">
        <f>IF(LEFT(I4797,2)="MV",2*N4797*IF(L4797="1/C",O4797,1),0)</f>
        <v/>
      </c>
      <c r="Y4797" s="12">
        <f>IF(OR(LEFT(K4797,4)="LVAX",LEFT(K4797,6)="MV15AX",LEFT(K4797,4)="CTAX",LEFT(K4797,2)="W|"),2*N4797*O4797,0)</f>
        <v/>
      </c>
      <c r="Z4797" s="12" t="inlineStr"/>
      <c r="AA4797" s="12">
        <f>N4797*O4797</f>
        <v/>
      </c>
    </row>
    <row r="4798">
      <c r="A4798" s="12" t="inlineStr">
        <is>
          <t>I-I-0188</t>
        </is>
      </c>
      <c r="B4798" s="12" t="inlineStr">
        <is>
          <t>I</t>
        </is>
      </c>
      <c r="C4798" s="12" t="inlineStr">
        <is>
          <t>Modular / portable power</t>
        </is>
      </c>
      <c r="D4798" s="12" t="inlineStr">
        <is>
          <t>GB-4.2 instrumentation: gas pressure, temperatures</t>
        </is>
      </c>
      <c r="E4798" s="12" t="inlineStr">
        <is>
          <t>GB-4.2</t>
        </is>
      </c>
      <c r="F4798" s="12" t="inlineStr">
        <is>
          <t>GB-4.2: modular gas genset ~450 kW, 480 V (block 4)</t>
        </is>
      </c>
      <c r="G4798" s="12" t="inlineStr">
        <is>
          <t>GBS-4</t>
        </is>
      </c>
      <c r="H4798" s="12" t="inlineStr">
        <is>
          <t>GBS-4: block 4 480 V paralleling switchgear (4 gensets)</t>
        </is>
      </c>
      <c r="I4798" s="12" t="inlineStr">
        <is>
          <t>Instrumentation</t>
        </is>
      </c>
      <c r="J4798" s="12" t="inlineStr">
        <is>
          <t>Instrumentation ITC / PLTC, IS, #18 shielded pairs, blue jacket</t>
        </is>
      </c>
      <c r="K4798" s="12" t="inlineStr">
        <is>
          <t>ITC|4 pr|18</t>
        </is>
      </c>
      <c r="L4798" s="12" t="inlineStr">
        <is>
          <t>4 pr</t>
        </is>
      </c>
      <c r="M4798" s="12" t="inlineStr">
        <is>
          <t>18</t>
        </is>
      </c>
      <c r="N4798" s="12" t="n">
        <v>1</v>
      </c>
      <c r="O4798" s="12" t="n">
        <v>1</v>
      </c>
      <c r="P4798" s="12" t="n"/>
      <c r="Q4798" s="12" t="n"/>
      <c r="R4798" s="12" t="n"/>
      <c r="S4798" s="12" t="inlineStr">
        <is>
          <t>Riser</t>
        </is>
      </c>
      <c r="T4798" s="17" t="n">
        <v>7</v>
      </c>
      <c r="U4798" s="17" t="n">
        <v>27</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I-I-0189</t>
        </is>
      </c>
      <c r="B4799" s="12" t="inlineStr">
        <is>
          <t>I</t>
        </is>
      </c>
      <c r="C4799" s="12" t="inlineStr">
        <is>
          <t>Modular / portable power</t>
        </is>
      </c>
      <c r="D4799" s="12" t="inlineStr">
        <is>
          <t>GB-4.3 instrumentation: gas pressure, temperatures</t>
        </is>
      </c>
      <c r="E4799" s="12" t="inlineStr">
        <is>
          <t>GB-4.3</t>
        </is>
      </c>
      <c r="F4799" s="12" t="inlineStr">
        <is>
          <t>GB-4.3: modular gas genset ~450 kW, 480 V (block 4)</t>
        </is>
      </c>
      <c r="G4799" s="12" t="inlineStr">
        <is>
          <t>GBS-4</t>
        </is>
      </c>
      <c r="H4799" s="12" t="inlineStr">
        <is>
          <t>GBS-4: block 4 480 V paralleling switchgear (4 gensets)</t>
        </is>
      </c>
      <c r="I4799" s="12" t="inlineStr">
        <is>
          <t>Instrumentation</t>
        </is>
      </c>
      <c r="J4799" s="12" t="inlineStr">
        <is>
          <t>Instrumentation ITC / PLTC, IS, #18 shielded pairs, blue jacket</t>
        </is>
      </c>
      <c r="K4799" s="12" t="inlineStr">
        <is>
          <t>ITC|4 pr|18</t>
        </is>
      </c>
      <c r="L4799" s="12" t="inlineStr">
        <is>
          <t>4 pr</t>
        </is>
      </c>
      <c r="M4799" s="12" t="inlineStr">
        <is>
          <t>18</t>
        </is>
      </c>
      <c r="N4799" s="12" t="n">
        <v>1</v>
      </c>
      <c r="O4799" s="12" t="n">
        <v>1</v>
      </c>
      <c r="P4799" s="12" t="n"/>
      <c r="Q4799" s="12" t="n"/>
      <c r="R4799" s="12" t="n"/>
      <c r="S4799" s="12" t="inlineStr">
        <is>
          <t>Surface</t>
        </is>
      </c>
      <c r="T4799" s="17" t="n">
        <v>15</v>
      </c>
      <c r="U4799" s="17" t="n">
        <v>32</v>
      </c>
      <c r="V4799" s="17">
        <f>ROUNDUP((T4799+U4799+2*'Read Me'!$B$13)*(1+'Read Me'!$B$12),-1)</f>
        <v/>
      </c>
      <c r="W4799" s="17">
        <f>V4799*N4799*O4799</f>
        <v/>
      </c>
      <c r="X4799" s="12">
        <f>IF(LEFT(I4799,2)="MV",2*N4799*IF(L4799="1/C",O4799,1),0)</f>
        <v/>
      </c>
      <c r="Y4799" s="12">
        <f>IF(OR(LEFT(K4799,4)="LVAX",LEFT(K4799,6)="MV15AX",LEFT(K4799,4)="CTAX",LEFT(K4799,2)="W|"),2*N4799*O4799,0)</f>
        <v/>
      </c>
      <c r="Z4799" s="12" t="inlineStr"/>
      <c r="AA4799" s="12">
        <f>N4799*O4799</f>
        <v/>
      </c>
    </row>
    <row r="4800">
      <c r="A4800" s="12" t="inlineStr">
        <is>
          <t>I-I-0190</t>
        </is>
      </c>
      <c r="B4800" s="12" t="inlineStr">
        <is>
          <t>I</t>
        </is>
      </c>
      <c r="C4800" s="12" t="inlineStr">
        <is>
          <t>Modular / portable power</t>
        </is>
      </c>
      <c r="D4800" s="12" t="inlineStr">
        <is>
          <t>GB-4.4 instrumentation: gas pressure, temperatures</t>
        </is>
      </c>
      <c r="E4800" s="12" t="inlineStr">
        <is>
          <t>GB-4.4</t>
        </is>
      </c>
      <c r="F4800" s="12" t="inlineStr">
        <is>
          <t>GB-4.4: modular gas genset ~450 kW, 480 V (block 4)</t>
        </is>
      </c>
      <c r="G4800" s="12" t="inlineStr">
        <is>
          <t>GBS-4</t>
        </is>
      </c>
      <c r="H4800" s="12" t="inlineStr">
        <is>
          <t>GBS-4: block 4 480 V paralleling switchgear (4 gensets)</t>
        </is>
      </c>
      <c r="I4800" s="12" t="inlineStr">
        <is>
          <t>Instrumentation</t>
        </is>
      </c>
      <c r="J4800" s="12" t="inlineStr">
        <is>
          <t>Instrumentation ITC / PLTC, IS, #18 shielded pairs, blue jacket</t>
        </is>
      </c>
      <c r="K4800" s="12" t="inlineStr">
        <is>
          <t>ITC|4 pr|18</t>
        </is>
      </c>
      <c r="L4800" s="12" t="inlineStr">
        <is>
          <t>4 pr</t>
        </is>
      </c>
      <c r="M4800" s="12" t="inlineStr">
        <is>
          <t>18</t>
        </is>
      </c>
      <c r="N4800" s="12" t="n">
        <v>1</v>
      </c>
      <c r="O4800" s="12" t="n">
        <v>1</v>
      </c>
      <c r="P4800" s="12" t="n"/>
      <c r="Q4800" s="12" t="n"/>
      <c r="R4800" s="12" t="n"/>
      <c r="S4800" s="12" t="inlineStr">
        <is>
          <t>Surface</t>
        </is>
      </c>
      <c r="T4800" s="17" t="n">
        <v>22</v>
      </c>
      <c r="U4800" s="17" t="n">
        <v>32</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I-I-0191</t>
        </is>
      </c>
      <c r="B4801" s="12" t="inlineStr">
        <is>
          <t>I</t>
        </is>
      </c>
      <c r="C4801" s="12" t="inlineStr">
        <is>
          <t>Modular / portable power</t>
        </is>
      </c>
      <c r="D4801" s="12" t="inlineStr">
        <is>
          <t>GB-5.1 instrumentation: gas pressure, temperatures</t>
        </is>
      </c>
      <c r="E4801" s="12" t="inlineStr">
        <is>
          <t>GB-5.1</t>
        </is>
      </c>
      <c r="F4801" s="12" t="inlineStr">
        <is>
          <t>GB-5.1: modular gas genset ~450 kW, 480 V (block 5)</t>
        </is>
      </c>
      <c r="G4801" s="12" t="inlineStr">
        <is>
          <t>GBS-5</t>
        </is>
      </c>
      <c r="H4801" s="12" t="inlineStr">
        <is>
          <t>GBS-5: block 5 480 V paralleling switchgear (4 gensets)</t>
        </is>
      </c>
      <c r="I4801" s="12" t="inlineStr">
        <is>
          <t>Instrumentation</t>
        </is>
      </c>
      <c r="J4801" s="12" t="inlineStr">
        <is>
          <t>Instrumentation ITC / PLTC, IS, #18 shielded pairs, blue jacket</t>
        </is>
      </c>
      <c r="K4801" s="12" t="inlineStr">
        <is>
          <t>ITC|4 pr|18</t>
        </is>
      </c>
      <c r="L4801" s="12" t="inlineStr">
        <is>
          <t>4 pr</t>
        </is>
      </c>
      <c r="M4801" s="12" t="inlineStr">
        <is>
          <t>18</t>
        </is>
      </c>
      <c r="N4801" s="12" t="n">
        <v>1</v>
      </c>
      <c r="O4801" s="12" t="n">
        <v>1</v>
      </c>
      <c r="P4801" s="12" t="n"/>
      <c r="Q4801" s="12" t="n"/>
      <c r="R4801" s="12" t="n"/>
      <c r="S4801" s="12" t="inlineStr">
        <is>
          <t>Riser</t>
        </is>
      </c>
      <c r="T4801" s="17" t="n">
        <v>3</v>
      </c>
      <c r="U4801" s="17" t="n">
        <v>30</v>
      </c>
      <c r="V4801" s="17">
        <f>ROUNDUP((T4801+U4801+2*'Read Me'!$B$13)*(1+'Read Me'!$B$12),-1)</f>
        <v/>
      </c>
      <c r="W4801" s="17">
        <f>V4801*N4801*O4801</f>
        <v/>
      </c>
      <c r="X4801" s="12">
        <f>IF(LEFT(I4801,2)="MV",2*N4801*IF(L4801="1/C",O4801,1),0)</f>
        <v/>
      </c>
      <c r="Y4801" s="12">
        <f>IF(OR(LEFT(K4801,4)="LVAX",LEFT(K4801,6)="MV15AX",LEFT(K4801,4)="CTAX",LEFT(K4801,2)="W|"),2*N4801*O4801,0)</f>
        <v/>
      </c>
      <c r="Z4801" s="12" t="inlineStr"/>
      <c r="AA4801" s="12">
        <f>N4801*O4801</f>
        <v/>
      </c>
    </row>
    <row r="4802">
      <c r="A4802" s="12" t="inlineStr">
        <is>
          <t>I-I-0192</t>
        </is>
      </c>
      <c r="B4802" s="12" t="inlineStr">
        <is>
          <t>I</t>
        </is>
      </c>
      <c r="C4802" s="12" t="inlineStr">
        <is>
          <t>Modular / portable power</t>
        </is>
      </c>
      <c r="D4802" s="12" t="inlineStr">
        <is>
          <t>GB-5.2 instrumentation: gas pressure, temperatures</t>
        </is>
      </c>
      <c r="E4802" s="12" t="inlineStr">
        <is>
          <t>GB-5.2</t>
        </is>
      </c>
      <c r="F4802" s="12" t="inlineStr">
        <is>
          <t>GB-5.2: modular gas genset ~450 kW, 480 V (block 5)</t>
        </is>
      </c>
      <c r="G4802" s="12" t="inlineStr">
        <is>
          <t>GBS-5</t>
        </is>
      </c>
      <c r="H4802" s="12" t="inlineStr">
        <is>
          <t>GBS-5: block 5 480 V paralleling switchgear (4 gensets)</t>
        </is>
      </c>
      <c r="I4802" s="12" t="inlineStr">
        <is>
          <t>Instrumentation</t>
        </is>
      </c>
      <c r="J4802" s="12" t="inlineStr">
        <is>
          <t>Instrumentation ITC / PLTC, IS, #18 shielded pairs, blue jacket</t>
        </is>
      </c>
      <c r="K4802" s="12" t="inlineStr">
        <is>
          <t>ITC|4 pr|18</t>
        </is>
      </c>
      <c r="L4802" s="12" t="inlineStr">
        <is>
          <t>4 pr</t>
        </is>
      </c>
      <c r="M4802" s="12" t="inlineStr">
        <is>
          <t>18</t>
        </is>
      </c>
      <c r="N4802" s="12" t="n">
        <v>1</v>
      </c>
      <c r="O4802" s="12" t="n">
        <v>1</v>
      </c>
      <c r="P4802" s="12" t="n"/>
      <c r="Q4802" s="12" t="n"/>
      <c r="R4802" s="12" t="n"/>
      <c r="S4802" s="12" t="inlineStr">
        <is>
          <t>Riser</t>
        </is>
      </c>
      <c r="T4802" s="17" t="n">
        <v>7</v>
      </c>
      <c r="U4802" s="17" t="n">
        <v>27</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I-I-0193</t>
        </is>
      </c>
      <c r="B4803" s="12" t="inlineStr">
        <is>
          <t>I</t>
        </is>
      </c>
      <c r="C4803" s="12" t="inlineStr">
        <is>
          <t>Modular / portable power</t>
        </is>
      </c>
      <c r="D4803" s="12" t="inlineStr">
        <is>
          <t>GB-5.3 instrumentation: gas pressure, temperatures</t>
        </is>
      </c>
      <c r="E4803" s="12" t="inlineStr">
        <is>
          <t>GB-5.3</t>
        </is>
      </c>
      <c r="F4803" s="12" t="inlineStr">
        <is>
          <t>GB-5.3: modular gas genset ~450 kW, 480 V (block 5)</t>
        </is>
      </c>
      <c r="G4803" s="12" t="inlineStr">
        <is>
          <t>GBS-5</t>
        </is>
      </c>
      <c r="H4803" s="12" t="inlineStr">
        <is>
          <t>GBS-5: block 5 480 V paralleling switchgear (4 gensets)</t>
        </is>
      </c>
      <c r="I4803" s="12" t="inlineStr">
        <is>
          <t>Instrumentation</t>
        </is>
      </c>
      <c r="J4803" s="12" t="inlineStr">
        <is>
          <t>Instrumentation ITC / PLTC, IS, #18 shielded pairs, blue jacket</t>
        </is>
      </c>
      <c r="K4803" s="12" t="inlineStr">
        <is>
          <t>ITC|4 pr|18</t>
        </is>
      </c>
      <c r="L4803" s="12" t="inlineStr">
        <is>
          <t>4 pr</t>
        </is>
      </c>
      <c r="M4803" s="12" t="inlineStr">
        <is>
          <t>18</t>
        </is>
      </c>
      <c r="N4803" s="12" t="n">
        <v>1</v>
      </c>
      <c r="O4803" s="12" t="n">
        <v>1</v>
      </c>
      <c r="P4803" s="12" t="n"/>
      <c r="Q4803" s="12" t="n"/>
      <c r="R4803" s="12" t="n"/>
      <c r="S4803" s="12" t="inlineStr">
        <is>
          <t>Surface</t>
        </is>
      </c>
      <c r="T4803" s="17" t="n">
        <v>15</v>
      </c>
      <c r="U4803" s="17" t="n">
        <v>32</v>
      </c>
      <c r="V4803" s="17">
        <f>ROUNDUP((T4803+U4803+2*'Read Me'!$B$13)*(1+'Read Me'!$B$12),-1)</f>
        <v/>
      </c>
      <c r="W4803" s="17">
        <f>V4803*N4803*O4803</f>
        <v/>
      </c>
      <c r="X4803" s="12">
        <f>IF(LEFT(I4803,2)="MV",2*N4803*IF(L4803="1/C",O4803,1),0)</f>
        <v/>
      </c>
      <c r="Y4803" s="12">
        <f>IF(OR(LEFT(K4803,4)="LVAX",LEFT(K4803,6)="MV15AX",LEFT(K4803,4)="CTAX",LEFT(K4803,2)="W|"),2*N4803*O4803,0)</f>
        <v/>
      </c>
      <c r="Z4803" s="12" t="inlineStr"/>
      <c r="AA4803" s="12">
        <f>N4803*O4803</f>
        <v/>
      </c>
    </row>
    <row r="4804">
      <c r="A4804" s="12" t="inlineStr">
        <is>
          <t>I-I-0194</t>
        </is>
      </c>
      <c r="B4804" s="12" t="inlineStr">
        <is>
          <t>I</t>
        </is>
      </c>
      <c r="C4804" s="12" t="inlineStr">
        <is>
          <t>Modular / portable power</t>
        </is>
      </c>
      <c r="D4804" s="12" t="inlineStr">
        <is>
          <t>GB-5.4 instrumentation: gas pressure, temperatures</t>
        </is>
      </c>
      <c r="E4804" s="12" t="inlineStr">
        <is>
          <t>GB-5.4</t>
        </is>
      </c>
      <c r="F4804" s="12" t="inlineStr">
        <is>
          <t>GB-5.4: modular gas genset ~450 kW, 480 V (block 5)</t>
        </is>
      </c>
      <c r="G4804" s="12" t="inlineStr">
        <is>
          <t>GBS-5</t>
        </is>
      </c>
      <c r="H4804" s="12" t="inlineStr">
        <is>
          <t>GBS-5: block 5 480 V paralleling switchgear (4 gensets)</t>
        </is>
      </c>
      <c r="I4804" s="12" t="inlineStr">
        <is>
          <t>Instrumentation</t>
        </is>
      </c>
      <c r="J4804" s="12" t="inlineStr">
        <is>
          <t>Instrumentation ITC / PLTC, IS, #18 shielded pairs, blue jacket</t>
        </is>
      </c>
      <c r="K4804" s="12" t="inlineStr">
        <is>
          <t>ITC|4 pr|18</t>
        </is>
      </c>
      <c r="L4804" s="12" t="inlineStr">
        <is>
          <t>4 pr</t>
        </is>
      </c>
      <c r="M4804" s="12" t="inlineStr">
        <is>
          <t>18</t>
        </is>
      </c>
      <c r="N4804" s="12" t="n">
        <v>1</v>
      </c>
      <c r="O4804" s="12" t="n">
        <v>1</v>
      </c>
      <c r="P4804" s="12" t="n"/>
      <c r="Q4804" s="12" t="n"/>
      <c r="R4804" s="12" t="n"/>
      <c r="S4804" s="12" t="inlineStr">
        <is>
          <t>Surface</t>
        </is>
      </c>
      <c r="T4804" s="17" t="n">
        <v>22</v>
      </c>
      <c r="U4804" s="17" t="n">
        <v>32</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I-I-0195</t>
        </is>
      </c>
      <c r="B4805" s="12" t="inlineStr">
        <is>
          <t>I</t>
        </is>
      </c>
      <c r="C4805" s="12" t="inlineStr">
        <is>
          <t>Modular / portable power</t>
        </is>
      </c>
      <c r="D4805" s="12" t="inlineStr">
        <is>
          <t>GB-6.1 instrumentation: gas pressure, temperatures</t>
        </is>
      </c>
      <c r="E4805" s="12" t="inlineStr">
        <is>
          <t>GB-6.1</t>
        </is>
      </c>
      <c r="F4805" s="12" t="inlineStr">
        <is>
          <t>GB-6.1: modular gas genset ~450 kW, 480 V (block 6)</t>
        </is>
      </c>
      <c r="G4805" s="12" t="inlineStr">
        <is>
          <t>GBS-6</t>
        </is>
      </c>
      <c r="H4805" s="12" t="inlineStr">
        <is>
          <t>GBS-6: block 6 480 V paralleling switchgear (4 gensets)</t>
        </is>
      </c>
      <c r="I4805" s="12" t="inlineStr">
        <is>
          <t>Instrumentation</t>
        </is>
      </c>
      <c r="J4805" s="12" t="inlineStr">
        <is>
          <t>Instrumentation ITC / PLTC, IS, #18 shielded pairs, blue jacket</t>
        </is>
      </c>
      <c r="K4805" s="12" t="inlineStr">
        <is>
          <t>ITC|4 pr|18</t>
        </is>
      </c>
      <c r="L4805" s="12" t="inlineStr">
        <is>
          <t>4 pr</t>
        </is>
      </c>
      <c r="M4805" s="12" t="inlineStr">
        <is>
          <t>18</t>
        </is>
      </c>
      <c r="N4805" s="12" t="n">
        <v>1</v>
      </c>
      <c r="O4805" s="12" t="n">
        <v>1</v>
      </c>
      <c r="P4805" s="12" t="n"/>
      <c r="Q4805" s="12" t="n"/>
      <c r="R4805" s="12" t="n"/>
      <c r="S4805" s="12" t="inlineStr">
        <is>
          <t>Riser</t>
        </is>
      </c>
      <c r="T4805" s="17" t="n">
        <v>3</v>
      </c>
      <c r="U4805" s="17" t="n">
        <v>30</v>
      </c>
      <c r="V4805" s="17">
        <f>ROUNDUP((T4805+U4805+2*'Read Me'!$B$13)*(1+'Read Me'!$B$12),-1)</f>
        <v/>
      </c>
      <c r="W4805" s="17">
        <f>V4805*N4805*O4805</f>
        <v/>
      </c>
      <c r="X4805" s="12">
        <f>IF(LEFT(I4805,2)="MV",2*N4805*IF(L4805="1/C",O4805,1),0)</f>
        <v/>
      </c>
      <c r="Y4805" s="12">
        <f>IF(OR(LEFT(K4805,4)="LVAX",LEFT(K4805,6)="MV15AX",LEFT(K4805,4)="CTAX",LEFT(K4805,2)="W|"),2*N4805*O4805,0)</f>
        <v/>
      </c>
      <c r="Z4805" s="12" t="inlineStr"/>
      <c r="AA4805" s="12">
        <f>N4805*O4805</f>
        <v/>
      </c>
    </row>
    <row r="4806">
      <c r="A4806" s="12" t="inlineStr">
        <is>
          <t>I-I-0196</t>
        </is>
      </c>
      <c r="B4806" s="12" t="inlineStr">
        <is>
          <t>I</t>
        </is>
      </c>
      <c r="C4806" s="12" t="inlineStr">
        <is>
          <t>Modular / portable power</t>
        </is>
      </c>
      <c r="D4806" s="12" t="inlineStr">
        <is>
          <t>GB-6.2 instrumentation: gas pressure, temperatures</t>
        </is>
      </c>
      <c r="E4806" s="12" t="inlineStr">
        <is>
          <t>GB-6.2</t>
        </is>
      </c>
      <c r="F4806" s="12" t="inlineStr">
        <is>
          <t>GB-6.2: modular gas genset ~450 kW, 480 V (block 6)</t>
        </is>
      </c>
      <c r="G4806" s="12" t="inlineStr">
        <is>
          <t>GBS-6</t>
        </is>
      </c>
      <c r="H4806" s="12" t="inlineStr">
        <is>
          <t>GBS-6: block 6 480 V paralleling switchgear (4 gensets)</t>
        </is>
      </c>
      <c r="I4806" s="12" t="inlineStr">
        <is>
          <t>Instrumentation</t>
        </is>
      </c>
      <c r="J4806" s="12" t="inlineStr">
        <is>
          <t>Instrumentation ITC / PLTC, IS, #18 shielded pairs, blue jacket</t>
        </is>
      </c>
      <c r="K4806" s="12" t="inlineStr">
        <is>
          <t>ITC|4 pr|18</t>
        </is>
      </c>
      <c r="L4806" s="12" t="inlineStr">
        <is>
          <t>4 pr</t>
        </is>
      </c>
      <c r="M4806" s="12" t="inlineStr">
        <is>
          <t>18</t>
        </is>
      </c>
      <c r="N4806" s="12" t="n">
        <v>1</v>
      </c>
      <c r="O4806" s="12" t="n">
        <v>1</v>
      </c>
      <c r="P4806" s="12" t="n"/>
      <c r="Q4806" s="12" t="n"/>
      <c r="R4806" s="12" t="n"/>
      <c r="S4806" s="12" t="inlineStr">
        <is>
          <t>Riser</t>
        </is>
      </c>
      <c r="T4806" s="17" t="n">
        <v>7</v>
      </c>
      <c r="U4806" s="17" t="n">
        <v>27</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I-I-0197</t>
        </is>
      </c>
      <c r="B4807" s="12" t="inlineStr">
        <is>
          <t>I</t>
        </is>
      </c>
      <c r="C4807" s="12" t="inlineStr">
        <is>
          <t>Modular / portable power</t>
        </is>
      </c>
      <c r="D4807" s="12" t="inlineStr">
        <is>
          <t>GB-6.3 instrumentation: gas pressure, temperatures</t>
        </is>
      </c>
      <c r="E4807" s="12" t="inlineStr">
        <is>
          <t>GB-6.3</t>
        </is>
      </c>
      <c r="F4807" s="12" t="inlineStr">
        <is>
          <t>GB-6.3: modular gas genset ~450 kW, 480 V (block 6)</t>
        </is>
      </c>
      <c r="G4807" s="12" t="inlineStr">
        <is>
          <t>GBS-6</t>
        </is>
      </c>
      <c r="H4807" s="12" t="inlineStr">
        <is>
          <t>GBS-6: block 6 480 V paralleling switchgear (4 gensets)</t>
        </is>
      </c>
      <c r="I4807" s="12" t="inlineStr">
        <is>
          <t>Instrumentation</t>
        </is>
      </c>
      <c r="J4807" s="12" t="inlineStr">
        <is>
          <t>Instrumentation ITC / PLTC, IS, #18 shielded pairs, blue jacket</t>
        </is>
      </c>
      <c r="K4807" s="12" t="inlineStr">
        <is>
          <t>ITC|4 pr|18</t>
        </is>
      </c>
      <c r="L4807" s="12" t="inlineStr">
        <is>
          <t>4 pr</t>
        </is>
      </c>
      <c r="M4807" s="12" t="inlineStr">
        <is>
          <t>18</t>
        </is>
      </c>
      <c r="N4807" s="12" t="n">
        <v>1</v>
      </c>
      <c r="O4807" s="12" t="n">
        <v>1</v>
      </c>
      <c r="P4807" s="12" t="n"/>
      <c r="Q4807" s="12" t="n"/>
      <c r="R4807" s="12" t="n"/>
      <c r="S4807" s="12" t="inlineStr">
        <is>
          <t>Surface</t>
        </is>
      </c>
      <c r="T4807" s="17" t="n">
        <v>15</v>
      </c>
      <c r="U4807" s="17" t="n">
        <v>32</v>
      </c>
      <c r="V4807" s="17">
        <f>ROUNDUP((T4807+U4807+2*'Read Me'!$B$13)*(1+'Read Me'!$B$12),-1)</f>
        <v/>
      </c>
      <c r="W4807" s="17">
        <f>V4807*N4807*O4807</f>
        <v/>
      </c>
      <c r="X4807" s="12">
        <f>IF(LEFT(I4807,2)="MV",2*N4807*IF(L4807="1/C",O4807,1),0)</f>
        <v/>
      </c>
      <c r="Y4807" s="12">
        <f>IF(OR(LEFT(K4807,4)="LVAX",LEFT(K4807,6)="MV15AX",LEFT(K4807,4)="CTAX",LEFT(K4807,2)="W|"),2*N4807*O4807,0)</f>
        <v/>
      </c>
      <c r="Z4807" s="12" t="inlineStr"/>
      <c r="AA4807" s="12">
        <f>N4807*O4807</f>
        <v/>
      </c>
    </row>
    <row r="4808">
      <c r="A4808" s="12" t="inlineStr">
        <is>
          <t>I-I-0198</t>
        </is>
      </c>
      <c r="B4808" s="12" t="inlineStr">
        <is>
          <t>I</t>
        </is>
      </c>
      <c r="C4808" s="12" t="inlineStr">
        <is>
          <t>Modular / portable power</t>
        </is>
      </c>
      <c r="D4808" s="12" t="inlineStr">
        <is>
          <t>GB-6.4 instrumentation: gas pressure, temperatures</t>
        </is>
      </c>
      <c r="E4808" s="12" t="inlineStr">
        <is>
          <t>GB-6.4</t>
        </is>
      </c>
      <c r="F4808" s="12" t="inlineStr">
        <is>
          <t>GB-6.4: modular gas genset ~450 kW, 480 V (block 6)</t>
        </is>
      </c>
      <c r="G4808" s="12" t="inlineStr">
        <is>
          <t>GBS-6</t>
        </is>
      </c>
      <c r="H4808" s="12" t="inlineStr">
        <is>
          <t>GBS-6: block 6 480 V paralleling switchgear (4 gensets)</t>
        </is>
      </c>
      <c r="I4808" s="12" t="inlineStr">
        <is>
          <t>Instrumentation</t>
        </is>
      </c>
      <c r="J4808" s="12" t="inlineStr">
        <is>
          <t>Instrumentation ITC / PLTC, IS, #18 shielded pairs, blue jacket</t>
        </is>
      </c>
      <c r="K4808" s="12" t="inlineStr">
        <is>
          <t>ITC|4 pr|18</t>
        </is>
      </c>
      <c r="L4808" s="12" t="inlineStr">
        <is>
          <t>4 pr</t>
        </is>
      </c>
      <c r="M4808" s="12" t="inlineStr">
        <is>
          <t>18</t>
        </is>
      </c>
      <c r="N4808" s="12" t="n">
        <v>1</v>
      </c>
      <c r="O4808" s="12" t="n">
        <v>1</v>
      </c>
      <c r="P4808" s="12" t="n"/>
      <c r="Q4808" s="12" t="n"/>
      <c r="R4808" s="12" t="n"/>
      <c r="S4808" s="12" t="inlineStr">
        <is>
          <t>Surface</t>
        </is>
      </c>
      <c r="T4808" s="17" t="n">
        <v>22</v>
      </c>
      <c r="U4808" s="17" t="n">
        <v>32</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I-I-0199</t>
        </is>
      </c>
      <c r="B4809" s="12" t="inlineStr">
        <is>
          <t>I</t>
        </is>
      </c>
      <c r="C4809" s="12" t="inlineStr">
        <is>
          <t>Modular / portable power</t>
        </is>
      </c>
      <c r="D4809" s="12" t="inlineStr">
        <is>
          <t>Analog instrument to JB JB-GEN-E-AI01: 20 x 1 pr (field cables)</t>
        </is>
      </c>
      <c r="E4809" s="12" t="inlineStr">
        <is>
          <t>GEN-E</t>
        </is>
      </c>
      <c r="F4809" s="12" t="inlineStr">
        <is>
          <t>GEN-E: enclosed industrial gas genset 2 MW</t>
        </is>
      </c>
      <c r="G4809" s="12" t="inlineStr">
        <is>
          <t>JB-GEN-E-AI01</t>
        </is>
      </c>
      <c r="H4809" s="12" t="inlineStr">
        <is>
          <t>GEN-E: enclosed industrial gas genset 2 MW</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7" t="n">
        <v>60</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I-I-0200</t>
        </is>
      </c>
      <c r="B4810" s="12" t="inlineStr">
        <is>
          <t>I</t>
        </is>
      </c>
      <c r="C4810" s="12" t="inlineStr">
        <is>
          <t>Modular / portable power</t>
        </is>
      </c>
      <c r="D4810" s="12" t="inlineStr">
        <is>
          <t>Home run JB-GEN-E-AI01 to the control / marshalling room</t>
        </is>
      </c>
      <c r="E4810" s="12" t="inlineStr">
        <is>
          <t>PAD-EH</t>
        </is>
      </c>
      <c r="F4810" s="12" t="inlineStr">
        <is>
          <t>PAD-EH 13.8 kV switchgear e-house</t>
        </is>
      </c>
      <c r="G4810" s="12" t="inlineStr">
        <is>
          <t>JB-GEN-E-AI01</t>
        </is>
      </c>
      <c r="H4810" s="12" t="inlineStr">
        <is>
          <t>GEN-E: enclosed industrial gas genset 2 MW</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Surface</t>
        </is>
      </c>
      <c r="T4810" s="17" t="n">
        <v>153</v>
      </c>
      <c r="U4810" s="17" t="n">
        <v>32</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I-I-0201</t>
        </is>
      </c>
      <c r="B4811" s="12" t="inlineStr">
        <is>
          <t>I</t>
        </is>
      </c>
      <c r="C4811" s="12" t="inlineStr">
        <is>
          <t>Modular / portable power</t>
        </is>
      </c>
      <c r="D4811" s="12" t="inlineStr">
        <is>
          <t>Discrete device to JB JB-GEN-E-DI01: 20 x 1 pr (field cables)</t>
        </is>
      </c>
      <c r="E4811" s="12" t="inlineStr">
        <is>
          <t>GEN-E</t>
        </is>
      </c>
      <c r="F4811" s="12" t="inlineStr">
        <is>
          <t>GEN-E: enclosed industrial gas genset 2 MW</t>
        </is>
      </c>
      <c r="G4811" s="12" t="inlineStr">
        <is>
          <t>JB-GEN-E-DI01</t>
        </is>
      </c>
      <c r="H4811" s="12" t="inlineStr">
        <is>
          <t>GEN-E: enclosed industrial gas genset 2 MW</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60</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I-I-0202</t>
        </is>
      </c>
      <c r="B4812" s="12" t="inlineStr">
        <is>
          <t>I</t>
        </is>
      </c>
      <c r="C4812" s="12" t="inlineStr">
        <is>
          <t>Modular / portable power</t>
        </is>
      </c>
      <c r="D4812" s="12" t="inlineStr">
        <is>
          <t>Home run JB-GEN-E-DI01 to the control / marshalling room</t>
        </is>
      </c>
      <c r="E4812" s="12" t="inlineStr">
        <is>
          <t>PAD-EH</t>
        </is>
      </c>
      <c r="F4812" s="12" t="inlineStr">
        <is>
          <t>PAD-EH 13.8 kV switchgear e-house</t>
        </is>
      </c>
      <c r="G4812" s="12" t="inlineStr">
        <is>
          <t>JB-GEN-E-DI01</t>
        </is>
      </c>
      <c r="H4812" s="12" t="inlineStr">
        <is>
          <t>GEN-E: enclosed industrial gas genset 2 MW</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Surface</t>
        </is>
      </c>
      <c r="T4812" s="17" t="n">
        <v>153</v>
      </c>
      <c r="U4812" s="17" t="n">
        <v>32</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I-I-0203</t>
        </is>
      </c>
      <c r="B4813" s="12" t="inlineStr">
        <is>
          <t>I</t>
        </is>
      </c>
      <c r="C4813" s="12" t="inlineStr">
        <is>
          <t>Modular / portable power</t>
        </is>
      </c>
      <c r="D4813" s="12" t="inlineStr">
        <is>
          <t>Analog instrument to JB JB-GEN-O-AI01: 20 x 1 pr (field cables)</t>
        </is>
      </c>
      <c r="E4813" s="12" t="inlineStr">
        <is>
          <t>GEN-O</t>
        </is>
      </c>
      <c r="F4813" s="12" t="inlineStr">
        <is>
          <t>GEN-O: open engine-generator skid</t>
        </is>
      </c>
      <c r="G4813" s="12" t="inlineStr">
        <is>
          <t>JB-GEN-O-AI01</t>
        </is>
      </c>
      <c r="H4813" s="12" t="inlineStr">
        <is>
          <t>GEN-O: open engine-generator skid</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45</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I-I-0204</t>
        </is>
      </c>
      <c r="B4814" s="12" t="inlineStr">
        <is>
          <t>I</t>
        </is>
      </c>
      <c r="C4814" s="12" t="inlineStr">
        <is>
          <t>Modular / portable power</t>
        </is>
      </c>
      <c r="D4814" s="12" t="inlineStr">
        <is>
          <t>Home run JB-GEN-O-AI01 to the control / marshalling room</t>
        </is>
      </c>
      <c r="E4814" s="12" t="inlineStr">
        <is>
          <t>PAD-EH</t>
        </is>
      </c>
      <c r="F4814" s="12" t="inlineStr">
        <is>
          <t>PAD-EH 13.8 kV switchgear e-house</t>
        </is>
      </c>
      <c r="G4814" s="12" t="inlineStr">
        <is>
          <t>JB-GEN-O-AI01</t>
        </is>
      </c>
      <c r="H4814" s="12" t="inlineStr">
        <is>
          <t>GEN-O: open engine-generator skid</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Surface</t>
        </is>
      </c>
      <c r="T4814" s="17" t="n">
        <v>153</v>
      </c>
      <c r="U4814" s="17" t="n">
        <v>79</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I-I-0205</t>
        </is>
      </c>
      <c r="B4815" s="12" t="inlineStr">
        <is>
          <t>I</t>
        </is>
      </c>
      <c r="C4815" s="12" t="inlineStr">
        <is>
          <t>Modular / portable power</t>
        </is>
      </c>
      <c r="D4815" s="12" t="inlineStr">
        <is>
          <t>Discrete device to JB JB-GEN-O-DI01: 20 x 1 pr (field cables)</t>
        </is>
      </c>
      <c r="E4815" s="12" t="inlineStr">
        <is>
          <t>GEN-O</t>
        </is>
      </c>
      <c r="F4815" s="12" t="inlineStr">
        <is>
          <t>GEN-O: open engine-generator skid</t>
        </is>
      </c>
      <c r="G4815" s="12" t="inlineStr">
        <is>
          <t>JB-GEN-O-DI01</t>
        </is>
      </c>
      <c r="H4815" s="12" t="inlineStr">
        <is>
          <t>GEN-O: open engine-generator skid</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45</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I-I-0206</t>
        </is>
      </c>
      <c r="B4816" s="12" t="inlineStr">
        <is>
          <t>I</t>
        </is>
      </c>
      <c r="C4816" s="12" t="inlineStr">
        <is>
          <t>Modular / portable power</t>
        </is>
      </c>
      <c r="D4816" s="12" t="inlineStr">
        <is>
          <t>Home run JB-GEN-O-DI01 to the control / marshalling room</t>
        </is>
      </c>
      <c r="E4816" s="12" t="inlineStr">
        <is>
          <t>PAD-EH</t>
        </is>
      </c>
      <c r="F4816" s="12" t="inlineStr">
        <is>
          <t>PAD-EH 13.8 kV switchgear e-house</t>
        </is>
      </c>
      <c r="G4816" s="12" t="inlineStr">
        <is>
          <t>JB-GEN-O-DI01</t>
        </is>
      </c>
      <c r="H4816" s="12" t="inlineStr">
        <is>
          <t>GEN-O: open engine-generator skid</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Surface</t>
        </is>
      </c>
      <c r="T4816" s="17" t="n">
        <v>153</v>
      </c>
      <c r="U4816" s="17" t="n">
        <v>79</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I-I-0207</t>
        </is>
      </c>
      <c r="B4817" s="12" t="inlineStr">
        <is>
          <t>I</t>
        </is>
      </c>
      <c r="C4817" s="12" t="inlineStr">
        <is>
          <t>Modular / portable power</t>
        </is>
      </c>
      <c r="D4817" s="12" t="inlineStr">
        <is>
          <t>Instrumentation</t>
        </is>
      </c>
      <c r="E4817" s="12" t="inlineStr"/>
      <c r="F4817" s="12" t="inlineStr">
        <is>
          <t>PCM: power control module</t>
        </is>
      </c>
      <c r="G4817" s="12" t="inlineStr"/>
      <c r="H4817" s="12" t="inlineStr">
        <is>
          <t>Gas conditioning skid</t>
        </is>
      </c>
      <c r="I4817" s="12" t="inlineStr">
        <is>
          <t>Instrumentation</t>
        </is>
      </c>
      <c r="J4817" s="12" t="inlineStr">
        <is>
          <t>Instrumentation ITC / PLTC, IS, #18 shielded pairs, blue jacket</t>
        </is>
      </c>
      <c r="K4817" s="12" t="inlineStr">
        <is>
          <t>ITC|4 pr|18</t>
        </is>
      </c>
      <c r="L4817" s="12" t="inlineStr">
        <is>
          <t>4 pr</t>
        </is>
      </c>
      <c r="M4817" s="12" t="inlineStr">
        <is>
          <t>18</t>
        </is>
      </c>
      <c r="N4817" s="12" t="n">
        <v>1</v>
      </c>
      <c r="O4817" s="12" t="n">
        <v>1</v>
      </c>
      <c r="P4817" s="12" t="n"/>
      <c r="Q4817" s="12" t="n"/>
      <c r="R4817" s="12" t="n"/>
      <c r="S4817" s="12" t="inlineStr">
        <is>
          <t>Tray</t>
        </is>
      </c>
      <c r="T4817" s="17" t="n">
        <v>40</v>
      </c>
      <c r="U4817" s="17" t="n">
        <v>94</v>
      </c>
      <c r="V4817" s="17">
        <f>ROUNDUP((T4817+U4817+2*'Read Me'!$B$13)*(1+'Read Me'!$B$12),-1)</f>
        <v/>
      </c>
      <c r="W4817" s="17">
        <f>V4817*N4817*O4817</f>
        <v/>
      </c>
      <c r="X4817" s="12">
        <f>IF(LEFT(I4817,2)="MV",2*N4817*IF(L4817="1/C",O4817,1),0)</f>
        <v/>
      </c>
      <c r="Y4817" s="12">
        <f>IF(OR(LEFT(K4817,4)="LVAX",LEFT(K4817,6)="MV15AX",LEFT(K4817,4)="CTAX",LEFT(K4817,2)="W|"),2*N4817*O4817,0)</f>
        <v/>
      </c>
      <c r="Z4817" s="12" t="inlineStr"/>
      <c r="AA4817" s="12">
        <f>N4817*O4817</f>
        <v/>
      </c>
    </row>
    <row r="4818">
      <c r="A4818" s="12" t="inlineStr">
        <is>
          <t>I-I-0208</t>
        </is>
      </c>
      <c r="B4818" s="12" t="inlineStr">
        <is>
          <t>I</t>
        </is>
      </c>
      <c r="C4818" s="12" t="inlineStr">
        <is>
          <t>Modular / portable power</t>
        </is>
      </c>
      <c r="D4818" s="12" t="inlineStr">
        <is>
          <t>Instrumentation</t>
        </is>
      </c>
      <c r="E4818" s="12" t="inlineStr"/>
      <c r="F4818" s="12" t="inlineStr">
        <is>
          <t>PCM: power control module</t>
        </is>
      </c>
      <c r="G4818" s="12" t="inlineStr"/>
      <c r="H4818" s="12" t="inlineStr">
        <is>
          <t>Gas conditioning skid</t>
        </is>
      </c>
      <c r="I4818" s="12" t="inlineStr">
        <is>
          <t>Instrumentation</t>
        </is>
      </c>
      <c r="J4818" s="12" t="inlineStr">
        <is>
          <t>Instrumentation ITC / PLTC, IS, #18 shielded pairs, blue jacket</t>
        </is>
      </c>
      <c r="K4818" s="12" t="inlineStr">
        <is>
          <t>ITC|12 pr|18</t>
        </is>
      </c>
      <c r="L4818" s="12" t="inlineStr">
        <is>
          <t>12 pr</t>
        </is>
      </c>
      <c r="M4818" s="12" t="inlineStr">
        <is>
          <t>18</t>
        </is>
      </c>
      <c r="N4818" s="12" t="n">
        <v>1</v>
      </c>
      <c r="O4818" s="12" t="n">
        <v>1</v>
      </c>
      <c r="P4818" s="12" t="n"/>
      <c r="Q4818" s="12" t="n"/>
      <c r="R4818" s="12" t="n"/>
      <c r="S4818" s="12" t="inlineStr">
        <is>
          <t>Tray</t>
        </is>
      </c>
      <c r="T4818" s="17" t="n">
        <v>40</v>
      </c>
      <c r="U4818" s="17" t="n">
        <v>94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I-I-0209</t>
        </is>
      </c>
      <c r="B4819" s="12" t="inlineStr">
        <is>
          <t>I</t>
        </is>
      </c>
      <c r="C4819" s="12" t="inlineStr">
        <is>
          <t>Modular / portable power</t>
        </is>
      </c>
      <c r="D4819" s="12" t="inlineStr">
        <is>
          <t>Analog instrument to JB JB-MOB-1-AI01: 20 x 1 pr (field cables)</t>
        </is>
      </c>
      <c r="E4819" s="12" t="inlineStr">
        <is>
          <t>MOB-1</t>
        </is>
      </c>
      <c r="F4819" s="12" t="inlineStr">
        <is>
          <t>MOB-1: trailer genset</t>
        </is>
      </c>
      <c r="G4819" s="12" t="inlineStr">
        <is>
          <t>JB-MOB-1-AI01</t>
        </is>
      </c>
      <c r="H4819" s="12" t="inlineStr">
        <is>
          <t>MOB-1: trailer genset</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61</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I-I-0210</t>
        </is>
      </c>
      <c r="B4820" s="12" t="inlineStr">
        <is>
          <t>I</t>
        </is>
      </c>
      <c r="C4820" s="12" t="inlineStr">
        <is>
          <t>Modular / portable power</t>
        </is>
      </c>
      <c r="D4820" s="12" t="inlineStr">
        <is>
          <t>Home run JB-MOB-1-AI01 to the control / marshalling room</t>
        </is>
      </c>
      <c r="E4820" s="12" t="inlineStr">
        <is>
          <t>PAD-EH</t>
        </is>
      </c>
      <c r="F4820" s="12" t="inlineStr">
        <is>
          <t>PAD-EH 13.8 kV switchgear e-house</t>
        </is>
      </c>
      <c r="G4820" s="12" t="inlineStr">
        <is>
          <t>JB-MOB-1-AI01</t>
        </is>
      </c>
      <c r="H4820" s="12" t="inlineStr">
        <is>
          <t>MOB-1: trailer genset</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Surface</t>
        </is>
      </c>
      <c r="T4820" s="17" t="n">
        <v>374</v>
      </c>
      <c r="U4820" s="17" t="n">
        <v>37</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I-I-0211</t>
        </is>
      </c>
      <c r="B4821" s="12" t="inlineStr">
        <is>
          <t>I</t>
        </is>
      </c>
      <c r="C4821" s="12" t="inlineStr">
        <is>
          <t>Modular / portable power</t>
        </is>
      </c>
      <c r="D4821" s="12" t="inlineStr">
        <is>
          <t>Discrete device to JB JB-MOB-1-DI01: 20 x 1 pr (field cables)</t>
        </is>
      </c>
      <c r="E4821" s="12" t="inlineStr">
        <is>
          <t>MOB-1</t>
        </is>
      </c>
      <c r="F4821" s="12" t="inlineStr">
        <is>
          <t>MOB-1: trailer genset</t>
        </is>
      </c>
      <c r="G4821" s="12" t="inlineStr">
        <is>
          <t>JB-MOB-1-DI01</t>
        </is>
      </c>
      <c r="H4821" s="12" t="inlineStr">
        <is>
          <t>MOB-1: trailer genset</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61</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I-I-0212</t>
        </is>
      </c>
      <c r="B4822" s="12" t="inlineStr">
        <is>
          <t>I</t>
        </is>
      </c>
      <c r="C4822" s="12" t="inlineStr">
        <is>
          <t>Modular / portable power</t>
        </is>
      </c>
      <c r="D4822" s="12" t="inlineStr">
        <is>
          <t>Home run JB-MOB-1-DI01 to the control / marshalling room</t>
        </is>
      </c>
      <c r="E4822" s="12" t="inlineStr">
        <is>
          <t>PAD-EH</t>
        </is>
      </c>
      <c r="F4822" s="12" t="inlineStr">
        <is>
          <t>PAD-EH 13.8 kV switchgear e-house</t>
        </is>
      </c>
      <c r="G4822" s="12" t="inlineStr">
        <is>
          <t>JB-MOB-1-DI01</t>
        </is>
      </c>
      <c r="H4822" s="12" t="inlineStr">
        <is>
          <t>MOB-1: trailer genset</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Surface</t>
        </is>
      </c>
      <c r="T4822" s="17" t="n">
        <v>374</v>
      </c>
      <c r="U4822" s="17" t="n">
        <v>37</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I-I-0213</t>
        </is>
      </c>
      <c r="B4823" s="12" t="inlineStr">
        <is>
          <t>I</t>
        </is>
      </c>
      <c r="C4823" s="12" t="inlineStr">
        <is>
          <t>Modular / portable power</t>
        </is>
      </c>
      <c r="D4823" s="12" t="inlineStr">
        <is>
          <t>Instrumentation</t>
        </is>
      </c>
      <c r="E4823" s="12" t="inlineStr"/>
      <c r="F4823" s="12" t="inlineStr">
        <is>
          <t>PCM: power control module</t>
        </is>
      </c>
      <c r="G4823" s="12" t="inlineStr"/>
      <c r="H4823" s="12" t="inlineStr">
        <is>
          <t>MOD-LV 480 V board + 480 V : 13.8 kV step-up</t>
        </is>
      </c>
      <c r="I4823" s="12" t="inlineStr">
        <is>
          <t>Instrumentation</t>
        </is>
      </c>
      <c r="J4823" s="12" t="inlineStr">
        <is>
          <t>Instrumentation PLTC / TC-ER 300 V, #18 twisted shielded pairs, overall shield</t>
        </is>
      </c>
      <c r="K4823" s="12" t="inlineStr">
        <is>
          <t>PLTC|4 pr|18</t>
        </is>
      </c>
      <c r="L4823" s="12" t="inlineStr">
        <is>
          <t>4 pr</t>
        </is>
      </c>
      <c r="M4823" s="12" t="inlineStr">
        <is>
          <t>18</t>
        </is>
      </c>
      <c r="N4823" s="12" t="n">
        <v>1</v>
      </c>
      <c r="O4823" s="12" t="n">
        <v>1</v>
      </c>
      <c r="P4823" s="12" t="n"/>
      <c r="Q4823" s="12" t="n"/>
      <c r="R4823" s="12" t="n"/>
      <c r="S4823" s="12" t="inlineStr">
        <is>
          <t>Duct bank</t>
        </is>
      </c>
      <c r="T4823" s="17" t="n">
        <v>757</v>
      </c>
      <c r="U4823" s="17" t="n">
        <v>32</v>
      </c>
      <c r="V4823" s="17">
        <f>ROUNDUP((T4823+U4823+2*'Read Me'!$B$13)*(1+'Read Me'!$B$12),-1)</f>
        <v/>
      </c>
      <c r="W4823" s="17">
        <f>V4823*N4823*O4823</f>
        <v/>
      </c>
      <c r="X4823" s="12">
        <f>IF(LEFT(I4823,2)="MV",2*N4823*IF(L4823="1/C",O4823,1),0)</f>
        <v/>
      </c>
      <c r="Y4823" s="12">
        <f>IF(OR(LEFT(K4823,4)="LVAX",LEFT(K4823,6)="MV15AX",LEFT(K4823,4)="CTAX",LEFT(K4823,2)="W|"),2*N4823*O4823,0)</f>
        <v/>
      </c>
      <c r="Z4823" s="12" t="inlineStr"/>
      <c r="AA4823" s="12">
        <f>N4823*O4823</f>
        <v/>
      </c>
    </row>
    <row r="4824">
      <c r="A4824" s="12" t="inlineStr">
        <is>
          <t>I-I-0214</t>
        </is>
      </c>
      <c r="B4824" s="12" t="inlineStr">
        <is>
          <t>I</t>
        </is>
      </c>
      <c r="C4824" s="12" t="inlineStr">
        <is>
          <t>Modular / portable power</t>
        </is>
      </c>
      <c r="D4824" s="12" t="inlineStr">
        <is>
          <t>Analog instrument to JB JB-MT-4-AI01: 6 x 1 pr (field cables)</t>
        </is>
      </c>
      <c r="E4824" s="12" t="inlineStr">
        <is>
          <t>MT-4</t>
        </is>
      </c>
      <c r="F4824" s="12" t="inlineStr">
        <is>
          <t>MT-4: microturbine 1 MW (Capstone C1000 class)</t>
        </is>
      </c>
      <c r="G4824" s="12" t="inlineStr">
        <is>
          <t>JB-MT-4-AI01</t>
        </is>
      </c>
      <c r="H4824" s="12" t="inlineStr">
        <is>
          <t>MT-4: microturbine 1 MW (Capstone C1000 class)</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6</v>
      </c>
      <c r="O4824" s="12" t="n">
        <v>1</v>
      </c>
      <c r="P4824" s="12" t="n"/>
      <c r="Q4824" s="12" t="n"/>
      <c r="R4824" s="12" t="n"/>
      <c r="S4824" s="12" t="inlineStr">
        <is>
          <t>Tray / conduit</t>
        </is>
      </c>
      <c r="T4824" s="17" t="n">
        <v>47</v>
      </c>
      <c r="U4824" s="17" t="n">
        <v>10</v>
      </c>
      <c r="V4824" s="17">
        <f>ROUNDUP((T4824+U4824+2*'Read Me'!$B$13)*(1+'Read Me'!$B$12),-1)</f>
        <v/>
      </c>
      <c r="W4824" s="17">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I-I-0215</t>
        </is>
      </c>
      <c r="B4825" s="12" t="inlineStr">
        <is>
          <t>I</t>
        </is>
      </c>
      <c r="C4825" s="12" t="inlineStr">
        <is>
          <t>Modular / portable power</t>
        </is>
      </c>
      <c r="D4825" s="12" t="inlineStr">
        <is>
          <t>Home run JB-MT-4-AI01 to the control / marshalling room</t>
        </is>
      </c>
      <c r="E4825" s="12" t="inlineStr">
        <is>
          <t>PAD-EH</t>
        </is>
      </c>
      <c r="F4825" s="12" t="inlineStr">
        <is>
          <t>PAD-EH 13.8 kV switchgear e-house</t>
        </is>
      </c>
      <c r="G4825" s="12" t="inlineStr">
        <is>
          <t>JB-MT-4-AI01</t>
        </is>
      </c>
      <c r="H4825" s="12" t="inlineStr">
        <is>
          <t>MT-4: microturbine 1 MW (Capstone C1000 class)</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Surface</t>
        </is>
      </c>
      <c r="T4825" s="17" t="n">
        <v>198</v>
      </c>
      <c r="U4825" s="17" t="n">
        <v>47</v>
      </c>
      <c r="V4825" s="17">
        <f>ROUNDUP((T4825+U4825+2*'Read Me'!$B$13)*(1+'Read Me'!$B$12),-1)</f>
        <v/>
      </c>
      <c r="W4825" s="17">
        <f>V4825*N4825*O4825</f>
        <v/>
      </c>
      <c r="X4825" s="12">
        <f>IF(LEFT(I4825,2)="MV",2*N4825*IF(L4825="1/C",O4825,1),0)</f>
        <v/>
      </c>
      <c r="Y4825" s="12">
        <f>IF(OR(LEFT(K4825,4)="LVAX",LEFT(K4825,6)="MV15AX",LEFT(K4825,4)="CTAX",LEFT(K4825,2)="W|"),2*N4825*O4825,0)</f>
        <v/>
      </c>
      <c r="Z4825" s="12" t="inlineStr"/>
      <c r="AA4825" s="12">
        <f>N4825*O4825</f>
        <v/>
      </c>
    </row>
    <row r="4826">
      <c r="A4826" s="12" t="inlineStr">
        <is>
          <t>I-I-0216</t>
        </is>
      </c>
      <c r="B4826" s="12" t="inlineStr">
        <is>
          <t>I</t>
        </is>
      </c>
      <c r="C4826" s="12" t="inlineStr">
        <is>
          <t>Modular / portable power</t>
        </is>
      </c>
      <c r="D4826" s="12" t="inlineStr">
        <is>
          <t>Discrete device to JB JB-MT-4-DI01: 6 x 1 pr (field cables)</t>
        </is>
      </c>
      <c r="E4826" s="12" t="inlineStr">
        <is>
          <t>MT-4</t>
        </is>
      </c>
      <c r="F4826" s="12" t="inlineStr">
        <is>
          <t>MT-4: microturbine 1 MW (Capstone C1000 class)</t>
        </is>
      </c>
      <c r="G4826" s="12" t="inlineStr">
        <is>
          <t>JB-MT-4-DI01</t>
        </is>
      </c>
      <c r="H4826" s="12" t="inlineStr">
        <is>
          <t>MT-4: microturbine 1 MW (Capstone C1000 class)</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6</v>
      </c>
      <c r="O4826" s="12" t="n">
        <v>1</v>
      </c>
      <c r="P4826" s="12" t="n"/>
      <c r="Q4826" s="12" t="n"/>
      <c r="R4826" s="12" t="n"/>
      <c r="S4826" s="12" t="inlineStr">
        <is>
          <t>Tray / conduit</t>
        </is>
      </c>
      <c r="T4826" s="17" t="n">
        <v>47</v>
      </c>
      <c r="U4826" s="17" t="n">
        <v>10</v>
      </c>
      <c r="V4826" s="17">
        <f>ROUNDUP((T4826+U4826+2*'Read Me'!$B$13)*(1+'Read Me'!$B$12),-1)</f>
        <v/>
      </c>
      <c r="W4826" s="17">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I-I-0217</t>
        </is>
      </c>
      <c r="B4827" s="12" t="inlineStr">
        <is>
          <t>I</t>
        </is>
      </c>
      <c r="C4827" s="12" t="inlineStr">
        <is>
          <t>Modular / portable power</t>
        </is>
      </c>
      <c r="D4827" s="12" t="inlineStr">
        <is>
          <t>Home run JB-MT-4-DI01 to the control / marshalling room</t>
        </is>
      </c>
      <c r="E4827" s="12" t="inlineStr">
        <is>
          <t>PAD-EH</t>
        </is>
      </c>
      <c r="F4827" s="12" t="inlineStr">
        <is>
          <t>PAD-EH 13.8 kV switchgear e-house</t>
        </is>
      </c>
      <c r="G4827" s="12" t="inlineStr">
        <is>
          <t>JB-MT-4-DI01</t>
        </is>
      </c>
      <c r="H4827" s="12" t="inlineStr">
        <is>
          <t>MT-4: microturbine 1 MW (Capstone C1000 class)</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Surface</t>
        </is>
      </c>
      <c r="T4827" s="17" t="n">
        <v>198</v>
      </c>
      <c r="U4827" s="17" t="n">
        <v>47</v>
      </c>
      <c r="V4827" s="17">
        <f>ROUNDUP((T4827+U4827+2*'Read Me'!$B$13)*(1+'Read Me'!$B$12),-1)</f>
        <v/>
      </c>
      <c r="W4827" s="17">
        <f>V4827*N4827*O4827</f>
        <v/>
      </c>
      <c r="X4827" s="12">
        <f>IF(LEFT(I4827,2)="MV",2*N4827*IF(L4827="1/C",O4827,1),0)</f>
        <v/>
      </c>
      <c r="Y4827" s="12">
        <f>IF(OR(LEFT(K4827,4)="LVAX",LEFT(K4827,6)="MV15AX",LEFT(K4827,4)="CTAX",LEFT(K4827,2)="W|"),2*N4827*O4827,0)</f>
        <v/>
      </c>
      <c r="Z4827" s="12" t="inlineStr"/>
      <c r="AA4827" s="12">
        <f>N4827*O4827</f>
        <v/>
      </c>
    </row>
    <row r="4828">
      <c r="A4828" s="12" t="inlineStr">
        <is>
          <t>I-I-0218</t>
        </is>
      </c>
      <c r="B4828" s="12" t="inlineStr">
        <is>
          <t>I</t>
        </is>
      </c>
      <c r="C4828" s="12" t="inlineStr">
        <is>
          <t>Modular / portable power</t>
        </is>
      </c>
      <c r="D4828" s="12" t="inlineStr">
        <is>
          <t>Analog instrument to JB JB-MT-5-AI01: 6 x 1 pr (field cables)</t>
        </is>
      </c>
      <c r="E4828" s="12" t="inlineStr">
        <is>
          <t>MT-5</t>
        </is>
      </c>
      <c r="F4828" s="12" t="inlineStr">
        <is>
          <t>MT-5: microturbine 1 MW (Capstone C1000 class)</t>
        </is>
      </c>
      <c r="G4828" s="12" t="inlineStr">
        <is>
          <t>JB-MT-5-AI01</t>
        </is>
      </c>
      <c r="H4828" s="12" t="inlineStr">
        <is>
          <t>MT-5: microturbine 1 MW (Capstone C1000 class)</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6</v>
      </c>
      <c r="O4828" s="12" t="n">
        <v>1</v>
      </c>
      <c r="P4828" s="12" t="n"/>
      <c r="Q4828" s="12" t="n"/>
      <c r="R4828" s="12" t="n"/>
      <c r="S4828" s="12" t="inlineStr">
        <is>
          <t>Tray / conduit</t>
        </is>
      </c>
      <c r="T4828" s="17" t="n">
        <v>47</v>
      </c>
      <c r="U4828" s="17" t="n">
        <v>10</v>
      </c>
      <c r="V4828" s="17">
        <f>ROUNDUP((T4828+U4828+2*'Read Me'!$B$13)*(1+'Read Me'!$B$12),-1)</f>
        <v/>
      </c>
      <c r="W4828" s="17">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I-I-0219</t>
        </is>
      </c>
      <c r="B4829" s="12" t="inlineStr">
        <is>
          <t>I</t>
        </is>
      </c>
      <c r="C4829" s="12" t="inlineStr">
        <is>
          <t>Modular / portable power</t>
        </is>
      </c>
      <c r="D4829" s="12" t="inlineStr">
        <is>
          <t>Home run JB-MT-5-AI01 to the control / marshalling room</t>
        </is>
      </c>
      <c r="E4829" s="12" t="inlineStr">
        <is>
          <t>PAD-EH</t>
        </is>
      </c>
      <c r="F4829" s="12" t="inlineStr">
        <is>
          <t>PAD-EH 13.8 kV switchgear e-house</t>
        </is>
      </c>
      <c r="G4829" s="12" t="inlineStr">
        <is>
          <t>JB-MT-5-AI01</t>
        </is>
      </c>
      <c r="H4829" s="12" t="inlineStr">
        <is>
          <t>MT-5: microturbine 1 MW (Capstone C1000 class)</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Surface</t>
        </is>
      </c>
      <c r="T4829" s="17" t="n">
        <v>198</v>
      </c>
      <c r="U4829" s="17" t="n">
        <v>37</v>
      </c>
      <c r="V4829" s="17">
        <f>ROUNDUP((T4829+U4829+2*'Read Me'!$B$13)*(1+'Read Me'!$B$12),-1)</f>
        <v/>
      </c>
      <c r="W4829" s="17">
        <f>V4829*N4829*O4829</f>
        <v/>
      </c>
      <c r="X4829" s="12">
        <f>IF(LEFT(I4829,2)="MV",2*N4829*IF(L4829="1/C",O4829,1),0)</f>
        <v/>
      </c>
      <c r="Y4829" s="12">
        <f>IF(OR(LEFT(K4829,4)="LVAX",LEFT(K4829,6)="MV15AX",LEFT(K4829,4)="CTAX",LEFT(K4829,2)="W|"),2*N4829*O4829,0)</f>
        <v/>
      </c>
      <c r="Z4829" s="12" t="inlineStr"/>
      <c r="AA4829" s="12">
        <f>N4829*O4829</f>
        <v/>
      </c>
    </row>
    <row r="4830">
      <c r="A4830" s="12" t="inlineStr">
        <is>
          <t>I-I-0220</t>
        </is>
      </c>
      <c r="B4830" s="12" t="inlineStr">
        <is>
          <t>I</t>
        </is>
      </c>
      <c r="C4830" s="12" t="inlineStr">
        <is>
          <t>Modular / portable power</t>
        </is>
      </c>
      <c r="D4830" s="12" t="inlineStr">
        <is>
          <t>Discrete device to JB JB-MT-5-DI01: 6 x 1 pr (field cables)</t>
        </is>
      </c>
      <c r="E4830" s="12" t="inlineStr">
        <is>
          <t>MT-5</t>
        </is>
      </c>
      <c r="F4830" s="12" t="inlineStr">
        <is>
          <t>MT-5: microturbine 1 MW (Capstone C1000 class)</t>
        </is>
      </c>
      <c r="G4830" s="12" t="inlineStr">
        <is>
          <t>JB-MT-5-DI01</t>
        </is>
      </c>
      <c r="H4830" s="12" t="inlineStr">
        <is>
          <t>MT-5: microturbine 1 MW (Capstone C1000 class)</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6</v>
      </c>
      <c r="O4830" s="12" t="n">
        <v>1</v>
      </c>
      <c r="P4830" s="12" t="n"/>
      <c r="Q4830" s="12" t="n"/>
      <c r="R4830" s="12" t="n"/>
      <c r="S4830" s="12" t="inlineStr">
        <is>
          <t>Tray / conduit</t>
        </is>
      </c>
      <c r="T4830" s="17" t="n">
        <v>47</v>
      </c>
      <c r="U4830" s="17" t="n">
        <v>10</v>
      </c>
      <c r="V4830" s="17">
        <f>ROUNDUP((T4830+U4830+2*'Read Me'!$B$13)*(1+'Read Me'!$B$12),-1)</f>
        <v/>
      </c>
      <c r="W4830" s="17">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I-I-0221</t>
        </is>
      </c>
      <c r="B4831" s="12" t="inlineStr">
        <is>
          <t>I</t>
        </is>
      </c>
      <c r="C4831" s="12" t="inlineStr">
        <is>
          <t>Modular / portable power</t>
        </is>
      </c>
      <c r="D4831" s="12" t="inlineStr">
        <is>
          <t>Home run JB-MT-5-DI01 to the control / marshalling room</t>
        </is>
      </c>
      <c r="E4831" s="12" t="inlineStr">
        <is>
          <t>PAD-EH</t>
        </is>
      </c>
      <c r="F4831" s="12" t="inlineStr">
        <is>
          <t>PAD-EH 13.8 kV switchgear e-house</t>
        </is>
      </c>
      <c r="G4831" s="12" t="inlineStr">
        <is>
          <t>JB-MT-5-DI01</t>
        </is>
      </c>
      <c r="H4831" s="12" t="inlineStr">
        <is>
          <t>MT-5: microturbine 1 MW (Capstone C1000 class)</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Surface</t>
        </is>
      </c>
      <c r="T4831" s="17" t="n">
        <v>198</v>
      </c>
      <c r="U4831" s="17" t="n">
        <v>37</v>
      </c>
      <c r="V4831" s="17">
        <f>ROUNDUP((T4831+U4831+2*'Read Me'!$B$13)*(1+'Read Me'!$B$12),-1)</f>
        <v/>
      </c>
      <c r="W4831" s="17">
        <f>V4831*N4831*O4831</f>
        <v/>
      </c>
      <c r="X4831" s="12">
        <f>IF(LEFT(I4831,2)="MV",2*N4831*IF(L4831="1/C",O4831,1),0)</f>
        <v/>
      </c>
      <c r="Y4831" s="12">
        <f>IF(OR(LEFT(K4831,4)="LVAX",LEFT(K4831,6)="MV15AX",LEFT(K4831,4)="CTAX",LEFT(K4831,2)="W|"),2*N4831*O4831,0)</f>
        <v/>
      </c>
      <c r="Z4831" s="12" t="inlineStr"/>
      <c r="AA4831" s="12">
        <f>N4831*O4831</f>
        <v/>
      </c>
    </row>
    <row r="4832">
      <c r="A4832" s="12" t="inlineStr">
        <is>
          <t>I-I-0222</t>
        </is>
      </c>
      <c r="B4832" s="12" t="inlineStr">
        <is>
          <t>I</t>
        </is>
      </c>
      <c r="C4832" s="12" t="inlineStr">
        <is>
          <t>Modular / portable power</t>
        </is>
      </c>
      <c r="D4832" s="12" t="inlineStr">
        <is>
          <t>Analog instrument to JB JB-MT-6-AI01: 6 x 1 pr (field cables)</t>
        </is>
      </c>
      <c r="E4832" s="12" t="inlineStr">
        <is>
          <t>MT-6</t>
        </is>
      </c>
      <c r="F4832" s="12" t="inlineStr">
        <is>
          <t>MT-6: microturbine 1 MW (Capstone C1000 class)</t>
        </is>
      </c>
      <c r="G4832" s="12" t="inlineStr">
        <is>
          <t>JB-MT-6-AI01</t>
        </is>
      </c>
      <c r="H4832" s="12" t="inlineStr">
        <is>
          <t>MT-6: microturbine 1 MW (Capstone C1000 class)</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6</v>
      </c>
      <c r="O4832" s="12" t="n">
        <v>1</v>
      </c>
      <c r="P4832" s="12" t="n"/>
      <c r="Q4832" s="12" t="n"/>
      <c r="R4832" s="12" t="n"/>
      <c r="S4832" s="12" t="inlineStr">
        <is>
          <t>Tray / conduit</t>
        </is>
      </c>
      <c r="T4832" s="17" t="n">
        <v>47</v>
      </c>
      <c r="U4832" s="17" t="n">
        <v>10</v>
      </c>
      <c r="V4832" s="17">
        <f>ROUNDUP((T4832+U4832+2*'Read Me'!$B$13)*(1+'Read Me'!$B$12),-1)</f>
        <v/>
      </c>
      <c r="W4832" s="17">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I-I-0223</t>
        </is>
      </c>
      <c r="B4833" s="12" t="inlineStr">
        <is>
          <t>I</t>
        </is>
      </c>
      <c r="C4833" s="12" t="inlineStr">
        <is>
          <t>Modular / portable power</t>
        </is>
      </c>
      <c r="D4833" s="12" t="inlineStr">
        <is>
          <t>Home run JB-MT-6-AI01 to the control / marshalling room</t>
        </is>
      </c>
      <c r="E4833" s="12" t="inlineStr">
        <is>
          <t>PAD-EH</t>
        </is>
      </c>
      <c r="F4833" s="12" t="inlineStr">
        <is>
          <t>PAD-EH 13.8 kV switchgear e-house</t>
        </is>
      </c>
      <c r="G4833" s="12" t="inlineStr">
        <is>
          <t>JB-MT-6-AI01</t>
        </is>
      </c>
      <c r="H4833" s="12" t="inlineStr">
        <is>
          <t>MT-6: microturbine 1 MW (Capstone C1000 class)</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Surface</t>
        </is>
      </c>
      <c r="T4833" s="17" t="n">
        <v>67</v>
      </c>
      <c r="U4833" s="17" t="n">
        <v>90</v>
      </c>
      <c r="V4833" s="17">
        <f>ROUNDUP((T4833+U4833+2*'Read Me'!$B$13)*(1+'Read Me'!$B$12),-1)</f>
        <v/>
      </c>
      <c r="W4833" s="17">
        <f>V4833*N4833*O4833</f>
        <v/>
      </c>
      <c r="X4833" s="12">
        <f>IF(LEFT(I4833,2)="MV",2*N4833*IF(L4833="1/C",O4833,1),0)</f>
        <v/>
      </c>
      <c r="Y4833" s="12">
        <f>IF(OR(LEFT(K4833,4)="LVAX",LEFT(K4833,6)="MV15AX",LEFT(K4833,4)="CTAX",LEFT(K4833,2)="W|"),2*N4833*O4833,0)</f>
        <v/>
      </c>
      <c r="Z4833" s="12" t="inlineStr"/>
      <c r="AA4833" s="12">
        <f>N4833*O4833</f>
        <v/>
      </c>
    </row>
    <row r="4834">
      <c r="A4834" s="12" t="inlineStr">
        <is>
          <t>I-I-0224</t>
        </is>
      </c>
      <c r="B4834" s="12" t="inlineStr">
        <is>
          <t>I</t>
        </is>
      </c>
      <c r="C4834" s="12" t="inlineStr">
        <is>
          <t>Modular / portable power</t>
        </is>
      </c>
      <c r="D4834" s="12" t="inlineStr">
        <is>
          <t>Discrete device to JB JB-MT-6-DI01: 6 x 1 pr (field cables)</t>
        </is>
      </c>
      <c r="E4834" s="12" t="inlineStr">
        <is>
          <t>MT-6</t>
        </is>
      </c>
      <c r="F4834" s="12" t="inlineStr">
        <is>
          <t>MT-6: microturbine 1 MW (Capstone C1000 class)</t>
        </is>
      </c>
      <c r="G4834" s="12" t="inlineStr">
        <is>
          <t>JB-MT-6-DI01</t>
        </is>
      </c>
      <c r="H4834" s="12" t="inlineStr">
        <is>
          <t>MT-6: microturbine 1 MW (Capstone C1000 class)</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6</v>
      </c>
      <c r="O4834" s="12" t="n">
        <v>1</v>
      </c>
      <c r="P4834" s="12" t="n"/>
      <c r="Q4834" s="12" t="n"/>
      <c r="R4834" s="12" t="n"/>
      <c r="S4834" s="12" t="inlineStr">
        <is>
          <t>Tray / conduit</t>
        </is>
      </c>
      <c r="T4834" s="17" t="n">
        <v>47</v>
      </c>
      <c r="U4834" s="17" t="n">
        <v>10</v>
      </c>
      <c r="V4834" s="17">
        <f>ROUNDUP((T4834+U4834+2*'Read Me'!$B$13)*(1+'Read Me'!$B$12),-1)</f>
        <v/>
      </c>
      <c r="W4834" s="17">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I-I-0225</t>
        </is>
      </c>
      <c r="B4835" s="12" t="inlineStr">
        <is>
          <t>I</t>
        </is>
      </c>
      <c r="C4835" s="12" t="inlineStr">
        <is>
          <t>Modular / portable power</t>
        </is>
      </c>
      <c r="D4835" s="12" t="inlineStr">
        <is>
          <t>Home run JB-MT-6-DI01 to the control / marshalling room</t>
        </is>
      </c>
      <c r="E4835" s="12" t="inlineStr">
        <is>
          <t>PAD-EH</t>
        </is>
      </c>
      <c r="F4835" s="12" t="inlineStr">
        <is>
          <t>PAD-EH 13.8 kV switchgear e-house</t>
        </is>
      </c>
      <c r="G4835" s="12" t="inlineStr">
        <is>
          <t>JB-MT-6-DI01</t>
        </is>
      </c>
      <c r="H4835" s="12" t="inlineStr">
        <is>
          <t>MT-6: microturbine 1 MW (Capstone C1000 class)</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Surface</t>
        </is>
      </c>
      <c r="T4835" s="17" t="n">
        <v>67</v>
      </c>
      <c r="U4835" s="17" t="n">
        <v>90</v>
      </c>
      <c r="V4835" s="17">
        <f>ROUNDUP((T4835+U4835+2*'Read Me'!$B$13)*(1+'Read Me'!$B$12),-1)</f>
        <v/>
      </c>
      <c r="W4835" s="17">
        <f>V4835*N4835*O4835</f>
        <v/>
      </c>
      <c r="X4835" s="12">
        <f>IF(LEFT(I4835,2)="MV",2*N4835*IF(L4835="1/C",O4835,1),0)</f>
        <v/>
      </c>
      <c r="Y4835" s="12">
        <f>IF(OR(LEFT(K4835,4)="LVAX",LEFT(K4835,6)="MV15AX",LEFT(K4835,4)="CTAX",LEFT(K4835,2)="W|"),2*N4835*O4835,0)</f>
        <v/>
      </c>
      <c r="Z4835" s="12" t="inlineStr"/>
      <c r="AA4835" s="12">
        <f>N4835*O4835</f>
        <v/>
      </c>
    </row>
    <row r="4836">
      <c r="A4836" s="12" t="inlineStr">
        <is>
          <t>I-I-0226</t>
        </is>
      </c>
      <c r="B4836" s="12" t="inlineStr">
        <is>
          <t>I</t>
        </is>
      </c>
      <c r="C4836" s="12" t="inlineStr">
        <is>
          <t>Modular / portable power</t>
        </is>
      </c>
      <c r="D4836" s="12" t="inlineStr">
        <is>
          <t>Analog instrument to JB JB-RICE 1 SCR + oxida-AI01: 10 x 1 pr (field cables)</t>
        </is>
      </c>
      <c r="E4836" s="12" t="inlineStr"/>
      <c r="F4836" s="12" t="inlineStr">
        <is>
          <t>RICE 1 SCR + oxidation catalyst and stack</t>
        </is>
      </c>
      <c r="G4836" s="12" t="inlineStr">
        <is>
          <t>JB-RICE 1 SCR + oxida-AI01</t>
        </is>
      </c>
      <c r="H4836" s="12" t="inlineStr">
        <is>
          <t>RICE 1 SCR + oxidation catalyst and stack</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10</v>
      </c>
      <c r="O4836" s="12" t="n">
        <v>1</v>
      </c>
      <c r="P4836" s="12" t="n"/>
      <c r="Q4836" s="12" t="n"/>
      <c r="R4836" s="12" t="n"/>
      <c r="S4836" s="12" t="inlineStr">
        <is>
          <t>Tray / conduit</t>
        </is>
      </c>
      <c r="T4836" s="17" t="n">
        <v>92</v>
      </c>
      <c r="U4836" s="17" t="n">
        <v>10</v>
      </c>
      <c r="V4836" s="17">
        <f>ROUNDUP((T4836+U4836+2*'Read Me'!$B$13)*(1+'Read Me'!$B$12),-1)</f>
        <v/>
      </c>
      <c r="W4836" s="17">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I-I-0227</t>
        </is>
      </c>
      <c r="B4837" s="12" t="inlineStr">
        <is>
          <t>I</t>
        </is>
      </c>
      <c r="C4837" s="12" t="inlineStr">
        <is>
          <t>Modular / portable power</t>
        </is>
      </c>
      <c r="D4837" s="12" t="inlineStr">
        <is>
          <t>Home run JB-RICE 1 SCR + oxida-AI01 to the control / marshalling room</t>
        </is>
      </c>
      <c r="E4837" s="12" t="inlineStr"/>
      <c r="F4837" s="12" t="inlineStr">
        <is>
          <t>PCM: power control module</t>
        </is>
      </c>
      <c r="G4837" s="12" t="inlineStr">
        <is>
          <t>JB-RICE 1 SCR + oxida-AI01</t>
        </is>
      </c>
      <c r="H4837" s="12" t="inlineStr">
        <is>
          <t>RICE 1 SCR + oxidation catalyst and stack</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7" t="n">
        <v>470</v>
      </c>
      <c r="U4837" s="17" t="n">
        <v>160</v>
      </c>
      <c r="V4837" s="17">
        <f>ROUNDUP((T4837+U4837+2*'Read Me'!$B$13)*(1+'Read Me'!$B$12),-1)</f>
        <v/>
      </c>
      <c r="W4837" s="17">
        <f>V4837*N4837*O4837</f>
        <v/>
      </c>
      <c r="X4837" s="12">
        <f>IF(LEFT(I4837,2)="MV",2*N4837*IF(L4837="1/C",O4837,1),0)</f>
        <v/>
      </c>
      <c r="Y4837" s="12">
        <f>IF(OR(LEFT(K4837,4)="LVAX",LEFT(K4837,6)="MV15AX",LEFT(K4837,4)="CTAX",LEFT(K4837,2)="W|"),2*N4837*O4837,0)</f>
        <v/>
      </c>
      <c r="Z4837" s="12" t="inlineStr"/>
      <c r="AA4837" s="12">
        <f>N4837*O4837</f>
        <v/>
      </c>
    </row>
    <row r="4838">
      <c r="A4838" s="12" t="inlineStr">
        <is>
          <t>I-I-0228</t>
        </is>
      </c>
      <c r="B4838" s="12" t="inlineStr">
        <is>
          <t>I</t>
        </is>
      </c>
      <c r="C4838" s="12" t="inlineStr">
        <is>
          <t>Modular / portable power</t>
        </is>
      </c>
      <c r="D4838" s="12" t="inlineStr">
        <is>
          <t>Discrete device to JB JB-RICE 1 SCR + oxida-DI01: 6 x 1 pr (field cables)</t>
        </is>
      </c>
      <c r="E4838" s="12" t="inlineStr"/>
      <c r="F4838" s="12" t="inlineStr">
        <is>
          <t>RICE 1 SCR + oxidation catalyst and stack</t>
        </is>
      </c>
      <c r="G4838" s="12" t="inlineStr">
        <is>
          <t>JB-RICE 1 SCR + oxida-DI01</t>
        </is>
      </c>
      <c r="H4838" s="12" t="inlineStr">
        <is>
          <t>RICE 1 SCR + oxidation catalyst and stack</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6</v>
      </c>
      <c r="O4838" s="12" t="n">
        <v>1</v>
      </c>
      <c r="P4838" s="12" t="n"/>
      <c r="Q4838" s="12" t="n"/>
      <c r="R4838" s="12" t="n"/>
      <c r="S4838" s="12" t="inlineStr">
        <is>
          <t>Tray / conduit</t>
        </is>
      </c>
      <c r="T4838" s="17" t="n">
        <v>92</v>
      </c>
      <c r="U4838" s="17" t="n">
        <v>10</v>
      </c>
      <c r="V4838" s="17">
        <f>ROUNDUP((T4838+U4838+2*'Read Me'!$B$13)*(1+'Read Me'!$B$12),-1)</f>
        <v/>
      </c>
      <c r="W4838" s="17">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I-I-0229</t>
        </is>
      </c>
      <c r="B4839" s="12" t="inlineStr">
        <is>
          <t>I</t>
        </is>
      </c>
      <c r="C4839" s="12" t="inlineStr">
        <is>
          <t>Modular / portable power</t>
        </is>
      </c>
      <c r="D4839" s="12" t="inlineStr">
        <is>
          <t>Home run JB-RICE 1 SCR + oxida-DI01 to the control / marshalling room</t>
        </is>
      </c>
      <c r="E4839" s="12" t="inlineStr"/>
      <c r="F4839" s="12" t="inlineStr">
        <is>
          <t>PCM: power control module</t>
        </is>
      </c>
      <c r="G4839" s="12" t="inlineStr">
        <is>
          <t>JB-RICE 1 SCR + oxida-DI01</t>
        </is>
      </c>
      <c r="H4839" s="12" t="inlineStr">
        <is>
          <t>RICE 1 SCR + oxidation catalyst and stack</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7" t="n">
        <v>470</v>
      </c>
      <c r="U4839" s="17" t="n">
        <v>160</v>
      </c>
      <c r="V4839" s="17">
        <f>ROUNDUP((T4839+U4839+2*'Read Me'!$B$13)*(1+'Read Me'!$B$12),-1)</f>
        <v/>
      </c>
      <c r="W4839" s="17">
        <f>V4839*N4839*O4839</f>
        <v/>
      </c>
      <c r="X4839" s="12">
        <f>IF(LEFT(I4839,2)="MV",2*N4839*IF(L4839="1/C",O4839,1),0)</f>
        <v/>
      </c>
      <c r="Y4839" s="12">
        <f>IF(OR(LEFT(K4839,4)="LVAX",LEFT(K4839,6)="MV15AX",LEFT(K4839,4)="CTAX",LEFT(K4839,2)="W|"),2*N4839*O4839,0)</f>
        <v/>
      </c>
      <c r="Z4839" s="12" t="inlineStr"/>
      <c r="AA4839" s="12">
        <f>N4839*O4839</f>
        <v/>
      </c>
    </row>
    <row r="4840">
      <c r="A4840" s="12" t="inlineStr">
        <is>
          <t>I-I-0230</t>
        </is>
      </c>
      <c r="B4840" s="12" t="inlineStr">
        <is>
          <t>I</t>
        </is>
      </c>
      <c r="C4840" s="12" t="inlineStr">
        <is>
          <t>Modular / portable power</t>
        </is>
      </c>
      <c r="D4840" s="12" t="inlineStr">
        <is>
          <t>Analog instrument to JB JB-RICE 1 radiators (-AI01: 5 x 1 pr (field cables)</t>
        </is>
      </c>
      <c r="E4840" s="12" t="inlineStr"/>
      <c r="F4840" s="12" t="inlineStr">
        <is>
          <t>RICE 1 radiators (5)</t>
        </is>
      </c>
      <c r="G4840" s="12" t="inlineStr">
        <is>
          <t>JB-RICE 1 radiators (-AI01</t>
        </is>
      </c>
      <c r="H4840" s="12" t="inlineStr">
        <is>
          <t>RICE 1 radiators (5)</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5</v>
      </c>
      <c r="O4840" s="12" t="n">
        <v>1</v>
      </c>
      <c r="P4840" s="12" t="n"/>
      <c r="Q4840" s="12" t="n"/>
      <c r="R4840" s="12" t="n"/>
      <c r="S4840" s="12" t="inlineStr">
        <is>
          <t>Tray / conduit</t>
        </is>
      </c>
      <c r="T4840" s="17" t="n">
        <v>80</v>
      </c>
      <c r="U4840" s="17" t="n">
        <v>10</v>
      </c>
      <c r="V4840" s="17">
        <f>ROUNDUP((T4840+U4840+2*'Read Me'!$B$13)*(1+'Read Me'!$B$12),-1)</f>
        <v/>
      </c>
      <c r="W4840" s="17">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I-I-0231</t>
        </is>
      </c>
      <c r="B4841" s="12" t="inlineStr">
        <is>
          <t>I</t>
        </is>
      </c>
      <c r="C4841" s="12" t="inlineStr">
        <is>
          <t>Modular / portable power</t>
        </is>
      </c>
      <c r="D4841" s="12" t="inlineStr">
        <is>
          <t>Home run JB-RICE 1 radiators (-AI01 to the control / marshalling room</t>
        </is>
      </c>
      <c r="E4841" s="12" t="inlineStr"/>
      <c r="F4841" s="12" t="inlineStr">
        <is>
          <t>PCM: power control module</t>
        </is>
      </c>
      <c r="G4841" s="12" t="inlineStr">
        <is>
          <t>JB-RICE 1 radiators (-AI01</t>
        </is>
      </c>
      <c r="H4841" s="12" t="inlineStr">
        <is>
          <t>RICE 1 radiators (5)</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Duct bank</t>
        </is>
      </c>
      <c r="T4841" s="17" t="n">
        <v>745</v>
      </c>
      <c r="U4841" s="17" t="n">
        <v>139</v>
      </c>
      <c r="V4841" s="17">
        <f>ROUNDUP((T4841+U4841+2*'Read Me'!$B$13)*(1+'Read Me'!$B$12),-1)</f>
        <v/>
      </c>
      <c r="W4841" s="17">
        <f>V4841*N4841*O4841</f>
        <v/>
      </c>
      <c r="X4841" s="12">
        <f>IF(LEFT(I4841,2)="MV",2*N4841*IF(L4841="1/C",O4841,1),0)</f>
        <v/>
      </c>
      <c r="Y4841" s="12">
        <f>IF(OR(LEFT(K4841,4)="LVAX",LEFT(K4841,6)="MV15AX",LEFT(K4841,4)="CTAX",LEFT(K4841,2)="W|"),2*N4841*O4841,0)</f>
        <v/>
      </c>
      <c r="Z4841" s="12" t="inlineStr"/>
      <c r="AA4841" s="12">
        <f>N4841*O4841</f>
        <v/>
      </c>
    </row>
    <row r="4842">
      <c r="A4842" s="12" t="inlineStr">
        <is>
          <t>I-I-0232</t>
        </is>
      </c>
      <c r="B4842" s="12" t="inlineStr">
        <is>
          <t>I</t>
        </is>
      </c>
      <c r="C4842" s="12" t="inlineStr">
        <is>
          <t>Modular / portable power</t>
        </is>
      </c>
      <c r="D4842" s="12" t="inlineStr">
        <is>
          <t>Discrete device to JB JB-RICE 1 radiators (-DI01: 10 x 1 pr (field cables)</t>
        </is>
      </c>
      <c r="E4842" s="12" t="inlineStr"/>
      <c r="F4842" s="12" t="inlineStr">
        <is>
          <t>RICE 1 radiators (5)</t>
        </is>
      </c>
      <c r="G4842" s="12" t="inlineStr">
        <is>
          <t>JB-RICE 1 radiators (-DI01</t>
        </is>
      </c>
      <c r="H4842" s="12" t="inlineStr">
        <is>
          <t>RICE 1 radiators (5)</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10</v>
      </c>
      <c r="O4842" s="12" t="n">
        <v>1</v>
      </c>
      <c r="P4842" s="12" t="n"/>
      <c r="Q4842" s="12" t="n"/>
      <c r="R4842" s="12" t="n"/>
      <c r="S4842" s="12" t="inlineStr">
        <is>
          <t>Tray / conduit</t>
        </is>
      </c>
      <c r="T4842" s="17" t="n">
        <v>80</v>
      </c>
      <c r="U4842" s="17" t="n">
        <v>10</v>
      </c>
      <c r="V4842" s="17">
        <f>ROUNDUP((T4842+U4842+2*'Read Me'!$B$13)*(1+'Read Me'!$B$12),-1)</f>
        <v/>
      </c>
      <c r="W4842" s="17">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I-I-0233</t>
        </is>
      </c>
      <c r="B4843" s="12" t="inlineStr">
        <is>
          <t>I</t>
        </is>
      </c>
      <c r="C4843" s="12" t="inlineStr">
        <is>
          <t>Modular / portable power</t>
        </is>
      </c>
      <c r="D4843" s="12" t="inlineStr">
        <is>
          <t>Home run JB-RICE 1 radiators (-DI01 to the control / marshalling room</t>
        </is>
      </c>
      <c r="E4843" s="12" t="inlineStr"/>
      <c r="F4843" s="12" t="inlineStr">
        <is>
          <t>PCM: power control module</t>
        </is>
      </c>
      <c r="G4843" s="12" t="inlineStr">
        <is>
          <t>JB-RICE 1 radiators (-DI01</t>
        </is>
      </c>
      <c r="H4843" s="12" t="inlineStr">
        <is>
          <t>RICE 1 radiators (5)</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Duct bank</t>
        </is>
      </c>
      <c r="T4843" s="17" t="n">
        <v>745</v>
      </c>
      <c r="U4843" s="17" t="n">
        <v>139</v>
      </c>
      <c r="V4843" s="17">
        <f>ROUNDUP((T4843+U4843+2*'Read Me'!$B$13)*(1+'Read Me'!$B$12),-1)</f>
        <v/>
      </c>
      <c r="W4843" s="17">
        <f>V4843*N4843*O4843</f>
        <v/>
      </c>
      <c r="X4843" s="12">
        <f>IF(LEFT(I4843,2)="MV",2*N4843*IF(L4843="1/C",O4843,1),0)</f>
        <v/>
      </c>
      <c r="Y4843" s="12">
        <f>IF(OR(LEFT(K4843,4)="LVAX",LEFT(K4843,6)="MV15AX",LEFT(K4843,4)="CTAX",LEFT(K4843,2)="W|"),2*N4843*O4843,0)</f>
        <v/>
      </c>
      <c r="Z4843" s="12" t="inlineStr"/>
      <c r="AA4843" s="12">
        <f>N4843*O4843</f>
        <v/>
      </c>
    </row>
    <row r="4844">
      <c r="A4844" s="12" t="inlineStr">
        <is>
          <t>I-I-0234</t>
        </is>
      </c>
      <c r="B4844" s="12" t="inlineStr">
        <is>
          <t>I</t>
        </is>
      </c>
      <c r="C4844" s="12" t="inlineStr">
        <is>
          <t>Modular / portable power</t>
        </is>
      </c>
      <c r="D4844" s="12" t="inlineStr">
        <is>
          <t>Analog instrument to JB JB-RICE 2 SCR + oxida-AI01: 10 x 1 pr (field cables)</t>
        </is>
      </c>
      <c r="E4844" s="12" t="inlineStr"/>
      <c r="F4844" s="12" t="inlineStr">
        <is>
          <t>RICE 2 SCR + oxidation catalyst and stack</t>
        </is>
      </c>
      <c r="G4844" s="12" t="inlineStr">
        <is>
          <t>JB-RICE 2 SCR + oxida-AI01</t>
        </is>
      </c>
      <c r="H4844" s="12" t="inlineStr">
        <is>
          <t>RICE 2 SCR + oxidation catalyst and stack</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10</v>
      </c>
      <c r="O4844" s="12" t="n">
        <v>1</v>
      </c>
      <c r="P4844" s="12" t="n"/>
      <c r="Q4844" s="12" t="n"/>
      <c r="R4844" s="12" t="n"/>
      <c r="S4844" s="12" t="inlineStr">
        <is>
          <t>Tray / conduit</t>
        </is>
      </c>
      <c r="T4844" s="17" t="n">
        <v>92</v>
      </c>
      <c r="U4844" s="17" t="n">
        <v>10</v>
      </c>
      <c r="V4844" s="17">
        <f>ROUNDUP((T4844+U4844+2*'Read Me'!$B$13)*(1+'Read Me'!$B$12),-1)</f>
        <v/>
      </c>
      <c r="W4844" s="17">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I-I-0235</t>
        </is>
      </c>
      <c r="B4845" s="12" t="inlineStr">
        <is>
          <t>I</t>
        </is>
      </c>
      <c r="C4845" s="12" t="inlineStr">
        <is>
          <t>Modular / portable power</t>
        </is>
      </c>
      <c r="D4845" s="12" t="inlineStr">
        <is>
          <t>Home run JB-RICE 2 SCR + oxida-AI01 to the control / marshalling room</t>
        </is>
      </c>
      <c r="E4845" s="12" t="inlineStr"/>
      <c r="F4845" s="12" t="inlineStr">
        <is>
          <t>PCM: power control module</t>
        </is>
      </c>
      <c r="G4845" s="12" t="inlineStr">
        <is>
          <t>JB-RICE 2 SCR + oxida-AI01</t>
        </is>
      </c>
      <c r="H4845" s="12" t="inlineStr">
        <is>
          <t>RICE 2 SCR + oxidation catalyst and stack</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7" t="n">
        <v>470</v>
      </c>
      <c r="U4845" s="17" t="n">
        <v>132</v>
      </c>
      <c r="V4845" s="17">
        <f>ROUNDUP((T4845+U4845+2*'Read Me'!$B$13)*(1+'Read Me'!$B$12),-1)</f>
        <v/>
      </c>
      <c r="W4845" s="17">
        <f>V4845*N4845*O4845</f>
        <v/>
      </c>
      <c r="X4845" s="12">
        <f>IF(LEFT(I4845,2)="MV",2*N4845*IF(L4845="1/C",O4845,1),0)</f>
        <v/>
      </c>
      <c r="Y4845" s="12">
        <f>IF(OR(LEFT(K4845,4)="LVAX",LEFT(K4845,6)="MV15AX",LEFT(K4845,4)="CTAX",LEFT(K4845,2)="W|"),2*N4845*O4845,0)</f>
        <v/>
      </c>
      <c r="Z4845" s="12" t="inlineStr"/>
      <c r="AA4845" s="12">
        <f>N4845*O4845</f>
        <v/>
      </c>
    </row>
    <row r="4846">
      <c r="A4846" s="12" t="inlineStr">
        <is>
          <t>I-I-0236</t>
        </is>
      </c>
      <c r="B4846" s="12" t="inlineStr">
        <is>
          <t>I</t>
        </is>
      </c>
      <c r="C4846" s="12" t="inlineStr">
        <is>
          <t>Modular / portable power</t>
        </is>
      </c>
      <c r="D4846" s="12" t="inlineStr">
        <is>
          <t>Discrete device to JB JB-RICE 2 SCR + oxida-DI01: 6 x 1 pr (field cables)</t>
        </is>
      </c>
      <c r="E4846" s="12" t="inlineStr"/>
      <c r="F4846" s="12" t="inlineStr">
        <is>
          <t>RICE 2 SCR + oxidation catalyst and stack</t>
        </is>
      </c>
      <c r="G4846" s="12" t="inlineStr">
        <is>
          <t>JB-RICE 2 SCR + oxida-DI01</t>
        </is>
      </c>
      <c r="H4846" s="12" t="inlineStr">
        <is>
          <t>RICE 2 SCR + oxidation catalyst and stack</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6</v>
      </c>
      <c r="O4846" s="12" t="n">
        <v>1</v>
      </c>
      <c r="P4846" s="12" t="n"/>
      <c r="Q4846" s="12" t="n"/>
      <c r="R4846" s="12" t="n"/>
      <c r="S4846" s="12" t="inlineStr">
        <is>
          <t>Tray / conduit</t>
        </is>
      </c>
      <c r="T4846" s="17" t="n">
        <v>92</v>
      </c>
      <c r="U4846" s="17" t="n">
        <v>10</v>
      </c>
      <c r="V4846" s="17">
        <f>ROUNDUP((T4846+U4846+2*'Read Me'!$B$13)*(1+'Read Me'!$B$12),-1)</f>
        <v/>
      </c>
      <c r="W4846" s="17">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I-I-0237</t>
        </is>
      </c>
      <c r="B4847" s="12" t="inlineStr">
        <is>
          <t>I</t>
        </is>
      </c>
      <c r="C4847" s="12" t="inlineStr">
        <is>
          <t>Modular / portable power</t>
        </is>
      </c>
      <c r="D4847" s="12" t="inlineStr">
        <is>
          <t>Home run JB-RICE 2 SCR + oxida-DI01 to the control / marshalling room</t>
        </is>
      </c>
      <c r="E4847" s="12" t="inlineStr"/>
      <c r="F4847" s="12" t="inlineStr">
        <is>
          <t>PCM: power control module</t>
        </is>
      </c>
      <c r="G4847" s="12" t="inlineStr">
        <is>
          <t>JB-RICE 2 SCR + oxida-DI01</t>
        </is>
      </c>
      <c r="H4847" s="12" t="inlineStr">
        <is>
          <t>RICE 2 SCR + oxidation catalyst and stack</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Duct bank</t>
        </is>
      </c>
      <c r="T4847" s="17" t="n">
        <v>470</v>
      </c>
      <c r="U4847" s="17" t="n">
        <v>132</v>
      </c>
      <c r="V4847" s="17">
        <f>ROUNDUP((T4847+U4847+2*'Read Me'!$B$13)*(1+'Read Me'!$B$12),-1)</f>
        <v/>
      </c>
      <c r="W4847" s="17">
        <f>V4847*N4847*O4847</f>
        <v/>
      </c>
      <c r="X4847" s="12">
        <f>IF(LEFT(I4847,2)="MV",2*N4847*IF(L4847="1/C",O4847,1),0)</f>
        <v/>
      </c>
      <c r="Y4847" s="12">
        <f>IF(OR(LEFT(K4847,4)="LVAX",LEFT(K4847,6)="MV15AX",LEFT(K4847,4)="CTAX",LEFT(K4847,2)="W|"),2*N4847*O4847,0)</f>
        <v/>
      </c>
      <c r="Z4847" s="12" t="inlineStr"/>
      <c r="AA4847" s="12">
        <f>N4847*O4847</f>
        <v/>
      </c>
    </row>
    <row r="4848">
      <c r="A4848" s="12" t="inlineStr">
        <is>
          <t>I-I-0238</t>
        </is>
      </c>
      <c r="B4848" s="12" t="inlineStr">
        <is>
          <t>I</t>
        </is>
      </c>
      <c r="C4848" s="12" t="inlineStr">
        <is>
          <t>Modular / portable power</t>
        </is>
      </c>
      <c r="D4848" s="12" t="inlineStr">
        <is>
          <t>Analog instrument to JB JB-RICE 2 radiators (-AI01: 5 x 1 pr (field cables)</t>
        </is>
      </c>
      <c r="E4848" s="12" t="inlineStr"/>
      <c r="F4848" s="12" t="inlineStr">
        <is>
          <t>RICE 2 radiators (5)</t>
        </is>
      </c>
      <c r="G4848" s="12" t="inlineStr">
        <is>
          <t>JB-RICE 2 radiators (-AI01</t>
        </is>
      </c>
      <c r="H4848" s="12" t="inlineStr">
        <is>
          <t>RICE 2 radiators (5)</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5</v>
      </c>
      <c r="O4848" s="12" t="n">
        <v>1</v>
      </c>
      <c r="P4848" s="12" t="n"/>
      <c r="Q4848" s="12" t="n"/>
      <c r="R4848" s="12" t="n"/>
      <c r="S4848" s="12" t="inlineStr">
        <is>
          <t>Tray / conduit</t>
        </is>
      </c>
      <c r="T4848" s="17" t="n">
        <v>80</v>
      </c>
      <c r="U4848" s="17" t="n">
        <v>10</v>
      </c>
      <c r="V4848" s="17">
        <f>ROUNDUP((T4848+U4848+2*'Read Me'!$B$13)*(1+'Read Me'!$B$12),-1)</f>
        <v/>
      </c>
      <c r="W4848" s="17">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I-I-0239</t>
        </is>
      </c>
      <c r="B4849" s="12" t="inlineStr">
        <is>
          <t>I</t>
        </is>
      </c>
      <c r="C4849" s="12" t="inlineStr">
        <is>
          <t>Modular / portable power</t>
        </is>
      </c>
      <c r="D4849" s="12" t="inlineStr">
        <is>
          <t>Home run JB-RICE 2 radiators (-AI01 to the control / marshalling room</t>
        </is>
      </c>
      <c r="E4849" s="12" t="inlineStr"/>
      <c r="F4849" s="12" t="inlineStr">
        <is>
          <t>PCM: power control module</t>
        </is>
      </c>
      <c r="G4849" s="12" t="inlineStr">
        <is>
          <t>JB-RICE 2 radiators (-AI01</t>
        </is>
      </c>
      <c r="H4849" s="12" t="inlineStr">
        <is>
          <t>RICE 2 radiators (5)</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7" t="n">
        <v>550</v>
      </c>
      <c r="U4849" s="17" t="n">
        <v>192</v>
      </c>
      <c r="V4849" s="17">
        <f>ROUNDUP((T4849+U4849+2*'Read Me'!$B$13)*(1+'Read Me'!$B$12),-1)</f>
        <v/>
      </c>
      <c r="W4849" s="17">
        <f>V4849*N4849*O4849</f>
        <v/>
      </c>
      <c r="X4849" s="12">
        <f>IF(LEFT(I4849,2)="MV",2*N4849*IF(L4849="1/C",O4849,1),0)</f>
        <v/>
      </c>
      <c r="Y4849" s="12">
        <f>IF(OR(LEFT(K4849,4)="LVAX",LEFT(K4849,6)="MV15AX",LEFT(K4849,4)="CTAX",LEFT(K4849,2)="W|"),2*N4849*O4849,0)</f>
        <v/>
      </c>
      <c r="Z4849" s="12" t="inlineStr"/>
      <c r="AA4849" s="12">
        <f>N4849*O4849</f>
        <v/>
      </c>
    </row>
    <row r="4850">
      <c r="A4850" s="12" t="inlineStr">
        <is>
          <t>I-I-0240</t>
        </is>
      </c>
      <c r="B4850" s="12" t="inlineStr">
        <is>
          <t>I</t>
        </is>
      </c>
      <c r="C4850" s="12" t="inlineStr">
        <is>
          <t>Modular / portable power</t>
        </is>
      </c>
      <c r="D4850" s="12" t="inlineStr">
        <is>
          <t>Discrete device to JB JB-RICE 2 radiators (-DI01: 10 x 1 pr (field cables)</t>
        </is>
      </c>
      <c r="E4850" s="12" t="inlineStr"/>
      <c r="F4850" s="12" t="inlineStr">
        <is>
          <t>RICE 2 radiators (5)</t>
        </is>
      </c>
      <c r="G4850" s="12" t="inlineStr">
        <is>
          <t>JB-RICE 2 radiators (-DI01</t>
        </is>
      </c>
      <c r="H4850" s="12" t="inlineStr">
        <is>
          <t>RICE 2 radiators (5)</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10</v>
      </c>
      <c r="O4850" s="12" t="n">
        <v>1</v>
      </c>
      <c r="P4850" s="12" t="n"/>
      <c r="Q4850" s="12" t="n"/>
      <c r="R4850" s="12" t="n"/>
      <c r="S4850" s="12" t="inlineStr">
        <is>
          <t>Tray / conduit</t>
        </is>
      </c>
      <c r="T4850" s="17" t="n">
        <v>80</v>
      </c>
      <c r="U4850" s="17" t="n">
        <v>10</v>
      </c>
      <c r="V4850" s="17">
        <f>ROUNDUP((T4850+U4850+2*'Read Me'!$B$13)*(1+'Read Me'!$B$12),-1)</f>
        <v/>
      </c>
      <c r="W4850" s="17">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I-I-0241</t>
        </is>
      </c>
      <c r="B4851" s="12" t="inlineStr">
        <is>
          <t>I</t>
        </is>
      </c>
      <c r="C4851" s="12" t="inlineStr">
        <is>
          <t>Modular / portable power</t>
        </is>
      </c>
      <c r="D4851" s="12" t="inlineStr">
        <is>
          <t>Home run JB-RICE 2 radiators (-DI01 to the control / marshalling room</t>
        </is>
      </c>
      <c r="E4851" s="12" t="inlineStr"/>
      <c r="F4851" s="12" t="inlineStr">
        <is>
          <t>PCM: power control module</t>
        </is>
      </c>
      <c r="G4851" s="12" t="inlineStr">
        <is>
          <t>JB-RICE 2 radiators (-DI01</t>
        </is>
      </c>
      <c r="H4851" s="12" t="inlineStr">
        <is>
          <t>RICE 2 radiators (5)</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7" t="n">
        <v>550</v>
      </c>
      <c r="U4851" s="17" t="n">
        <v>192</v>
      </c>
      <c r="V4851" s="17">
        <f>ROUNDUP((T4851+U4851+2*'Read Me'!$B$13)*(1+'Read Me'!$B$12),-1)</f>
        <v/>
      </c>
      <c r="W4851" s="17">
        <f>V4851*N4851*O4851</f>
        <v/>
      </c>
      <c r="X4851" s="12">
        <f>IF(LEFT(I4851,2)="MV",2*N4851*IF(L4851="1/C",O4851,1),0)</f>
        <v/>
      </c>
      <c r="Y4851" s="12">
        <f>IF(OR(LEFT(K4851,4)="LVAX",LEFT(K4851,6)="MV15AX",LEFT(K4851,4)="CTAX",LEFT(K4851,2)="W|"),2*N4851*O4851,0)</f>
        <v/>
      </c>
      <c r="Z4851" s="12" t="inlineStr"/>
      <c r="AA4851" s="12">
        <f>N4851*O4851</f>
        <v/>
      </c>
    </row>
    <row r="4852">
      <c r="A4852" s="12" t="inlineStr">
        <is>
          <t>I-I-0242</t>
        </is>
      </c>
      <c r="B4852" s="12" t="inlineStr">
        <is>
          <t>I</t>
        </is>
      </c>
      <c r="C4852" s="12" t="inlineStr">
        <is>
          <t>Modular / portable power</t>
        </is>
      </c>
      <c r="D4852" s="12" t="inlineStr">
        <is>
          <t>Analog instrument to JB JB-RICE 3 SCR + oxida-AI01: 10 x 1 pr (field cables)</t>
        </is>
      </c>
      <c r="E4852" s="12" t="inlineStr"/>
      <c r="F4852" s="12" t="inlineStr">
        <is>
          <t>RICE 3 SCR + oxidation catalyst and stack</t>
        </is>
      </c>
      <c r="G4852" s="12" t="inlineStr">
        <is>
          <t>JB-RICE 3 SCR + oxida-AI01</t>
        </is>
      </c>
      <c r="H4852" s="12" t="inlineStr">
        <is>
          <t>RICE 3 SCR + oxidation catalyst and stack</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10</v>
      </c>
      <c r="O4852" s="12" t="n">
        <v>1</v>
      </c>
      <c r="P4852" s="12" t="n"/>
      <c r="Q4852" s="12" t="n"/>
      <c r="R4852" s="12" t="n"/>
      <c r="S4852" s="12" t="inlineStr">
        <is>
          <t>Tray / conduit</t>
        </is>
      </c>
      <c r="T4852" s="17" t="n">
        <v>92</v>
      </c>
      <c r="U4852" s="17" t="n">
        <v>10</v>
      </c>
      <c r="V4852" s="17">
        <f>ROUNDUP((T4852+U4852+2*'Read Me'!$B$13)*(1+'Read Me'!$B$12),-1)</f>
        <v/>
      </c>
      <c r="W4852" s="17">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I-I-0243</t>
        </is>
      </c>
      <c r="B4853" s="12" t="inlineStr">
        <is>
          <t>I</t>
        </is>
      </c>
      <c r="C4853" s="12" t="inlineStr">
        <is>
          <t>Modular / portable power</t>
        </is>
      </c>
      <c r="D4853" s="12" t="inlineStr">
        <is>
          <t>Home run JB-RICE 3 SCR + oxida-AI01 to the control / marshalling room</t>
        </is>
      </c>
      <c r="E4853" s="12" t="inlineStr"/>
      <c r="F4853" s="12" t="inlineStr">
        <is>
          <t>PCM: power control module</t>
        </is>
      </c>
      <c r="G4853" s="12" t="inlineStr">
        <is>
          <t>JB-RICE 3 SCR + oxida-AI01</t>
        </is>
      </c>
      <c r="H4853" s="12" t="inlineStr">
        <is>
          <t>RICE 3 SCR + oxidation catalyst and stack</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7" t="n">
        <v>470</v>
      </c>
      <c r="U4853" s="17" t="n">
        <v>104</v>
      </c>
      <c r="V4853" s="17">
        <f>ROUNDUP((T4853+U4853+2*'Read Me'!$B$13)*(1+'Read Me'!$B$12),-1)</f>
        <v/>
      </c>
      <c r="W4853" s="17">
        <f>V4853*N4853*O4853</f>
        <v/>
      </c>
      <c r="X4853" s="12">
        <f>IF(LEFT(I4853,2)="MV",2*N4853*IF(L4853="1/C",O4853,1),0)</f>
        <v/>
      </c>
      <c r="Y4853" s="12">
        <f>IF(OR(LEFT(K4853,4)="LVAX",LEFT(K4853,6)="MV15AX",LEFT(K4853,4)="CTAX",LEFT(K4853,2)="W|"),2*N4853*O4853,0)</f>
        <v/>
      </c>
      <c r="Z4853" s="12" t="inlineStr"/>
      <c r="AA4853" s="12">
        <f>N4853*O4853</f>
        <v/>
      </c>
    </row>
    <row r="4854">
      <c r="A4854" s="12" t="inlineStr">
        <is>
          <t>I-I-0244</t>
        </is>
      </c>
      <c r="B4854" s="12" t="inlineStr">
        <is>
          <t>I</t>
        </is>
      </c>
      <c r="C4854" s="12" t="inlineStr">
        <is>
          <t>Modular / portable power</t>
        </is>
      </c>
      <c r="D4854" s="12" t="inlineStr">
        <is>
          <t>Discrete device to JB JB-RICE 3 SCR + oxida-DI01: 6 x 1 pr (field cables)</t>
        </is>
      </c>
      <c r="E4854" s="12" t="inlineStr"/>
      <c r="F4854" s="12" t="inlineStr">
        <is>
          <t>RICE 3 SCR + oxidation catalyst and stack</t>
        </is>
      </c>
      <c r="G4854" s="12" t="inlineStr">
        <is>
          <t>JB-RICE 3 SCR + oxida-DI01</t>
        </is>
      </c>
      <c r="H4854" s="12" t="inlineStr">
        <is>
          <t>RICE 3 SCR + oxidation catalyst and stack</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6</v>
      </c>
      <c r="O4854" s="12" t="n">
        <v>1</v>
      </c>
      <c r="P4854" s="12" t="n"/>
      <c r="Q4854" s="12" t="n"/>
      <c r="R4854" s="12" t="n"/>
      <c r="S4854" s="12" t="inlineStr">
        <is>
          <t>Tray / conduit</t>
        </is>
      </c>
      <c r="T4854" s="17" t="n">
        <v>92</v>
      </c>
      <c r="U4854" s="17" t="n">
        <v>10</v>
      </c>
      <c r="V4854" s="17">
        <f>ROUNDUP((T4854+U4854+2*'Read Me'!$B$13)*(1+'Read Me'!$B$12),-1)</f>
        <v/>
      </c>
      <c r="W4854" s="17">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I-I-0245</t>
        </is>
      </c>
      <c r="B4855" s="12" t="inlineStr">
        <is>
          <t>I</t>
        </is>
      </c>
      <c r="C4855" s="12" t="inlineStr">
        <is>
          <t>Modular / portable power</t>
        </is>
      </c>
      <c r="D4855" s="12" t="inlineStr">
        <is>
          <t>Home run JB-RICE 3 SCR + oxida-DI01 to the control / marshalling room</t>
        </is>
      </c>
      <c r="E4855" s="12" t="inlineStr"/>
      <c r="F4855" s="12" t="inlineStr">
        <is>
          <t>PCM: power control module</t>
        </is>
      </c>
      <c r="G4855" s="12" t="inlineStr">
        <is>
          <t>JB-RICE 3 SCR + oxida-DI01</t>
        </is>
      </c>
      <c r="H4855" s="12" t="inlineStr">
        <is>
          <t>RICE 3 SCR + oxidation catalyst and stack</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7" t="n">
        <v>470</v>
      </c>
      <c r="U4855" s="17" t="n">
        <v>104</v>
      </c>
      <c r="V4855" s="17">
        <f>ROUNDUP((T4855+U4855+2*'Read Me'!$B$13)*(1+'Read Me'!$B$12),-1)</f>
        <v/>
      </c>
      <c r="W4855" s="17">
        <f>V4855*N4855*O4855</f>
        <v/>
      </c>
      <c r="X4855" s="12">
        <f>IF(LEFT(I4855,2)="MV",2*N4855*IF(L4855="1/C",O4855,1),0)</f>
        <v/>
      </c>
      <c r="Y4855" s="12">
        <f>IF(OR(LEFT(K4855,4)="LVAX",LEFT(K4855,6)="MV15AX",LEFT(K4855,4)="CTAX",LEFT(K4855,2)="W|"),2*N4855*O4855,0)</f>
        <v/>
      </c>
      <c r="Z4855" s="12" t="inlineStr"/>
      <c r="AA4855" s="12">
        <f>N4855*O4855</f>
        <v/>
      </c>
    </row>
    <row r="4856">
      <c r="A4856" s="12" t="inlineStr">
        <is>
          <t>I-I-0246</t>
        </is>
      </c>
      <c r="B4856" s="12" t="inlineStr">
        <is>
          <t>I</t>
        </is>
      </c>
      <c r="C4856" s="12" t="inlineStr">
        <is>
          <t>Modular / portable power</t>
        </is>
      </c>
      <c r="D4856" s="12" t="inlineStr">
        <is>
          <t>Analog instrument to JB JB-RICE 3 radiators (-AI01: 5 x 1 pr (field cables)</t>
        </is>
      </c>
      <c r="E4856" s="12" t="inlineStr"/>
      <c r="F4856" s="12" t="inlineStr">
        <is>
          <t>RICE 3 radiators (5)</t>
        </is>
      </c>
      <c r="G4856" s="12" t="inlineStr">
        <is>
          <t>JB-RICE 3 radiators (-AI01</t>
        </is>
      </c>
      <c r="H4856" s="12" t="inlineStr">
        <is>
          <t>RICE 3 radiators (5)</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5</v>
      </c>
      <c r="O4856" s="12" t="n">
        <v>1</v>
      </c>
      <c r="P4856" s="12" t="n"/>
      <c r="Q4856" s="12" t="n"/>
      <c r="R4856" s="12" t="n"/>
      <c r="S4856" s="12" t="inlineStr">
        <is>
          <t>Tray / conduit</t>
        </is>
      </c>
      <c r="T4856" s="17" t="n">
        <v>80</v>
      </c>
      <c r="U4856" s="17" t="n">
        <v>10</v>
      </c>
      <c r="V4856" s="17">
        <f>ROUNDUP((T4856+U4856+2*'Read Me'!$B$13)*(1+'Read Me'!$B$12),-1)</f>
        <v/>
      </c>
      <c r="W4856" s="17">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I-I-0247</t>
        </is>
      </c>
      <c r="B4857" s="12" t="inlineStr">
        <is>
          <t>I</t>
        </is>
      </c>
      <c r="C4857" s="12" t="inlineStr">
        <is>
          <t>Modular / portable power</t>
        </is>
      </c>
      <c r="D4857" s="12" t="inlineStr">
        <is>
          <t>Home run JB-RICE 3 radiators (-AI01 to the control / marshalling room</t>
        </is>
      </c>
      <c r="E4857" s="12" t="inlineStr"/>
      <c r="F4857" s="12" t="inlineStr">
        <is>
          <t>PCM: power control module</t>
        </is>
      </c>
      <c r="G4857" s="12" t="inlineStr">
        <is>
          <t>JB-RICE 3 radiators (-AI01</t>
        </is>
      </c>
      <c r="H4857" s="12" t="inlineStr">
        <is>
          <t>RICE 3 radiators (5)</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7" t="n">
        <v>40</v>
      </c>
      <c r="U4857" s="17" t="n">
        <v>240</v>
      </c>
      <c r="V4857" s="17">
        <f>ROUNDUP((T4857+U4857+2*'Read Me'!$B$13)*(1+'Read Me'!$B$12),-1)</f>
        <v/>
      </c>
      <c r="W4857" s="17">
        <f>V4857*N4857*O4857</f>
        <v/>
      </c>
      <c r="X4857" s="12">
        <f>IF(LEFT(I4857,2)="MV",2*N4857*IF(L4857="1/C",O4857,1),0)</f>
        <v/>
      </c>
      <c r="Y4857" s="12">
        <f>IF(OR(LEFT(K4857,4)="LVAX",LEFT(K4857,6)="MV15AX",LEFT(K4857,4)="CTAX",LEFT(K4857,2)="W|"),2*N4857*O4857,0)</f>
        <v/>
      </c>
      <c r="Z4857" s="12" t="inlineStr"/>
      <c r="AA4857" s="12">
        <f>N4857*O4857</f>
        <v/>
      </c>
    </row>
    <row r="4858">
      <c r="A4858" s="12" t="inlineStr">
        <is>
          <t>I-I-0248</t>
        </is>
      </c>
      <c r="B4858" s="12" t="inlineStr">
        <is>
          <t>I</t>
        </is>
      </c>
      <c r="C4858" s="12" t="inlineStr">
        <is>
          <t>Modular / portable power</t>
        </is>
      </c>
      <c r="D4858" s="12" t="inlineStr">
        <is>
          <t>Discrete device to JB JB-RICE 3 radiators (-DI01: 10 x 1 pr (field cables)</t>
        </is>
      </c>
      <c r="E4858" s="12" t="inlineStr"/>
      <c r="F4858" s="12" t="inlineStr">
        <is>
          <t>RICE 3 radiators (5)</t>
        </is>
      </c>
      <c r="G4858" s="12" t="inlineStr">
        <is>
          <t>JB-RICE 3 radiators (-DI01</t>
        </is>
      </c>
      <c r="H4858" s="12" t="inlineStr">
        <is>
          <t>RICE 3 radiators (5)</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10</v>
      </c>
      <c r="O4858" s="12" t="n">
        <v>1</v>
      </c>
      <c r="P4858" s="12" t="n"/>
      <c r="Q4858" s="12" t="n"/>
      <c r="R4858" s="12" t="n"/>
      <c r="S4858" s="12" t="inlineStr">
        <is>
          <t>Tray / conduit</t>
        </is>
      </c>
      <c r="T4858" s="17" t="n">
        <v>80</v>
      </c>
      <c r="U4858" s="17" t="n">
        <v>10</v>
      </c>
      <c r="V4858" s="17">
        <f>ROUNDUP((T4858+U4858+2*'Read Me'!$B$13)*(1+'Read Me'!$B$12),-1)</f>
        <v/>
      </c>
      <c r="W4858" s="17">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I-I-0249</t>
        </is>
      </c>
      <c r="B4859" s="12" t="inlineStr">
        <is>
          <t>I</t>
        </is>
      </c>
      <c r="C4859" s="12" t="inlineStr">
        <is>
          <t>Modular / portable power</t>
        </is>
      </c>
      <c r="D4859" s="12" t="inlineStr">
        <is>
          <t>Home run JB-RICE 3 radiators (-DI01 to the control / marshalling room</t>
        </is>
      </c>
      <c r="E4859" s="12" t="inlineStr"/>
      <c r="F4859" s="12" t="inlineStr">
        <is>
          <t>PCM: power control module</t>
        </is>
      </c>
      <c r="G4859" s="12" t="inlineStr">
        <is>
          <t>JB-RICE 3 radiators (-DI01</t>
        </is>
      </c>
      <c r="H4859" s="12" t="inlineStr">
        <is>
          <t>RICE 3 radiators (5)</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7" t="n">
        <v>40</v>
      </c>
      <c r="U4859" s="17" t="n">
        <v>240</v>
      </c>
      <c r="V4859" s="17">
        <f>ROUNDUP((T4859+U4859+2*'Read Me'!$B$13)*(1+'Read Me'!$B$12),-1)</f>
        <v/>
      </c>
      <c r="W4859" s="17">
        <f>V4859*N4859*O4859</f>
        <v/>
      </c>
      <c r="X4859" s="12">
        <f>IF(LEFT(I4859,2)="MV",2*N4859*IF(L4859="1/C",O4859,1),0)</f>
        <v/>
      </c>
      <c r="Y4859" s="12">
        <f>IF(OR(LEFT(K4859,4)="LVAX",LEFT(K4859,6)="MV15AX",LEFT(K4859,4)="CTAX",LEFT(K4859,2)="W|"),2*N4859*O4859,0)</f>
        <v/>
      </c>
      <c r="Z4859" s="12" t="inlineStr"/>
      <c r="AA4859" s="12">
        <f>N4859*O4859</f>
        <v/>
      </c>
    </row>
    <row r="4860">
      <c r="A4860" s="12" t="inlineStr">
        <is>
          <t>I-I-0250</t>
        </is>
      </c>
      <c r="B4860" s="12" t="inlineStr">
        <is>
          <t>I</t>
        </is>
      </c>
      <c r="C4860" s="12" t="inlineStr">
        <is>
          <t>Modular / portable power</t>
        </is>
      </c>
      <c r="D4860" s="12" t="inlineStr">
        <is>
          <t>Analog instrument to JB JB-RICE 4 SCR + oxida-AI01: 10 x 1 pr (field cables)</t>
        </is>
      </c>
      <c r="E4860" s="12" t="inlineStr"/>
      <c r="F4860" s="12" t="inlineStr">
        <is>
          <t>RICE 4 SCR + oxidation catalyst and stack</t>
        </is>
      </c>
      <c r="G4860" s="12" t="inlineStr">
        <is>
          <t>JB-RICE 4 SCR + oxida-AI01</t>
        </is>
      </c>
      <c r="H4860" s="12" t="inlineStr">
        <is>
          <t>RICE 4 SCR + oxidation catalyst and stack</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10</v>
      </c>
      <c r="O4860" s="12" t="n">
        <v>1</v>
      </c>
      <c r="P4860" s="12" t="n"/>
      <c r="Q4860" s="12" t="n"/>
      <c r="R4860" s="12" t="n"/>
      <c r="S4860" s="12" t="inlineStr">
        <is>
          <t>Tray / conduit</t>
        </is>
      </c>
      <c r="T4860" s="17" t="n">
        <v>92</v>
      </c>
      <c r="U4860" s="17" t="n">
        <v>10</v>
      </c>
      <c r="V4860" s="17">
        <f>ROUNDUP((T4860+U4860+2*'Read Me'!$B$13)*(1+'Read Me'!$B$12),-1)</f>
        <v/>
      </c>
      <c r="W4860" s="17">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I-I-0251</t>
        </is>
      </c>
      <c r="B4861" s="12" t="inlineStr">
        <is>
          <t>I</t>
        </is>
      </c>
      <c r="C4861" s="12" t="inlineStr">
        <is>
          <t>Modular / portable power</t>
        </is>
      </c>
      <c r="D4861" s="12" t="inlineStr">
        <is>
          <t>Home run JB-RICE 4 SCR + oxida-AI01 to the control / marshalling room</t>
        </is>
      </c>
      <c r="E4861" s="12" t="inlineStr"/>
      <c r="F4861" s="12" t="inlineStr">
        <is>
          <t>PCM: power control module</t>
        </is>
      </c>
      <c r="G4861" s="12" t="inlineStr">
        <is>
          <t>JB-RICE 4 SCR + oxida-AI01</t>
        </is>
      </c>
      <c r="H4861" s="12" t="inlineStr">
        <is>
          <t>RICE 4 SCR + oxidation catalyst and stack</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7" t="n">
        <v>470</v>
      </c>
      <c r="U4861" s="17" t="n">
        <v>76</v>
      </c>
      <c r="V4861" s="17">
        <f>ROUNDUP((T4861+U4861+2*'Read Me'!$B$13)*(1+'Read Me'!$B$12),-1)</f>
        <v/>
      </c>
      <c r="W4861" s="17">
        <f>V4861*N4861*O4861</f>
        <v/>
      </c>
      <c r="X4861" s="12">
        <f>IF(LEFT(I4861,2)="MV",2*N4861*IF(L4861="1/C",O4861,1),0)</f>
        <v/>
      </c>
      <c r="Y4861" s="12">
        <f>IF(OR(LEFT(K4861,4)="LVAX",LEFT(K4861,6)="MV15AX",LEFT(K4861,4)="CTAX",LEFT(K4861,2)="W|"),2*N4861*O4861,0)</f>
        <v/>
      </c>
      <c r="Z4861" s="12" t="inlineStr"/>
      <c r="AA4861" s="12">
        <f>N4861*O4861</f>
        <v/>
      </c>
    </row>
    <row r="4862">
      <c r="A4862" s="12" t="inlineStr">
        <is>
          <t>I-I-0252</t>
        </is>
      </c>
      <c r="B4862" s="12" t="inlineStr">
        <is>
          <t>I</t>
        </is>
      </c>
      <c r="C4862" s="12" t="inlineStr">
        <is>
          <t>Modular / portable power</t>
        </is>
      </c>
      <c r="D4862" s="12" t="inlineStr">
        <is>
          <t>Discrete device to JB JB-RICE 4 SCR + oxida-DI01: 6 x 1 pr (field cables)</t>
        </is>
      </c>
      <c r="E4862" s="12" t="inlineStr"/>
      <c r="F4862" s="12" t="inlineStr">
        <is>
          <t>RICE 4 SCR + oxidation catalyst and stack</t>
        </is>
      </c>
      <c r="G4862" s="12" t="inlineStr">
        <is>
          <t>JB-RICE 4 SCR + oxida-DI01</t>
        </is>
      </c>
      <c r="H4862" s="12" t="inlineStr">
        <is>
          <t>RICE 4 SCR + oxidation catalyst and stack</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6</v>
      </c>
      <c r="O4862" s="12" t="n">
        <v>1</v>
      </c>
      <c r="P4862" s="12" t="n"/>
      <c r="Q4862" s="12" t="n"/>
      <c r="R4862" s="12" t="n"/>
      <c r="S4862" s="12" t="inlineStr">
        <is>
          <t>Tray / conduit</t>
        </is>
      </c>
      <c r="T4862" s="17" t="n">
        <v>92</v>
      </c>
      <c r="U4862" s="17" t="n">
        <v>10</v>
      </c>
      <c r="V4862" s="17">
        <f>ROUNDUP((T4862+U4862+2*'Read Me'!$B$13)*(1+'Read Me'!$B$12),-1)</f>
        <v/>
      </c>
      <c r="W4862" s="17">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I-I-0253</t>
        </is>
      </c>
      <c r="B4863" s="12" t="inlineStr">
        <is>
          <t>I</t>
        </is>
      </c>
      <c r="C4863" s="12" t="inlineStr">
        <is>
          <t>Modular / portable power</t>
        </is>
      </c>
      <c r="D4863" s="12" t="inlineStr">
        <is>
          <t>Home run JB-RICE 4 SCR + oxida-DI01 to the control / marshalling room</t>
        </is>
      </c>
      <c r="E4863" s="12" t="inlineStr"/>
      <c r="F4863" s="12" t="inlineStr">
        <is>
          <t>PCM: power control module</t>
        </is>
      </c>
      <c r="G4863" s="12" t="inlineStr">
        <is>
          <t>JB-RICE 4 SCR + oxida-DI01</t>
        </is>
      </c>
      <c r="H4863" s="12" t="inlineStr">
        <is>
          <t>RICE 4 SCR + oxidation catalyst and stack</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Duct bank</t>
        </is>
      </c>
      <c r="T4863" s="17" t="n">
        <v>470</v>
      </c>
      <c r="U4863" s="17" t="n">
        <v>76</v>
      </c>
      <c r="V4863" s="17">
        <f>ROUNDUP((T4863+U4863+2*'Read Me'!$B$13)*(1+'Read Me'!$B$12),-1)</f>
        <v/>
      </c>
      <c r="W4863" s="17">
        <f>V4863*N4863*O4863</f>
        <v/>
      </c>
      <c r="X4863" s="12">
        <f>IF(LEFT(I4863,2)="MV",2*N4863*IF(L4863="1/C",O4863,1),0)</f>
        <v/>
      </c>
      <c r="Y4863" s="12">
        <f>IF(OR(LEFT(K4863,4)="LVAX",LEFT(K4863,6)="MV15AX",LEFT(K4863,4)="CTAX",LEFT(K4863,2)="W|"),2*N4863*O4863,0)</f>
        <v/>
      </c>
      <c r="Z4863" s="12" t="inlineStr"/>
      <c r="AA4863" s="12">
        <f>N4863*O4863</f>
        <v/>
      </c>
    </row>
    <row r="4864">
      <c r="A4864" s="12" t="inlineStr">
        <is>
          <t>I-I-0254</t>
        </is>
      </c>
      <c r="B4864" s="12" t="inlineStr">
        <is>
          <t>I</t>
        </is>
      </c>
      <c r="C4864" s="12" t="inlineStr">
        <is>
          <t>Modular / portable power</t>
        </is>
      </c>
      <c r="D4864" s="12" t="inlineStr">
        <is>
          <t>Analog instrument to JB JB-RICE 4 radiators (-AI01: 5 x 1 pr (field cables)</t>
        </is>
      </c>
      <c r="E4864" s="12" t="inlineStr"/>
      <c r="F4864" s="12" t="inlineStr">
        <is>
          <t>RICE 4 radiators (5)</t>
        </is>
      </c>
      <c r="G4864" s="12" t="inlineStr">
        <is>
          <t>JB-RICE 4 radiators (-AI01</t>
        </is>
      </c>
      <c r="H4864" s="12" t="inlineStr">
        <is>
          <t>RICE 4 radiators (5)</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5</v>
      </c>
      <c r="O4864" s="12" t="n">
        <v>1</v>
      </c>
      <c r="P4864" s="12" t="n"/>
      <c r="Q4864" s="12" t="n"/>
      <c r="R4864" s="12" t="n"/>
      <c r="S4864" s="12" t="inlineStr">
        <is>
          <t>Tray / conduit</t>
        </is>
      </c>
      <c r="T4864" s="17" t="n">
        <v>80</v>
      </c>
      <c r="U4864" s="17" t="n">
        <v>10</v>
      </c>
      <c r="V4864" s="17">
        <f>ROUNDUP((T4864+U4864+2*'Read Me'!$B$13)*(1+'Read Me'!$B$12),-1)</f>
        <v/>
      </c>
      <c r="W4864" s="17">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I-I-0255</t>
        </is>
      </c>
      <c r="B4865" s="12" t="inlineStr">
        <is>
          <t>I</t>
        </is>
      </c>
      <c r="C4865" s="12" t="inlineStr">
        <is>
          <t>Modular / portable power</t>
        </is>
      </c>
      <c r="D4865" s="12" t="inlineStr">
        <is>
          <t>Home run JB-RICE 4 radiators (-AI01 to the control / marshalling room</t>
        </is>
      </c>
      <c r="E4865" s="12" t="inlineStr"/>
      <c r="F4865" s="12" t="inlineStr">
        <is>
          <t>PCM: power control module</t>
        </is>
      </c>
      <c r="G4865" s="12" t="inlineStr">
        <is>
          <t>JB-RICE 4 radiators (-AI01</t>
        </is>
      </c>
      <c r="H4865" s="12" t="inlineStr">
        <is>
          <t>RICE 4 radiators (5)</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7" t="n">
        <v>0</v>
      </c>
      <c r="U4865" s="17" t="n">
        <v>206</v>
      </c>
      <c r="V4865" s="17">
        <f>ROUNDUP((T4865+U4865+2*'Read Me'!$B$13)*(1+'Read Me'!$B$12),-1)</f>
        <v/>
      </c>
      <c r="W4865" s="17">
        <f>V4865*N4865*O4865</f>
        <v/>
      </c>
      <c r="X4865" s="12">
        <f>IF(LEFT(I4865,2)="MV",2*N4865*IF(L4865="1/C",O4865,1),0)</f>
        <v/>
      </c>
      <c r="Y4865" s="12">
        <f>IF(OR(LEFT(K4865,4)="LVAX",LEFT(K4865,6)="MV15AX",LEFT(K4865,4)="CTAX",LEFT(K4865,2)="W|"),2*N4865*O4865,0)</f>
        <v/>
      </c>
      <c r="Z4865" s="12" t="inlineStr"/>
      <c r="AA4865" s="12">
        <f>N4865*O4865</f>
        <v/>
      </c>
    </row>
    <row r="4866">
      <c r="A4866" s="12" t="inlineStr">
        <is>
          <t>I-I-0256</t>
        </is>
      </c>
      <c r="B4866" s="12" t="inlineStr">
        <is>
          <t>I</t>
        </is>
      </c>
      <c r="C4866" s="12" t="inlineStr">
        <is>
          <t>Modular / portable power</t>
        </is>
      </c>
      <c r="D4866" s="12" t="inlineStr">
        <is>
          <t>Discrete device to JB JB-RICE 4 radiators (-DI01: 10 x 1 pr (field cables)</t>
        </is>
      </c>
      <c r="E4866" s="12" t="inlineStr"/>
      <c r="F4866" s="12" t="inlineStr">
        <is>
          <t>RICE 4 radiators (5)</t>
        </is>
      </c>
      <c r="G4866" s="12" t="inlineStr">
        <is>
          <t>JB-RICE 4 radiators (-DI01</t>
        </is>
      </c>
      <c r="H4866" s="12" t="inlineStr">
        <is>
          <t>RICE 4 radiators (5)</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10</v>
      </c>
      <c r="O4866" s="12" t="n">
        <v>1</v>
      </c>
      <c r="P4866" s="12" t="n"/>
      <c r="Q4866" s="12" t="n"/>
      <c r="R4866" s="12" t="n"/>
      <c r="S4866" s="12" t="inlineStr">
        <is>
          <t>Tray / conduit</t>
        </is>
      </c>
      <c r="T4866" s="17" t="n">
        <v>80</v>
      </c>
      <c r="U4866" s="17" t="n">
        <v>10</v>
      </c>
      <c r="V4866" s="17">
        <f>ROUNDUP((T4866+U4866+2*'Read Me'!$B$13)*(1+'Read Me'!$B$12),-1)</f>
        <v/>
      </c>
      <c r="W4866" s="17">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I-I-0257</t>
        </is>
      </c>
      <c r="B4867" s="12" t="inlineStr">
        <is>
          <t>I</t>
        </is>
      </c>
      <c r="C4867" s="12" t="inlineStr">
        <is>
          <t>Modular / portable power</t>
        </is>
      </c>
      <c r="D4867" s="12" t="inlineStr">
        <is>
          <t>Home run JB-RICE 4 radiators (-DI01 to the control / marshalling room</t>
        </is>
      </c>
      <c r="E4867" s="12" t="inlineStr"/>
      <c r="F4867" s="12" t="inlineStr">
        <is>
          <t>PCM: power control module</t>
        </is>
      </c>
      <c r="G4867" s="12" t="inlineStr">
        <is>
          <t>JB-RICE 4 radiators (-DI01</t>
        </is>
      </c>
      <c r="H4867" s="12" t="inlineStr">
        <is>
          <t>RICE 4 radiators (5)</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7" t="n">
        <v>0</v>
      </c>
      <c r="U4867" s="17" t="n">
        <v>206</v>
      </c>
      <c r="V4867" s="17">
        <f>ROUNDUP((T4867+U4867+2*'Read Me'!$B$13)*(1+'Read Me'!$B$12),-1)</f>
        <v/>
      </c>
      <c r="W4867" s="17">
        <f>V4867*N4867*O4867</f>
        <v/>
      </c>
      <c r="X4867" s="12">
        <f>IF(LEFT(I4867,2)="MV",2*N4867*IF(L4867="1/C",O4867,1),0)</f>
        <v/>
      </c>
      <c r="Y4867" s="12">
        <f>IF(OR(LEFT(K4867,4)="LVAX",LEFT(K4867,6)="MV15AX",LEFT(K4867,4)="CTAX",LEFT(K4867,2)="W|"),2*N4867*O4867,0)</f>
        <v/>
      </c>
      <c r="Z4867" s="12" t="inlineStr"/>
      <c r="AA4867" s="12">
        <f>N4867*O4867</f>
        <v/>
      </c>
    </row>
    <row r="4868">
      <c r="A4868" s="12" t="inlineStr">
        <is>
          <t>I-I-0258</t>
        </is>
      </c>
      <c r="B4868" s="12" t="inlineStr">
        <is>
          <t>I</t>
        </is>
      </c>
      <c r="C4868" s="12" t="inlineStr">
        <is>
          <t>Modular / portable power</t>
        </is>
      </c>
      <c r="D4868" s="12" t="inlineStr">
        <is>
          <t>Analog instrument to JB JB-RICE 5 SCR + oxida-AI01: 10 x 1 pr (field cables)</t>
        </is>
      </c>
      <c r="E4868" s="12" t="inlineStr"/>
      <c r="F4868" s="12" t="inlineStr">
        <is>
          <t>RICE 5 SCR + oxidation catalyst and stack</t>
        </is>
      </c>
      <c r="G4868" s="12" t="inlineStr">
        <is>
          <t>JB-RICE 5 SCR + oxida-AI01</t>
        </is>
      </c>
      <c r="H4868" s="12" t="inlineStr">
        <is>
          <t>RICE 5 SCR + oxidation catalyst and stack</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10</v>
      </c>
      <c r="O4868" s="12" t="n">
        <v>1</v>
      </c>
      <c r="P4868" s="12" t="n"/>
      <c r="Q4868" s="12" t="n"/>
      <c r="R4868" s="12" t="n"/>
      <c r="S4868" s="12" t="inlineStr">
        <is>
          <t>Tray / conduit</t>
        </is>
      </c>
      <c r="T4868" s="17" t="n">
        <v>92</v>
      </c>
      <c r="U4868" s="17" t="n">
        <v>10</v>
      </c>
      <c r="V4868" s="17">
        <f>ROUNDUP((T4868+U4868+2*'Read Me'!$B$13)*(1+'Read Me'!$B$12),-1)</f>
        <v/>
      </c>
      <c r="W4868" s="17">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I-I-0259</t>
        </is>
      </c>
      <c r="B4869" s="12" t="inlineStr">
        <is>
          <t>I</t>
        </is>
      </c>
      <c r="C4869" s="12" t="inlineStr">
        <is>
          <t>Modular / portable power</t>
        </is>
      </c>
      <c r="D4869" s="12" t="inlineStr">
        <is>
          <t>Home run JB-RICE 5 SCR + oxida-AI01 to the control / marshalling room</t>
        </is>
      </c>
      <c r="E4869" s="12" t="inlineStr"/>
      <c r="F4869" s="12" t="inlineStr">
        <is>
          <t>PCM: power control module</t>
        </is>
      </c>
      <c r="G4869" s="12" t="inlineStr">
        <is>
          <t>JB-RICE 5 SCR + oxida-AI01</t>
        </is>
      </c>
      <c r="H4869" s="12" t="inlineStr">
        <is>
          <t>RICE 5 SCR + oxidation catalyst and stack</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Duct bank</t>
        </is>
      </c>
      <c r="T4869" s="17" t="n">
        <v>322</v>
      </c>
      <c r="U4869" s="17" t="n">
        <v>196</v>
      </c>
      <c r="V4869" s="17">
        <f>ROUNDUP((T4869+U4869+2*'Read Me'!$B$13)*(1+'Read Me'!$B$12),-1)</f>
        <v/>
      </c>
      <c r="W4869" s="17">
        <f>V4869*N4869*O4869</f>
        <v/>
      </c>
      <c r="X4869" s="12">
        <f>IF(LEFT(I4869,2)="MV",2*N4869*IF(L4869="1/C",O4869,1),0)</f>
        <v/>
      </c>
      <c r="Y4869" s="12">
        <f>IF(OR(LEFT(K4869,4)="LVAX",LEFT(K4869,6)="MV15AX",LEFT(K4869,4)="CTAX",LEFT(K4869,2)="W|"),2*N4869*O4869,0)</f>
        <v/>
      </c>
      <c r="Z4869" s="12" t="inlineStr"/>
      <c r="AA4869" s="12">
        <f>N4869*O4869</f>
        <v/>
      </c>
    </row>
    <row r="4870">
      <c r="A4870" s="12" t="inlineStr">
        <is>
          <t>I-I-0260</t>
        </is>
      </c>
      <c r="B4870" s="12" t="inlineStr">
        <is>
          <t>I</t>
        </is>
      </c>
      <c r="C4870" s="12" t="inlineStr">
        <is>
          <t>Modular / portable power</t>
        </is>
      </c>
      <c r="D4870" s="12" t="inlineStr">
        <is>
          <t>Discrete device to JB JB-RICE 5 SCR + oxida-DI01: 6 x 1 pr (field cables)</t>
        </is>
      </c>
      <c r="E4870" s="12" t="inlineStr"/>
      <c r="F4870" s="12" t="inlineStr">
        <is>
          <t>RICE 5 SCR + oxidation catalyst and stack</t>
        </is>
      </c>
      <c r="G4870" s="12" t="inlineStr">
        <is>
          <t>JB-RICE 5 SCR + oxida-DI01</t>
        </is>
      </c>
      <c r="H4870" s="12" t="inlineStr">
        <is>
          <t>RICE 5 SCR + oxidation catalyst and stack</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6</v>
      </c>
      <c r="O4870" s="12" t="n">
        <v>1</v>
      </c>
      <c r="P4870" s="12" t="n"/>
      <c r="Q4870" s="12" t="n"/>
      <c r="R4870" s="12" t="n"/>
      <c r="S4870" s="12" t="inlineStr">
        <is>
          <t>Tray / conduit</t>
        </is>
      </c>
      <c r="T4870" s="17" t="n">
        <v>92</v>
      </c>
      <c r="U4870" s="17" t="n">
        <v>10</v>
      </c>
      <c r="V4870" s="17">
        <f>ROUNDUP((T4870+U4870+2*'Read Me'!$B$13)*(1+'Read Me'!$B$12),-1)</f>
        <v/>
      </c>
      <c r="W4870" s="17">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I-I-0261</t>
        </is>
      </c>
      <c r="B4871" s="12" t="inlineStr">
        <is>
          <t>I</t>
        </is>
      </c>
      <c r="C4871" s="12" t="inlineStr">
        <is>
          <t>Modular / portable power</t>
        </is>
      </c>
      <c r="D4871" s="12" t="inlineStr">
        <is>
          <t>Home run JB-RICE 5 SCR + oxida-DI01 to the control / marshalling room</t>
        </is>
      </c>
      <c r="E4871" s="12" t="inlineStr"/>
      <c r="F4871" s="12" t="inlineStr">
        <is>
          <t>PCM: power control module</t>
        </is>
      </c>
      <c r="G4871" s="12" t="inlineStr">
        <is>
          <t>JB-RICE 5 SCR + oxida-DI01</t>
        </is>
      </c>
      <c r="H4871" s="12" t="inlineStr">
        <is>
          <t>RICE 5 SCR + oxidation catalyst and stack</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7" t="n">
        <v>322</v>
      </c>
      <c r="U4871" s="17" t="n">
        <v>196</v>
      </c>
      <c r="V4871" s="17">
        <f>ROUNDUP((T4871+U4871+2*'Read Me'!$B$13)*(1+'Read Me'!$B$12),-1)</f>
        <v/>
      </c>
      <c r="W4871" s="17">
        <f>V4871*N4871*O4871</f>
        <v/>
      </c>
      <c r="X4871" s="12">
        <f>IF(LEFT(I4871,2)="MV",2*N4871*IF(L4871="1/C",O4871,1),0)</f>
        <v/>
      </c>
      <c r="Y4871" s="12">
        <f>IF(OR(LEFT(K4871,4)="LVAX",LEFT(K4871,6)="MV15AX",LEFT(K4871,4)="CTAX",LEFT(K4871,2)="W|"),2*N4871*O4871,0)</f>
        <v/>
      </c>
      <c r="Z4871" s="12" t="inlineStr"/>
      <c r="AA4871" s="12">
        <f>N4871*O4871</f>
        <v/>
      </c>
    </row>
    <row r="4872">
      <c r="A4872" s="12" t="inlineStr">
        <is>
          <t>I-I-0262</t>
        </is>
      </c>
      <c r="B4872" s="12" t="inlineStr">
        <is>
          <t>I</t>
        </is>
      </c>
      <c r="C4872" s="12" t="inlineStr">
        <is>
          <t>Modular / portable power</t>
        </is>
      </c>
      <c r="D4872" s="12" t="inlineStr">
        <is>
          <t>Analog instrument to JB JB-RICE 5 radiators (-AI01: 5 x 1 pr (field cables)</t>
        </is>
      </c>
      <c r="E4872" s="12" t="inlineStr"/>
      <c r="F4872" s="12" t="inlineStr">
        <is>
          <t>RICE 5 radiators (5)</t>
        </is>
      </c>
      <c r="G4872" s="12" t="inlineStr">
        <is>
          <t>JB-RICE 5 radiators (-AI01</t>
        </is>
      </c>
      <c r="H4872" s="12" t="inlineStr">
        <is>
          <t>RICE 5 radiators (5)</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5</v>
      </c>
      <c r="O4872" s="12" t="n">
        <v>1</v>
      </c>
      <c r="P4872" s="12" t="n"/>
      <c r="Q4872" s="12" t="n"/>
      <c r="R4872" s="12" t="n"/>
      <c r="S4872" s="12" t="inlineStr">
        <is>
          <t>Tray / conduit</t>
        </is>
      </c>
      <c r="T4872" s="17" t="n">
        <v>80</v>
      </c>
      <c r="U4872" s="17" t="n">
        <v>10</v>
      </c>
      <c r="V4872" s="17">
        <f>ROUNDUP((T4872+U4872+2*'Read Me'!$B$13)*(1+'Read Me'!$B$12),-1)</f>
        <v/>
      </c>
      <c r="W4872" s="17">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I-I-0263</t>
        </is>
      </c>
      <c r="B4873" s="12" t="inlineStr">
        <is>
          <t>I</t>
        </is>
      </c>
      <c r="C4873" s="12" t="inlineStr">
        <is>
          <t>Modular / portable power</t>
        </is>
      </c>
      <c r="D4873" s="12" t="inlineStr">
        <is>
          <t>Home run JB-RICE 5 radiators (-AI01 to the control / marshalling room</t>
        </is>
      </c>
      <c r="E4873" s="12" t="inlineStr"/>
      <c r="F4873" s="12" t="inlineStr">
        <is>
          <t>PCM: power control module</t>
        </is>
      </c>
      <c r="G4873" s="12" t="inlineStr">
        <is>
          <t>JB-RICE 5 radiators (-AI01</t>
        </is>
      </c>
      <c r="H4873" s="12" t="inlineStr">
        <is>
          <t>RICE 5 radiators (5)</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7" t="n">
        <v>0</v>
      </c>
      <c r="U4873" s="17" t="n">
        <v>178</v>
      </c>
      <c r="V4873" s="17">
        <f>ROUNDUP((T4873+U4873+2*'Read Me'!$B$13)*(1+'Read Me'!$B$12),-1)</f>
        <v/>
      </c>
      <c r="W4873" s="17">
        <f>V4873*N4873*O4873</f>
        <v/>
      </c>
      <c r="X4873" s="12">
        <f>IF(LEFT(I4873,2)="MV",2*N4873*IF(L4873="1/C",O4873,1),0)</f>
        <v/>
      </c>
      <c r="Y4873" s="12">
        <f>IF(OR(LEFT(K4873,4)="LVAX",LEFT(K4873,6)="MV15AX",LEFT(K4873,4)="CTAX",LEFT(K4873,2)="W|"),2*N4873*O4873,0)</f>
        <v/>
      </c>
      <c r="Z4873" s="12" t="inlineStr"/>
      <c r="AA4873" s="12">
        <f>N4873*O4873</f>
        <v/>
      </c>
    </row>
    <row r="4874">
      <c r="A4874" s="12" t="inlineStr">
        <is>
          <t>I-I-0264</t>
        </is>
      </c>
      <c r="B4874" s="12" t="inlineStr">
        <is>
          <t>I</t>
        </is>
      </c>
      <c r="C4874" s="12" t="inlineStr">
        <is>
          <t>Modular / portable power</t>
        </is>
      </c>
      <c r="D4874" s="12" t="inlineStr">
        <is>
          <t>Discrete device to JB JB-RICE 5 radiators (-DI01: 10 x 1 pr (field cables)</t>
        </is>
      </c>
      <c r="E4874" s="12" t="inlineStr"/>
      <c r="F4874" s="12" t="inlineStr">
        <is>
          <t>RICE 5 radiators (5)</t>
        </is>
      </c>
      <c r="G4874" s="12" t="inlineStr">
        <is>
          <t>JB-RICE 5 radiators (-DI01</t>
        </is>
      </c>
      <c r="H4874" s="12" t="inlineStr">
        <is>
          <t>RICE 5 radiators (5)</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10</v>
      </c>
      <c r="O4874" s="12" t="n">
        <v>1</v>
      </c>
      <c r="P4874" s="12" t="n"/>
      <c r="Q4874" s="12" t="n"/>
      <c r="R4874" s="12" t="n"/>
      <c r="S4874" s="12" t="inlineStr">
        <is>
          <t>Tray / conduit</t>
        </is>
      </c>
      <c r="T4874" s="17" t="n">
        <v>80</v>
      </c>
      <c r="U4874" s="17" t="n">
        <v>10</v>
      </c>
      <c r="V4874" s="17">
        <f>ROUNDUP((T4874+U4874+2*'Read Me'!$B$13)*(1+'Read Me'!$B$12),-1)</f>
        <v/>
      </c>
      <c r="W4874" s="17">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I-I-0265</t>
        </is>
      </c>
      <c r="B4875" s="12" t="inlineStr">
        <is>
          <t>I</t>
        </is>
      </c>
      <c r="C4875" s="12" t="inlineStr">
        <is>
          <t>Modular / portable power</t>
        </is>
      </c>
      <c r="D4875" s="12" t="inlineStr">
        <is>
          <t>Home run JB-RICE 5 radiators (-DI01 to the control / marshalling room</t>
        </is>
      </c>
      <c r="E4875" s="12" t="inlineStr"/>
      <c r="F4875" s="12" t="inlineStr">
        <is>
          <t>PCM: power control module</t>
        </is>
      </c>
      <c r="G4875" s="12" t="inlineStr">
        <is>
          <t>JB-RICE 5 radiators (-DI01</t>
        </is>
      </c>
      <c r="H4875" s="12" t="inlineStr">
        <is>
          <t>RICE 5 radiators (5)</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7" t="n">
        <v>0</v>
      </c>
      <c r="U4875" s="17" t="n">
        <v>178</v>
      </c>
      <c r="V4875" s="17">
        <f>ROUNDUP((T4875+U4875+2*'Read Me'!$B$13)*(1+'Read Me'!$B$12),-1)</f>
        <v/>
      </c>
      <c r="W4875" s="17">
        <f>V4875*N4875*O4875</f>
        <v/>
      </c>
      <c r="X4875" s="12">
        <f>IF(LEFT(I4875,2)="MV",2*N4875*IF(L4875="1/C",O4875,1),0)</f>
        <v/>
      </c>
      <c r="Y4875" s="12">
        <f>IF(OR(LEFT(K4875,4)="LVAX",LEFT(K4875,6)="MV15AX",LEFT(K4875,4)="CTAX",LEFT(K4875,2)="W|"),2*N4875*O4875,0)</f>
        <v/>
      </c>
      <c r="Z4875" s="12" t="inlineStr"/>
      <c r="AA4875" s="12">
        <f>N4875*O4875</f>
        <v/>
      </c>
    </row>
    <row r="4876">
      <c r="A4876" s="12" t="inlineStr">
        <is>
          <t>I-I-0266</t>
        </is>
      </c>
      <c r="B4876" s="12" t="inlineStr">
        <is>
          <t>I</t>
        </is>
      </c>
      <c r="C4876" s="12" t="inlineStr">
        <is>
          <t>Modular / portable power</t>
        </is>
      </c>
      <c r="D4876" s="12" t="inlineStr">
        <is>
          <t>Analog instrument to JB JB-RICE 6 SCR + oxida-AI01: 10 x 1 pr (field cables)</t>
        </is>
      </c>
      <c r="E4876" s="12" t="inlineStr"/>
      <c r="F4876" s="12" t="inlineStr">
        <is>
          <t>RICE 6 SCR + oxidation catalyst and stack</t>
        </is>
      </c>
      <c r="G4876" s="12" t="inlineStr">
        <is>
          <t>JB-RICE 6 SCR + oxida-AI01</t>
        </is>
      </c>
      <c r="H4876" s="12" t="inlineStr">
        <is>
          <t>RICE 6 SCR + oxidation catalyst and stack</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10</v>
      </c>
      <c r="O4876" s="12" t="n">
        <v>1</v>
      </c>
      <c r="P4876" s="12" t="n"/>
      <c r="Q4876" s="12" t="n"/>
      <c r="R4876" s="12" t="n"/>
      <c r="S4876" s="12" t="inlineStr">
        <is>
          <t>Tray / conduit</t>
        </is>
      </c>
      <c r="T4876" s="17" t="n">
        <v>92</v>
      </c>
      <c r="U4876" s="17" t="n">
        <v>10</v>
      </c>
      <c r="V4876" s="17">
        <f>ROUNDUP((T4876+U4876+2*'Read Me'!$B$13)*(1+'Read Me'!$B$12),-1)</f>
        <v/>
      </c>
      <c r="W4876" s="17">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I-I-0267</t>
        </is>
      </c>
      <c r="B4877" s="12" t="inlineStr">
        <is>
          <t>I</t>
        </is>
      </c>
      <c r="C4877" s="12" t="inlineStr">
        <is>
          <t>Modular / portable power</t>
        </is>
      </c>
      <c r="D4877" s="12" t="inlineStr">
        <is>
          <t>Home run JB-RICE 6 SCR + oxida-AI01 to the control / marshalling room</t>
        </is>
      </c>
      <c r="E4877" s="12" t="inlineStr"/>
      <c r="F4877" s="12" t="inlineStr">
        <is>
          <t>PCM: power control module</t>
        </is>
      </c>
      <c r="G4877" s="12" t="inlineStr">
        <is>
          <t>JB-RICE 6 SCR + oxida-AI01</t>
        </is>
      </c>
      <c r="H4877" s="12" t="inlineStr">
        <is>
          <t>RICE 6 SCR + oxidation catalyst and stack</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7" t="n">
        <v>322</v>
      </c>
      <c r="U4877" s="17" t="n">
        <v>168</v>
      </c>
      <c r="V4877" s="17">
        <f>ROUNDUP((T4877+U4877+2*'Read Me'!$B$13)*(1+'Read Me'!$B$12),-1)</f>
        <v/>
      </c>
      <c r="W4877" s="17">
        <f>V4877*N4877*O4877</f>
        <v/>
      </c>
      <c r="X4877" s="12">
        <f>IF(LEFT(I4877,2)="MV",2*N4877*IF(L4877="1/C",O4877,1),0)</f>
        <v/>
      </c>
      <c r="Y4877" s="12">
        <f>IF(OR(LEFT(K4877,4)="LVAX",LEFT(K4877,6)="MV15AX",LEFT(K4877,4)="CTAX",LEFT(K4877,2)="W|"),2*N4877*O4877,0)</f>
        <v/>
      </c>
      <c r="Z4877" s="12" t="inlineStr"/>
      <c r="AA4877" s="12">
        <f>N4877*O4877</f>
        <v/>
      </c>
    </row>
    <row r="4878">
      <c r="A4878" s="12" t="inlineStr">
        <is>
          <t>I-I-0268</t>
        </is>
      </c>
      <c r="B4878" s="12" t="inlineStr">
        <is>
          <t>I</t>
        </is>
      </c>
      <c r="C4878" s="12" t="inlineStr">
        <is>
          <t>Modular / portable power</t>
        </is>
      </c>
      <c r="D4878" s="12" t="inlineStr">
        <is>
          <t>Discrete device to JB JB-RICE 6 SCR + oxida-DI01: 6 x 1 pr (field cables)</t>
        </is>
      </c>
      <c r="E4878" s="12" t="inlineStr"/>
      <c r="F4878" s="12" t="inlineStr">
        <is>
          <t>RICE 6 SCR + oxidation catalyst and stack</t>
        </is>
      </c>
      <c r="G4878" s="12" t="inlineStr">
        <is>
          <t>JB-RICE 6 SCR + oxida-DI01</t>
        </is>
      </c>
      <c r="H4878" s="12" t="inlineStr">
        <is>
          <t>RICE 6 SCR + oxidation catalyst and stack</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6</v>
      </c>
      <c r="O4878" s="12" t="n">
        <v>1</v>
      </c>
      <c r="P4878" s="12" t="n"/>
      <c r="Q4878" s="12" t="n"/>
      <c r="R4878" s="12" t="n"/>
      <c r="S4878" s="12" t="inlineStr">
        <is>
          <t>Tray / conduit</t>
        </is>
      </c>
      <c r="T4878" s="17" t="n">
        <v>92</v>
      </c>
      <c r="U4878" s="17" t="n">
        <v>10</v>
      </c>
      <c r="V4878" s="17">
        <f>ROUNDUP((T4878+U4878+2*'Read Me'!$B$13)*(1+'Read Me'!$B$12),-1)</f>
        <v/>
      </c>
      <c r="W4878" s="17">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I-I-0269</t>
        </is>
      </c>
      <c r="B4879" s="12" t="inlineStr">
        <is>
          <t>I</t>
        </is>
      </c>
      <c r="C4879" s="12" t="inlineStr">
        <is>
          <t>Modular / portable power</t>
        </is>
      </c>
      <c r="D4879" s="12" t="inlineStr">
        <is>
          <t>Home run JB-RICE 6 SCR + oxida-DI01 to the control / marshalling room</t>
        </is>
      </c>
      <c r="E4879" s="12" t="inlineStr"/>
      <c r="F4879" s="12" t="inlineStr">
        <is>
          <t>PCM: power control module</t>
        </is>
      </c>
      <c r="G4879" s="12" t="inlineStr">
        <is>
          <t>JB-RICE 6 SCR + oxida-DI01</t>
        </is>
      </c>
      <c r="H4879" s="12" t="inlineStr">
        <is>
          <t>RICE 6 SCR + oxidation catalyst and stack</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7" t="n">
        <v>322</v>
      </c>
      <c r="U4879" s="17" t="n">
        <v>168</v>
      </c>
      <c r="V4879" s="17">
        <f>ROUNDUP((T4879+U4879+2*'Read Me'!$B$13)*(1+'Read Me'!$B$12),-1)</f>
        <v/>
      </c>
      <c r="W4879" s="17">
        <f>V4879*N4879*O4879</f>
        <v/>
      </c>
      <c r="X4879" s="12">
        <f>IF(LEFT(I4879,2)="MV",2*N4879*IF(L4879="1/C",O4879,1),0)</f>
        <v/>
      </c>
      <c r="Y4879" s="12">
        <f>IF(OR(LEFT(K4879,4)="LVAX",LEFT(K4879,6)="MV15AX",LEFT(K4879,4)="CTAX",LEFT(K4879,2)="W|"),2*N4879*O4879,0)</f>
        <v/>
      </c>
      <c r="Z4879" s="12" t="inlineStr"/>
      <c r="AA4879" s="12">
        <f>N4879*O4879</f>
        <v/>
      </c>
    </row>
    <row r="4880">
      <c r="A4880" s="12" t="inlineStr">
        <is>
          <t>I-I-0270</t>
        </is>
      </c>
      <c r="B4880" s="12" t="inlineStr">
        <is>
          <t>I</t>
        </is>
      </c>
      <c r="C4880" s="12" t="inlineStr">
        <is>
          <t>Modular / portable power</t>
        </is>
      </c>
      <c r="D4880" s="12" t="inlineStr">
        <is>
          <t>Analog instrument to JB JB-RICE 6 radiators (-AI01: 5 x 1 pr (field cables)</t>
        </is>
      </c>
      <c r="E4880" s="12" t="inlineStr"/>
      <c r="F4880" s="12" t="inlineStr">
        <is>
          <t>RICE 6 radiators (5)</t>
        </is>
      </c>
      <c r="G4880" s="12" t="inlineStr">
        <is>
          <t>JB-RICE 6 radiators (-AI01</t>
        </is>
      </c>
      <c r="H4880" s="12" t="inlineStr">
        <is>
          <t>RICE 6 radiators (5)</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5</v>
      </c>
      <c r="O4880" s="12" t="n">
        <v>1</v>
      </c>
      <c r="P4880" s="12" t="n"/>
      <c r="Q4880" s="12" t="n"/>
      <c r="R4880" s="12" t="n"/>
      <c r="S4880" s="12" t="inlineStr">
        <is>
          <t>Tray / conduit</t>
        </is>
      </c>
      <c r="T4880" s="17" t="n">
        <v>80</v>
      </c>
      <c r="U4880" s="17" t="n">
        <v>10</v>
      </c>
      <c r="V4880" s="17">
        <f>ROUNDUP((T4880+U4880+2*'Read Me'!$B$13)*(1+'Read Me'!$B$12),-1)</f>
        <v/>
      </c>
      <c r="W4880" s="17">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I-I-0271</t>
        </is>
      </c>
      <c r="B4881" s="12" t="inlineStr">
        <is>
          <t>I</t>
        </is>
      </c>
      <c r="C4881" s="12" t="inlineStr">
        <is>
          <t>Modular / portable power</t>
        </is>
      </c>
      <c r="D4881" s="12" t="inlineStr">
        <is>
          <t>Home run JB-RICE 6 radiators (-AI01 to the control / marshalling room</t>
        </is>
      </c>
      <c r="E4881" s="12" t="inlineStr"/>
      <c r="F4881" s="12" t="inlineStr">
        <is>
          <t>PCM: power control module</t>
        </is>
      </c>
      <c r="G4881" s="12" t="inlineStr">
        <is>
          <t>JB-RICE 6 radiators (-AI01</t>
        </is>
      </c>
      <c r="H4881" s="12" t="inlineStr">
        <is>
          <t>RICE 6 radiators (5)</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Tray</t>
        </is>
      </c>
      <c r="T4881" s="17" t="n">
        <v>0</v>
      </c>
      <c r="U4881" s="17" t="n">
        <v>150</v>
      </c>
      <c r="V4881" s="17">
        <f>ROUNDUP((T4881+U4881+2*'Read Me'!$B$13)*(1+'Read Me'!$B$12),-1)</f>
        <v/>
      </c>
      <c r="W4881" s="17">
        <f>V4881*N4881*O4881</f>
        <v/>
      </c>
      <c r="X4881" s="12">
        <f>IF(LEFT(I4881,2)="MV",2*N4881*IF(L4881="1/C",O4881,1),0)</f>
        <v/>
      </c>
      <c r="Y4881" s="12">
        <f>IF(OR(LEFT(K4881,4)="LVAX",LEFT(K4881,6)="MV15AX",LEFT(K4881,4)="CTAX",LEFT(K4881,2)="W|"),2*N4881*O4881,0)</f>
        <v/>
      </c>
      <c r="Z4881" s="12" t="inlineStr"/>
      <c r="AA4881" s="12">
        <f>N4881*O4881</f>
        <v/>
      </c>
    </row>
    <row r="4882">
      <c r="A4882" s="12" t="inlineStr">
        <is>
          <t>I-I-0272</t>
        </is>
      </c>
      <c r="B4882" s="12" t="inlineStr">
        <is>
          <t>I</t>
        </is>
      </c>
      <c r="C4882" s="12" t="inlineStr">
        <is>
          <t>Modular / portable power</t>
        </is>
      </c>
      <c r="D4882" s="12" t="inlineStr">
        <is>
          <t>Discrete device to JB JB-RICE 6 radiators (-DI01: 10 x 1 pr (field cables)</t>
        </is>
      </c>
      <c r="E4882" s="12" t="inlineStr"/>
      <c r="F4882" s="12" t="inlineStr">
        <is>
          <t>RICE 6 radiators (5)</t>
        </is>
      </c>
      <c r="G4882" s="12" t="inlineStr">
        <is>
          <t>JB-RICE 6 radiators (-DI01</t>
        </is>
      </c>
      <c r="H4882" s="12" t="inlineStr">
        <is>
          <t>RICE 6 radiators (5)</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10</v>
      </c>
      <c r="O4882" s="12" t="n">
        <v>1</v>
      </c>
      <c r="P4882" s="12" t="n"/>
      <c r="Q4882" s="12" t="n"/>
      <c r="R4882" s="12" t="n"/>
      <c r="S4882" s="12" t="inlineStr">
        <is>
          <t>Tray / conduit</t>
        </is>
      </c>
      <c r="T4882" s="17" t="n">
        <v>80</v>
      </c>
      <c r="U4882" s="17" t="n">
        <v>10</v>
      </c>
      <c r="V4882" s="17">
        <f>ROUNDUP((T4882+U4882+2*'Read Me'!$B$13)*(1+'Read Me'!$B$12),-1)</f>
        <v/>
      </c>
      <c r="W4882" s="17">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I-I-0273</t>
        </is>
      </c>
      <c r="B4883" s="12" t="inlineStr">
        <is>
          <t>I</t>
        </is>
      </c>
      <c r="C4883" s="12" t="inlineStr">
        <is>
          <t>Modular / portable power</t>
        </is>
      </c>
      <c r="D4883" s="12" t="inlineStr">
        <is>
          <t>Home run JB-RICE 6 radiators (-DI01 to the control / marshalling room</t>
        </is>
      </c>
      <c r="E4883" s="12" t="inlineStr"/>
      <c r="F4883" s="12" t="inlineStr">
        <is>
          <t>PCM: power control module</t>
        </is>
      </c>
      <c r="G4883" s="12" t="inlineStr">
        <is>
          <t>JB-RICE 6 radiators (-DI01</t>
        </is>
      </c>
      <c r="H4883" s="12" t="inlineStr">
        <is>
          <t>RICE 6 radiators (5)</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Tray</t>
        </is>
      </c>
      <c r="T4883" s="17" t="n">
        <v>0</v>
      </c>
      <c r="U4883" s="17" t="n">
        <v>150</v>
      </c>
      <c r="V4883" s="17">
        <f>ROUNDUP((T4883+U4883+2*'Read Me'!$B$13)*(1+'Read Me'!$B$12),-1)</f>
        <v/>
      </c>
      <c r="W4883" s="17">
        <f>V4883*N4883*O4883</f>
        <v/>
      </c>
      <c r="X4883" s="12">
        <f>IF(LEFT(I4883,2)="MV",2*N4883*IF(L4883="1/C",O4883,1),0)</f>
        <v/>
      </c>
      <c r="Y4883" s="12">
        <f>IF(OR(LEFT(K4883,4)="LVAX",LEFT(K4883,6)="MV15AX",LEFT(K4883,4)="CTAX",LEFT(K4883,2)="W|"),2*N4883*O4883,0)</f>
        <v/>
      </c>
      <c r="Z4883" s="12" t="inlineStr"/>
      <c r="AA4883" s="12">
        <f>N4883*O4883</f>
        <v/>
      </c>
    </row>
    <row r="4884">
      <c r="A4884" s="12" t="inlineStr">
        <is>
          <t>I-I-0274</t>
        </is>
      </c>
      <c r="B4884" s="12" t="inlineStr">
        <is>
          <t>I</t>
        </is>
      </c>
      <c r="C4884" s="12" t="inlineStr">
        <is>
          <t>Modular / portable power</t>
        </is>
      </c>
      <c r="D4884" s="12" t="inlineStr">
        <is>
          <t>Analog instrument to JB JB-RICE 7 SCR + oxida-AI01: 10 x 1 pr (field cables)</t>
        </is>
      </c>
      <c r="E4884" s="12" t="inlineStr"/>
      <c r="F4884" s="12" t="inlineStr">
        <is>
          <t>RICE 7 SCR + oxidation catalyst and stack</t>
        </is>
      </c>
      <c r="G4884" s="12" t="inlineStr">
        <is>
          <t>JB-RICE 7 SCR + oxida-AI01</t>
        </is>
      </c>
      <c r="H4884" s="12" t="inlineStr">
        <is>
          <t>RICE 7 SCR + oxidation catalyst and stack</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10</v>
      </c>
      <c r="O4884" s="12" t="n">
        <v>1</v>
      </c>
      <c r="P4884" s="12" t="n"/>
      <c r="Q4884" s="12" t="n"/>
      <c r="R4884" s="12" t="n"/>
      <c r="S4884" s="12" t="inlineStr">
        <is>
          <t>Tray / conduit</t>
        </is>
      </c>
      <c r="T4884" s="17" t="n">
        <v>92</v>
      </c>
      <c r="U4884" s="17" t="n">
        <v>10</v>
      </c>
      <c r="V4884" s="17">
        <f>ROUNDUP((T4884+U4884+2*'Read Me'!$B$13)*(1+'Read Me'!$B$12),-1)</f>
        <v/>
      </c>
      <c r="W4884" s="17">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I-I-0275</t>
        </is>
      </c>
      <c r="B4885" s="12" t="inlineStr">
        <is>
          <t>I</t>
        </is>
      </c>
      <c r="C4885" s="12" t="inlineStr">
        <is>
          <t>Modular / portable power</t>
        </is>
      </c>
      <c r="D4885" s="12" t="inlineStr">
        <is>
          <t>Home run JB-RICE 7 SCR + oxida-AI01 to the control / marshalling room</t>
        </is>
      </c>
      <c r="E4885" s="12" t="inlineStr"/>
      <c r="F4885" s="12" t="inlineStr">
        <is>
          <t>PCM: power control module</t>
        </is>
      </c>
      <c r="G4885" s="12" t="inlineStr">
        <is>
          <t>JB-RICE 7 SCR + oxida-AI01</t>
        </is>
      </c>
      <c r="H4885" s="12" t="inlineStr">
        <is>
          <t>RICE 7 SCR + oxidation catalyst and stack</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Duct bank</t>
        </is>
      </c>
      <c r="T4885" s="17" t="n">
        <v>322</v>
      </c>
      <c r="U4885" s="17" t="n">
        <v>140</v>
      </c>
      <c r="V4885" s="17">
        <f>ROUNDUP((T4885+U4885+2*'Read Me'!$B$13)*(1+'Read Me'!$B$12),-1)</f>
        <v/>
      </c>
      <c r="W4885" s="17">
        <f>V4885*N4885*O4885</f>
        <v/>
      </c>
      <c r="X4885" s="12">
        <f>IF(LEFT(I4885,2)="MV",2*N4885*IF(L4885="1/C",O4885,1),0)</f>
        <v/>
      </c>
      <c r="Y4885" s="12">
        <f>IF(OR(LEFT(K4885,4)="LVAX",LEFT(K4885,6)="MV15AX",LEFT(K4885,4)="CTAX",LEFT(K4885,2)="W|"),2*N4885*O4885,0)</f>
        <v/>
      </c>
      <c r="Z4885" s="12" t="inlineStr"/>
      <c r="AA4885" s="12">
        <f>N4885*O4885</f>
        <v/>
      </c>
    </row>
    <row r="4886">
      <c r="A4886" s="12" t="inlineStr">
        <is>
          <t>I-I-0276</t>
        </is>
      </c>
      <c r="B4886" s="12" t="inlineStr">
        <is>
          <t>I</t>
        </is>
      </c>
      <c r="C4886" s="12" t="inlineStr">
        <is>
          <t>Modular / portable power</t>
        </is>
      </c>
      <c r="D4886" s="12" t="inlineStr">
        <is>
          <t>Discrete device to JB JB-RICE 7 SCR + oxida-DI01: 6 x 1 pr (field cables)</t>
        </is>
      </c>
      <c r="E4886" s="12" t="inlineStr"/>
      <c r="F4886" s="12" t="inlineStr">
        <is>
          <t>RICE 7 SCR + oxidation catalyst and stack</t>
        </is>
      </c>
      <c r="G4886" s="12" t="inlineStr">
        <is>
          <t>JB-RICE 7 SCR + oxida-DI01</t>
        </is>
      </c>
      <c r="H4886" s="12" t="inlineStr">
        <is>
          <t>RICE 7 SCR + oxidation catalyst and stack</t>
        </is>
      </c>
      <c r="I4886" s="12" t="inlineStr">
        <is>
          <t>Instrumentation</t>
        </is>
      </c>
      <c r="J4886" s="12" t="inlineStr">
        <is>
          <t>Instrumentation PLTC / TC-ER 300 V, #18 twisted shielded pairs, overall shield</t>
        </is>
      </c>
      <c r="K4886" s="12" t="inlineStr">
        <is>
          <t>PLTC|1 pr|16</t>
        </is>
      </c>
      <c r="L4886" s="12" t="inlineStr">
        <is>
          <t>1 pr</t>
        </is>
      </c>
      <c r="M4886" s="12" t="inlineStr">
        <is>
          <t>16</t>
        </is>
      </c>
      <c r="N4886" s="12" t="n">
        <v>6</v>
      </c>
      <c r="O4886" s="12" t="n">
        <v>1</v>
      </c>
      <c r="P4886" s="12" t="n"/>
      <c r="Q4886" s="12" t="n"/>
      <c r="R4886" s="12" t="n"/>
      <c r="S4886" s="12" t="inlineStr">
        <is>
          <t>Tray / conduit</t>
        </is>
      </c>
      <c r="T4886" s="17" t="n">
        <v>92</v>
      </c>
      <c r="U4886" s="17" t="n">
        <v>10</v>
      </c>
      <c r="V4886" s="17">
        <f>ROUNDUP((T4886+U4886+2*'Read Me'!$B$13)*(1+'Read Me'!$B$12),-1)</f>
        <v/>
      </c>
      <c r="W4886" s="17">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I-I-0277</t>
        </is>
      </c>
      <c r="B4887" s="12" t="inlineStr">
        <is>
          <t>I</t>
        </is>
      </c>
      <c r="C4887" s="12" t="inlineStr">
        <is>
          <t>Modular / portable power</t>
        </is>
      </c>
      <c r="D4887" s="12" t="inlineStr">
        <is>
          <t>Home run JB-RICE 7 SCR + oxida-DI01 to the control / marshalling room</t>
        </is>
      </c>
      <c r="E4887" s="12" t="inlineStr"/>
      <c r="F4887" s="12" t="inlineStr">
        <is>
          <t>PCM: power control module</t>
        </is>
      </c>
      <c r="G4887" s="12" t="inlineStr">
        <is>
          <t>JB-RICE 7 SCR + oxida-DI01</t>
        </is>
      </c>
      <c r="H4887" s="12" t="inlineStr">
        <is>
          <t>RICE 7 SCR + oxidation catalyst and stack</t>
        </is>
      </c>
      <c r="I4887" s="12" t="inlineStr">
        <is>
          <t>Instrumentation</t>
        </is>
      </c>
      <c r="J4887" s="12" t="inlineStr">
        <is>
          <t>Instrumentation PLTC / TC-ER 300 V, #18 twisted shielded pairs, overall shield</t>
        </is>
      </c>
      <c r="K4887" s="12" t="inlineStr">
        <is>
          <t>PLTC|24 pr|18</t>
        </is>
      </c>
      <c r="L4887" s="12" t="inlineStr">
        <is>
          <t>24 pr</t>
        </is>
      </c>
      <c r="M4887" s="12" t="inlineStr">
        <is>
          <t>18</t>
        </is>
      </c>
      <c r="N4887" s="12" t="n">
        <v>1</v>
      </c>
      <c r="O4887" s="12" t="n">
        <v>1</v>
      </c>
      <c r="P4887" s="12" t="n"/>
      <c r="Q4887" s="12" t="n"/>
      <c r="R4887" s="12" t="n"/>
      <c r="S4887" s="12" t="inlineStr">
        <is>
          <t>Duct bank</t>
        </is>
      </c>
      <c r="T4887" s="17" t="n">
        <v>322</v>
      </c>
      <c r="U4887" s="17" t="n">
        <v>140</v>
      </c>
      <c r="V4887" s="17">
        <f>ROUNDUP((T4887+U4887+2*'Read Me'!$B$13)*(1+'Read Me'!$B$12),-1)</f>
        <v/>
      </c>
      <c r="W4887" s="17">
        <f>V4887*N4887*O4887</f>
        <v/>
      </c>
      <c r="X4887" s="12">
        <f>IF(LEFT(I4887,2)="MV",2*N4887*IF(L4887="1/C",O4887,1),0)</f>
        <v/>
      </c>
      <c r="Y4887" s="12">
        <f>IF(OR(LEFT(K4887,4)="LVAX",LEFT(K4887,6)="MV15AX",LEFT(K4887,4)="CTAX",LEFT(K4887,2)="W|"),2*N4887*O4887,0)</f>
        <v/>
      </c>
      <c r="Z4887" s="12" t="inlineStr"/>
      <c r="AA4887" s="12">
        <f>N4887*O4887</f>
        <v/>
      </c>
    </row>
    <row r="4888">
      <c r="A4888" s="12" t="inlineStr">
        <is>
          <t>I-I-0278</t>
        </is>
      </c>
      <c r="B4888" s="12" t="inlineStr">
        <is>
          <t>I</t>
        </is>
      </c>
      <c r="C4888" s="12" t="inlineStr">
        <is>
          <t>Modular / portable power</t>
        </is>
      </c>
      <c r="D4888" s="12" t="inlineStr">
        <is>
          <t>Analog instrument to JB JB-RICE 7 radiators (-AI01: 5 x 1 pr (field cables)</t>
        </is>
      </c>
      <c r="E4888" s="12" t="inlineStr"/>
      <c r="F4888" s="12" t="inlineStr">
        <is>
          <t>RICE 7 radiators (5)</t>
        </is>
      </c>
      <c r="G4888" s="12" t="inlineStr">
        <is>
          <t>JB-RICE 7 radiators (-AI01</t>
        </is>
      </c>
      <c r="H4888" s="12" t="inlineStr">
        <is>
          <t>RICE 7 radiators (5)</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5</v>
      </c>
      <c r="O4888" s="12" t="n">
        <v>1</v>
      </c>
      <c r="P4888" s="12" t="n"/>
      <c r="Q4888" s="12" t="n"/>
      <c r="R4888" s="12" t="n"/>
      <c r="S4888" s="12" t="inlineStr">
        <is>
          <t>Tray / conduit</t>
        </is>
      </c>
      <c r="T4888" s="17" t="n">
        <v>80</v>
      </c>
      <c r="U4888" s="17" t="n">
        <v>10</v>
      </c>
      <c r="V4888" s="17">
        <f>ROUNDUP((T4888+U4888+2*'Read Me'!$B$13)*(1+'Read Me'!$B$12),-1)</f>
        <v/>
      </c>
      <c r="W4888" s="17">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I-I-0279</t>
        </is>
      </c>
      <c r="B4889" s="12" t="inlineStr">
        <is>
          <t>I</t>
        </is>
      </c>
      <c r="C4889" s="12" t="inlineStr">
        <is>
          <t>Modular / portable power</t>
        </is>
      </c>
      <c r="D4889" s="12" t="inlineStr">
        <is>
          <t>Home run JB-RICE 7 radiators (-AI01 to the control / marshalling room</t>
        </is>
      </c>
      <c r="E4889" s="12" t="inlineStr"/>
      <c r="F4889" s="12" t="inlineStr">
        <is>
          <t>PCM: power control module</t>
        </is>
      </c>
      <c r="G4889" s="12" t="inlineStr">
        <is>
          <t>JB-RICE 7 radiators (-AI01</t>
        </is>
      </c>
      <c r="H4889" s="12" t="inlineStr">
        <is>
          <t>RICE 7 radiators (5)</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Tray</t>
        </is>
      </c>
      <c r="T4889" s="17" t="n">
        <v>0</v>
      </c>
      <c r="U4889" s="17" t="n">
        <v>122</v>
      </c>
      <c r="V4889" s="17">
        <f>ROUNDUP((T4889+U4889+2*'Read Me'!$B$13)*(1+'Read Me'!$B$12),-1)</f>
        <v/>
      </c>
      <c r="W4889" s="17">
        <f>V4889*N4889*O4889</f>
        <v/>
      </c>
      <c r="X4889" s="12">
        <f>IF(LEFT(I4889,2)="MV",2*N4889*IF(L4889="1/C",O4889,1),0)</f>
        <v/>
      </c>
      <c r="Y4889" s="12">
        <f>IF(OR(LEFT(K4889,4)="LVAX",LEFT(K4889,6)="MV15AX",LEFT(K4889,4)="CTAX",LEFT(K4889,2)="W|"),2*N4889*O4889,0)</f>
        <v/>
      </c>
      <c r="Z4889" s="12" t="inlineStr"/>
      <c r="AA4889" s="12">
        <f>N4889*O4889</f>
        <v/>
      </c>
    </row>
    <row r="4890">
      <c r="A4890" s="12" t="inlineStr">
        <is>
          <t>I-I-0280</t>
        </is>
      </c>
      <c r="B4890" s="12" t="inlineStr">
        <is>
          <t>I</t>
        </is>
      </c>
      <c r="C4890" s="12" t="inlineStr">
        <is>
          <t>Modular / portable power</t>
        </is>
      </c>
      <c r="D4890" s="12" t="inlineStr">
        <is>
          <t>Discrete device to JB JB-RICE 7 radiators (-DI01: 10 x 1 pr (field cables)</t>
        </is>
      </c>
      <c r="E4890" s="12" t="inlineStr"/>
      <c r="F4890" s="12" t="inlineStr">
        <is>
          <t>RICE 7 radiators (5)</t>
        </is>
      </c>
      <c r="G4890" s="12" t="inlineStr">
        <is>
          <t>JB-RICE 7 radiators (-DI01</t>
        </is>
      </c>
      <c r="H4890" s="12" t="inlineStr">
        <is>
          <t>RICE 7 radiators (5)</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10</v>
      </c>
      <c r="O4890" s="12" t="n">
        <v>1</v>
      </c>
      <c r="P4890" s="12" t="n"/>
      <c r="Q4890" s="12" t="n"/>
      <c r="R4890" s="12" t="n"/>
      <c r="S4890" s="12" t="inlineStr">
        <is>
          <t>Tray / conduit</t>
        </is>
      </c>
      <c r="T4890" s="17" t="n">
        <v>80</v>
      </c>
      <c r="U4890" s="17" t="n">
        <v>10</v>
      </c>
      <c r="V4890" s="17">
        <f>ROUNDUP((T4890+U4890+2*'Read Me'!$B$13)*(1+'Read Me'!$B$12),-1)</f>
        <v/>
      </c>
      <c r="W4890" s="17">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I-I-0281</t>
        </is>
      </c>
      <c r="B4891" s="12" t="inlineStr">
        <is>
          <t>I</t>
        </is>
      </c>
      <c r="C4891" s="12" t="inlineStr">
        <is>
          <t>Modular / portable power</t>
        </is>
      </c>
      <c r="D4891" s="12" t="inlineStr">
        <is>
          <t>Home run JB-RICE 7 radiators (-DI01 to the control / marshalling room</t>
        </is>
      </c>
      <c r="E4891" s="12" t="inlineStr"/>
      <c r="F4891" s="12" t="inlineStr">
        <is>
          <t>PCM: power control module</t>
        </is>
      </c>
      <c r="G4891" s="12" t="inlineStr">
        <is>
          <t>JB-RICE 7 radiators (-DI01</t>
        </is>
      </c>
      <c r="H4891" s="12" t="inlineStr">
        <is>
          <t>RICE 7 radiators (5)</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Tray</t>
        </is>
      </c>
      <c r="T4891" s="17" t="n">
        <v>0</v>
      </c>
      <c r="U4891" s="17" t="n">
        <v>122</v>
      </c>
      <c r="V4891" s="17">
        <f>ROUNDUP((T4891+U4891+2*'Read Me'!$B$13)*(1+'Read Me'!$B$12),-1)</f>
        <v/>
      </c>
      <c r="W4891" s="17">
        <f>V4891*N4891*O4891</f>
        <v/>
      </c>
      <c r="X4891" s="12">
        <f>IF(LEFT(I4891,2)="MV",2*N4891*IF(L4891="1/C",O4891,1),0)</f>
        <v/>
      </c>
      <c r="Y4891" s="12">
        <f>IF(OR(LEFT(K4891,4)="LVAX",LEFT(K4891,6)="MV15AX",LEFT(K4891,4)="CTAX",LEFT(K4891,2)="W|"),2*N4891*O4891,0)</f>
        <v/>
      </c>
      <c r="Z4891" s="12" t="inlineStr"/>
      <c r="AA4891" s="12">
        <f>N4891*O4891</f>
        <v/>
      </c>
    </row>
    <row r="4892">
      <c r="A4892" s="12" t="inlineStr">
        <is>
          <t>I-I-0282</t>
        </is>
      </c>
      <c r="B4892" s="12" t="inlineStr">
        <is>
          <t>I</t>
        </is>
      </c>
      <c r="C4892" s="12" t="inlineStr">
        <is>
          <t>Modular / portable power</t>
        </is>
      </c>
      <c r="D4892" s="12" t="inlineStr">
        <is>
          <t>Analog instrument to JB JB-RICE 8 SCR + oxida-AI01: 10 x 1 pr (field cables)</t>
        </is>
      </c>
      <c r="E4892" s="12" t="inlineStr"/>
      <c r="F4892" s="12" t="inlineStr">
        <is>
          <t>RICE 8 SCR + oxidation catalyst and stack</t>
        </is>
      </c>
      <c r="G4892" s="12" t="inlineStr">
        <is>
          <t>JB-RICE 8 SCR + oxida-AI01</t>
        </is>
      </c>
      <c r="H4892" s="12" t="inlineStr">
        <is>
          <t>RICE 8 SCR + oxidation catalyst and stack</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10</v>
      </c>
      <c r="O4892" s="12" t="n">
        <v>1</v>
      </c>
      <c r="P4892" s="12" t="n"/>
      <c r="Q4892" s="12" t="n"/>
      <c r="R4892" s="12" t="n"/>
      <c r="S4892" s="12" t="inlineStr">
        <is>
          <t>Tray / conduit</t>
        </is>
      </c>
      <c r="T4892" s="17" t="n">
        <v>92</v>
      </c>
      <c r="U4892" s="17" t="n">
        <v>10</v>
      </c>
      <c r="V4892" s="17">
        <f>ROUNDUP((T4892+U4892+2*'Read Me'!$B$13)*(1+'Read Me'!$B$12),-1)</f>
        <v/>
      </c>
      <c r="W4892" s="17">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I-I-0283</t>
        </is>
      </c>
      <c r="B4893" s="12" t="inlineStr">
        <is>
          <t>I</t>
        </is>
      </c>
      <c r="C4893" s="12" t="inlineStr">
        <is>
          <t>Modular / portable power</t>
        </is>
      </c>
      <c r="D4893" s="12" t="inlineStr">
        <is>
          <t>Home run JB-RICE 8 SCR + oxida-AI01 to the control / marshalling room</t>
        </is>
      </c>
      <c r="E4893" s="12" t="inlineStr"/>
      <c r="F4893" s="12" t="inlineStr">
        <is>
          <t>PCM: power control module</t>
        </is>
      </c>
      <c r="G4893" s="12" t="inlineStr">
        <is>
          <t>JB-RICE 8 SCR + oxida-AI01</t>
        </is>
      </c>
      <c r="H4893" s="12" t="inlineStr">
        <is>
          <t>RICE 8 SCR + oxidation catalyst and stack</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7" t="n">
        <v>322</v>
      </c>
      <c r="U4893" s="17" t="n">
        <v>112</v>
      </c>
      <c r="V4893" s="17">
        <f>ROUNDUP((T4893+U4893+2*'Read Me'!$B$13)*(1+'Read Me'!$B$12),-1)</f>
        <v/>
      </c>
      <c r="W4893" s="17">
        <f>V4893*N4893*O4893</f>
        <v/>
      </c>
      <c r="X4893" s="12">
        <f>IF(LEFT(I4893,2)="MV",2*N4893*IF(L4893="1/C",O4893,1),0)</f>
        <v/>
      </c>
      <c r="Y4893" s="12">
        <f>IF(OR(LEFT(K4893,4)="LVAX",LEFT(K4893,6)="MV15AX",LEFT(K4893,4)="CTAX",LEFT(K4893,2)="W|"),2*N4893*O4893,0)</f>
        <v/>
      </c>
      <c r="Z4893" s="12" t="inlineStr"/>
      <c r="AA4893" s="12">
        <f>N4893*O4893</f>
        <v/>
      </c>
    </row>
    <row r="4894">
      <c r="A4894" s="12" t="inlineStr">
        <is>
          <t>I-I-0284</t>
        </is>
      </c>
      <c r="B4894" s="12" t="inlineStr">
        <is>
          <t>I</t>
        </is>
      </c>
      <c r="C4894" s="12" t="inlineStr">
        <is>
          <t>Modular / portable power</t>
        </is>
      </c>
      <c r="D4894" s="12" t="inlineStr">
        <is>
          <t>Discrete device to JB JB-RICE 8 SCR + oxida-DI01: 6 x 1 pr (field cables)</t>
        </is>
      </c>
      <c r="E4894" s="12" t="inlineStr"/>
      <c r="F4894" s="12" t="inlineStr">
        <is>
          <t>RICE 8 SCR + oxidation catalyst and stack</t>
        </is>
      </c>
      <c r="G4894" s="12" t="inlineStr">
        <is>
          <t>JB-RICE 8 SCR + oxida-DI01</t>
        </is>
      </c>
      <c r="H4894" s="12" t="inlineStr">
        <is>
          <t>RICE 8 SCR + oxidation catalyst and stack</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6</v>
      </c>
      <c r="O4894" s="12" t="n">
        <v>1</v>
      </c>
      <c r="P4894" s="12" t="n"/>
      <c r="Q4894" s="12" t="n"/>
      <c r="R4894" s="12" t="n"/>
      <c r="S4894" s="12" t="inlineStr">
        <is>
          <t>Tray / conduit</t>
        </is>
      </c>
      <c r="T4894" s="17" t="n">
        <v>92</v>
      </c>
      <c r="U4894" s="17" t="n">
        <v>10</v>
      </c>
      <c r="V4894" s="17">
        <f>ROUNDUP((T4894+U4894+2*'Read Me'!$B$13)*(1+'Read Me'!$B$12),-1)</f>
        <v/>
      </c>
      <c r="W4894" s="17">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I-I-0285</t>
        </is>
      </c>
      <c r="B4895" s="12" t="inlineStr">
        <is>
          <t>I</t>
        </is>
      </c>
      <c r="C4895" s="12" t="inlineStr">
        <is>
          <t>Modular / portable power</t>
        </is>
      </c>
      <c r="D4895" s="12" t="inlineStr">
        <is>
          <t>Home run JB-RICE 8 SCR + oxida-DI01 to the control / marshalling room</t>
        </is>
      </c>
      <c r="E4895" s="12" t="inlineStr"/>
      <c r="F4895" s="12" t="inlineStr">
        <is>
          <t>PCM: power control module</t>
        </is>
      </c>
      <c r="G4895" s="12" t="inlineStr">
        <is>
          <t>JB-RICE 8 SCR + oxida-DI01</t>
        </is>
      </c>
      <c r="H4895" s="12" t="inlineStr">
        <is>
          <t>RICE 8 SCR + oxidation catalyst and stack</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7" t="n">
        <v>322</v>
      </c>
      <c r="U4895" s="17" t="n">
        <v>112</v>
      </c>
      <c r="V4895" s="17">
        <f>ROUNDUP((T4895+U4895+2*'Read Me'!$B$13)*(1+'Read Me'!$B$12),-1)</f>
        <v/>
      </c>
      <c r="W4895" s="17">
        <f>V4895*N4895*O4895</f>
        <v/>
      </c>
      <c r="X4895" s="12">
        <f>IF(LEFT(I4895,2)="MV",2*N4895*IF(L4895="1/C",O4895,1),0)</f>
        <v/>
      </c>
      <c r="Y4895" s="12">
        <f>IF(OR(LEFT(K4895,4)="LVAX",LEFT(K4895,6)="MV15AX",LEFT(K4895,4)="CTAX",LEFT(K4895,2)="W|"),2*N4895*O4895,0)</f>
        <v/>
      </c>
      <c r="Z4895" s="12" t="inlineStr"/>
      <c r="AA4895" s="12">
        <f>N4895*O4895</f>
        <v/>
      </c>
    </row>
    <row r="4896">
      <c r="A4896" s="12" t="inlineStr">
        <is>
          <t>I-I-0286</t>
        </is>
      </c>
      <c r="B4896" s="12" t="inlineStr">
        <is>
          <t>I</t>
        </is>
      </c>
      <c r="C4896" s="12" t="inlineStr">
        <is>
          <t>Modular / portable power</t>
        </is>
      </c>
      <c r="D4896" s="12" t="inlineStr">
        <is>
          <t>Analog instrument to JB JB-RICE 8 radiators (-AI01: 5 x 1 pr (field cables)</t>
        </is>
      </c>
      <c r="E4896" s="12" t="inlineStr"/>
      <c r="F4896" s="12" t="inlineStr">
        <is>
          <t>RICE 8 radiators (5)</t>
        </is>
      </c>
      <c r="G4896" s="12" t="inlineStr">
        <is>
          <t>JB-RICE 8 radiators (-AI01</t>
        </is>
      </c>
      <c r="H4896" s="12" t="inlineStr">
        <is>
          <t>RICE 8 radiators (5)</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5</v>
      </c>
      <c r="O4896" s="12" t="n">
        <v>1</v>
      </c>
      <c r="P4896" s="12" t="n"/>
      <c r="Q4896" s="12" t="n"/>
      <c r="R4896" s="12" t="n"/>
      <c r="S4896" s="12" t="inlineStr">
        <is>
          <t>Tray / conduit</t>
        </is>
      </c>
      <c r="T4896" s="17" t="n">
        <v>80</v>
      </c>
      <c r="U4896" s="17" t="n">
        <v>10</v>
      </c>
      <c r="V4896" s="17">
        <f>ROUNDUP((T4896+U4896+2*'Read Me'!$B$13)*(1+'Read Me'!$B$12),-1)</f>
        <v/>
      </c>
      <c r="W4896" s="17">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I-I-0287</t>
        </is>
      </c>
      <c r="B4897" s="12" t="inlineStr">
        <is>
          <t>I</t>
        </is>
      </c>
      <c r="C4897" s="12" t="inlineStr">
        <is>
          <t>Modular / portable power</t>
        </is>
      </c>
      <c r="D4897" s="12" t="inlineStr">
        <is>
          <t>Home run JB-RICE 8 radiators (-AI01 to the control / marshalling room</t>
        </is>
      </c>
      <c r="E4897" s="12" t="inlineStr"/>
      <c r="F4897" s="12" t="inlineStr">
        <is>
          <t>PCM: power control module</t>
        </is>
      </c>
      <c r="G4897" s="12" t="inlineStr">
        <is>
          <t>JB-RICE 8 radiators (-AI01</t>
        </is>
      </c>
      <c r="H4897" s="12" t="inlineStr">
        <is>
          <t>RICE 8 radiators (5)</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Tray</t>
        </is>
      </c>
      <c r="T4897" s="17" t="n">
        <v>0</v>
      </c>
      <c r="U4897" s="17" t="n">
        <v>94</v>
      </c>
      <c r="V4897" s="17">
        <f>ROUNDUP((T4897+U4897+2*'Read Me'!$B$13)*(1+'Read Me'!$B$12),-1)</f>
        <v/>
      </c>
      <c r="W4897" s="17">
        <f>V4897*N4897*O4897</f>
        <v/>
      </c>
      <c r="X4897" s="12">
        <f>IF(LEFT(I4897,2)="MV",2*N4897*IF(L4897="1/C",O4897,1),0)</f>
        <v/>
      </c>
      <c r="Y4897" s="12">
        <f>IF(OR(LEFT(K4897,4)="LVAX",LEFT(K4897,6)="MV15AX",LEFT(K4897,4)="CTAX",LEFT(K4897,2)="W|"),2*N4897*O4897,0)</f>
        <v/>
      </c>
      <c r="Z4897" s="12" t="inlineStr"/>
      <c r="AA4897" s="12">
        <f>N4897*O4897</f>
        <v/>
      </c>
    </row>
    <row r="4898">
      <c r="A4898" s="12" t="inlineStr">
        <is>
          <t>I-I-0288</t>
        </is>
      </c>
      <c r="B4898" s="12" t="inlineStr">
        <is>
          <t>I</t>
        </is>
      </c>
      <c r="C4898" s="12" t="inlineStr">
        <is>
          <t>Modular / portable power</t>
        </is>
      </c>
      <c r="D4898" s="12" t="inlineStr">
        <is>
          <t>Discrete device to JB JB-RICE 8 radiators (-DI01: 10 x 1 pr (field cables)</t>
        </is>
      </c>
      <c r="E4898" s="12" t="inlineStr"/>
      <c r="F4898" s="12" t="inlineStr">
        <is>
          <t>RICE 8 radiators (5)</t>
        </is>
      </c>
      <c r="G4898" s="12" t="inlineStr">
        <is>
          <t>JB-RICE 8 radiators (-DI01</t>
        </is>
      </c>
      <c r="H4898" s="12" t="inlineStr">
        <is>
          <t>RICE 8 radiators (5)</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10</v>
      </c>
      <c r="O4898" s="12" t="n">
        <v>1</v>
      </c>
      <c r="P4898" s="12" t="n"/>
      <c r="Q4898" s="12" t="n"/>
      <c r="R4898" s="12" t="n"/>
      <c r="S4898" s="12" t="inlineStr">
        <is>
          <t>Tray / conduit</t>
        </is>
      </c>
      <c r="T4898" s="17" t="n">
        <v>80</v>
      </c>
      <c r="U4898" s="17" t="n">
        <v>10</v>
      </c>
      <c r="V4898" s="17">
        <f>ROUNDUP((T4898+U4898+2*'Read Me'!$B$13)*(1+'Read Me'!$B$12),-1)</f>
        <v/>
      </c>
      <c r="W4898" s="17">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I-I-0289</t>
        </is>
      </c>
      <c r="B4899" s="12" t="inlineStr">
        <is>
          <t>I</t>
        </is>
      </c>
      <c r="C4899" s="12" t="inlineStr">
        <is>
          <t>Modular / portable power</t>
        </is>
      </c>
      <c r="D4899" s="12" t="inlineStr">
        <is>
          <t>Home run JB-RICE 8 radiators (-DI01 to the control / marshalling room</t>
        </is>
      </c>
      <c r="E4899" s="12" t="inlineStr"/>
      <c r="F4899" s="12" t="inlineStr">
        <is>
          <t>PCM: power control module</t>
        </is>
      </c>
      <c r="G4899" s="12" t="inlineStr">
        <is>
          <t>JB-RICE 8 radiators (-DI01</t>
        </is>
      </c>
      <c r="H4899" s="12" t="inlineStr">
        <is>
          <t>RICE 8 radiators (5)</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Tray</t>
        </is>
      </c>
      <c r="T4899" s="17" t="n">
        <v>0</v>
      </c>
      <c r="U4899" s="17" t="n">
        <v>94</v>
      </c>
      <c r="V4899" s="17">
        <f>ROUNDUP((T4899+U4899+2*'Read Me'!$B$13)*(1+'Read Me'!$B$12),-1)</f>
        <v/>
      </c>
      <c r="W4899" s="17">
        <f>V4899*N4899*O4899</f>
        <v/>
      </c>
      <c r="X4899" s="12">
        <f>IF(LEFT(I4899,2)="MV",2*N4899*IF(L4899="1/C",O4899,1),0)</f>
        <v/>
      </c>
      <c r="Y4899" s="12">
        <f>IF(OR(LEFT(K4899,4)="LVAX",LEFT(K4899,6)="MV15AX",LEFT(K4899,4)="CTAX",LEFT(K4899,2)="W|"),2*N4899*O4899,0)</f>
        <v/>
      </c>
      <c r="Z4899" s="12" t="inlineStr"/>
      <c r="AA4899" s="12">
        <f>N4899*O4899</f>
        <v/>
      </c>
    </row>
    <row r="4900">
      <c r="A4900" s="12" t="inlineStr">
        <is>
          <t>I-I-0290</t>
        </is>
      </c>
      <c r="B4900" s="12" t="inlineStr">
        <is>
          <t>I</t>
        </is>
      </c>
      <c r="C4900" s="12" t="inlineStr">
        <is>
          <t>Modular / portable power</t>
        </is>
      </c>
      <c r="D4900" s="12" t="inlineStr">
        <is>
          <t>Instrumentation</t>
        </is>
      </c>
      <c r="E4900" s="12" t="inlineStr"/>
      <c r="F4900" s="12" t="inlineStr">
        <is>
          <t>PCM: power control module</t>
        </is>
      </c>
      <c r="G4900" s="12" t="inlineStr">
        <is>
          <t>RICE</t>
        </is>
      </c>
      <c r="H4900" s="12" t="inlineStr">
        <is>
          <t>RICE engine hall (8 engines)</t>
        </is>
      </c>
      <c r="I4900" s="12" t="inlineStr">
        <is>
          <t>Instrumentation</t>
        </is>
      </c>
      <c r="J4900" s="12" t="inlineStr">
        <is>
          <t>Instrumentation PLTC / TC-ER 300 V, #18 twisted shielded pairs, overall shield</t>
        </is>
      </c>
      <c r="K4900" s="12" t="inlineStr">
        <is>
          <t>PLTC|4 pr|18</t>
        </is>
      </c>
      <c r="L4900" s="12" t="inlineStr">
        <is>
          <t>4 pr</t>
        </is>
      </c>
      <c r="M4900" s="12" t="inlineStr">
        <is>
          <t>18</t>
        </is>
      </c>
      <c r="N4900" s="12" t="n">
        <v>1</v>
      </c>
      <c r="O4900" s="12" t="n">
        <v>1</v>
      </c>
      <c r="P4900" s="12" t="n"/>
      <c r="Q4900" s="12" t="n"/>
      <c r="R4900" s="12" t="n"/>
      <c r="S4900" s="12" t="inlineStr">
        <is>
          <t>Duct bank</t>
        </is>
      </c>
      <c r="T4900" s="17" t="n">
        <v>367</v>
      </c>
      <c r="U4900" s="17" t="n">
        <v>95</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I-I-0291</t>
        </is>
      </c>
      <c r="B4901" s="12" t="inlineStr">
        <is>
          <t>I</t>
        </is>
      </c>
      <c r="C4901" s="12" t="inlineStr">
        <is>
          <t>Modular / portable power</t>
        </is>
      </c>
      <c r="D4901" s="12" t="inlineStr">
        <is>
          <t>Instrumentation</t>
        </is>
      </c>
      <c r="E4901" s="12" t="inlineStr"/>
      <c r="F4901" s="12" t="inlineStr">
        <is>
          <t>PCM: power control module</t>
        </is>
      </c>
      <c r="G4901" s="12" t="inlineStr">
        <is>
          <t>RICE</t>
        </is>
      </c>
      <c r="H4901" s="12" t="inlineStr">
        <is>
          <t>RICE engine hall (8 engines)</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Duct bank</t>
        </is>
      </c>
      <c r="T4901" s="17" t="n">
        <v>367</v>
      </c>
      <c r="U4901" s="17" t="n">
        <v>95</v>
      </c>
      <c r="V4901" s="17">
        <f>ROUNDUP((T4901+U4901+2*'Read Me'!$B$13)*(1+'Read Me'!$B$12),-1)</f>
        <v/>
      </c>
      <c r="W4901" s="17">
        <f>V4901*N4901*O4901</f>
        <v/>
      </c>
      <c r="X4901" s="12">
        <f>IF(LEFT(I4901,2)="MV",2*N4901*IF(L4901="1/C",O4901,1),0)</f>
        <v/>
      </c>
      <c r="Y4901" s="12">
        <f>IF(OR(LEFT(K4901,4)="LVAX",LEFT(K4901,6)="MV15AX",LEFT(K4901,4)="CTAX",LEFT(K4901,2)="W|"),2*N4901*O4901,0)</f>
        <v/>
      </c>
      <c r="Z4901" s="12" t="inlineStr"/>
      <c r="AA4901" s="12">
        <f>N4901*O4901</f>
        <v/>
      </c>
    </row>
    <row r="4902">
      <c r="A4902" s="12" t="inlineStr">
        <is>
          <t>I-I-0292</t>
        </is>
      </c>
      <c r="B4902" s="12" t="inlineStr">
        <is>
          <t>I</t>
        </is>
      </c>
      <c r="C4902" s="12" t="inlineStr">
        <is>
          <t>Modular / portable power</t>
        </is>
      </c>
      <c r="D4902" s="12" t="inlineStr">
        <is>
          <t>Instrumentation</t>
        </is>
      </c>
      <c r="E4902" s="12" t="inlineStr"/>
      <c r="F4902" s="12" t="inlineStr">
        <is>
          <t>PCM: power control module</t>
        </is>
      </c>
      <c r="G4902" s="12" t="inlineStr">
        <is>
          <t>RICE</t>
        </is>
      </c>
      <c r="H4902" s="12" t="inlineStr">
        <is>
          <t>RICE engine hall (8 engines)</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Duct bank</t>
        </is>
      </c>
      <c r="T4902" s="17" t="n">
        <v>367</v>
      </c>
      <c r="U4902" s="17" t="n">
        <v>95</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I-I-0293</t>
        </is>
      </c>
      <c r="B4903" s="12" t="inlineStr">
        <is>
          <t>I</t>
        </is>
      </c>
      <c r="C4903" s="12" t="inlineStr">
        <is>
          <t>Modular / portable power</t>
        </is>
      </c>
      <c r="D4903" s="12" t="inlineStr">
        <is>
          <t>Instrumentation</t>
        </is>
      </c>
      <c r="E4903" s="12" t="inlineStr"/>
      <c r="F4903" s="12" t="inlineStr">
        <is>
          <t>PCM: power control module</t>
        </is>
      </c>
      <c r="G4903" s="12" t="inlineStr">
        <is>
          <t>RICE</t>
        </is>
      </c>
      <c r="H4903" s="12" t="inlineStr">
        <is>
          <t>RICE engine hall (8 engines)</t>
        </is>
      </c>
      <c r="I4903" s="12" t="inlineStr">
        <is>
          <t>Instrumentation</t>
        </is>
      </c>
      <c r="J4903" s="12" t="inlineStr">
        <is>
          <t>Instrumentation PLTC / TC-ER 300 V, #18 twisted shielded pairs, overall shield</t>
        </is>
      </c>
      <c r="K4903" s="12" t="inlineStr">
        <is>
          <t>PLTC|12 pr|18</t>
        </is>
      </c>
      <c r="L4903" s="12" t="inlineStr">
        <is>
          <t>12 pr</t>
        </is>
      </c>
      <c r="M4903" s="12" t="inlineStr">
        <is>
          <t>18</t>
        </is>
      </c>
      <c r="N4903" s="12" t="n">
        <v>1</v>
      </c>
      <c r="O4903" s="12" t="n">
        <v>1</v>
      </c>
      <c r="P4903" s="12" t="n"/>
      <c r="Q4903" s="12" t="n"/>
      <c r="R4903" s="12" t="n"/>
      <c r="S4903" s="12" t="inlineStr">
        <is>
          <t>Duct bank</t>
        </is>
      </c>
      <c r="T4903" s="17" t="n">
        <v>367</v>
      </c>
      <c r="U4903" s="17" t="n">
        <v>95</v>
      </c>
      <c r="V4903" s="17">
        <f>ROUNDUP((T4903+U4903+2*'Read Me'!$B$13)*(1+'Read Me'!$B$12),-1)</f>
        <v/>
      </c>
      <c r="W4903" s="17">
        <f>V4903*N4903*O4903</f>
        <v/>
      </c>
      <c r="X4903" s="12">
        <f>IF(LEFT(I4903,2)="MV",2*N4903*IF(L4903="1/C",O4903,1),0)</f>
        <v/>
      </c>
      <c r="Y4903" s="12">
        <f>IF(OR(LEFT(K4903,4)="LVAX",LEFT(K4903,6)="MV15AX",LEFT(K4903,4)="CTAX",LEFT(K4903,2)="W|"),2*N4903*O4903,0)</f>
        <v/>
      </c>
      <c r="Z4903" s="12" t="inlineStr"/>
      <c r="AA4903" s="12">
        <f>N4903*O4903</f>
        <v/>
      </c>
    </row>
    <row r="4904">
      <c r="A4904" s="12" t="inlineStr">
        <is>
          <t>I-I-0294</t>
        </is>
      </c>
      <c r="B4904" s="12" t="inlineStr">
        <is>
          <t>I</t>
        </is>
      </c>
      <c r="C4904" s="12" t="inlineStr">
        <is>
          <t>Modular / portable power</t>
        </is>
      </c>
      <c r="D4904" s="12" t="inlineStr">
        <is>
          <t>Instrumentation</t>
        </is>
      </c>
      <c r="E4904" s="12" t="inlineStr"/>
      <c r="F4904" s="12" t="inlineStr">
        <is>
          <t>PCM: power control module</t>
        </is>
      </c>
      <c r="G4904" s="12" t="inlineStr">
        <is>
          <t>RICE</t>
        </is>
      </c>
      <c r="H4904" s="12" t="inlineStr">
        <is>
          <t>RICE engine hall (8 engines)</t>
        </is>
      </c>
      <c r="I4904" s="12" t="inlineStr">
        <is>
          <t>Instrumentation</t>
        </is>
      </c>
      <c r="J4904" s="12" t="inlineStr">
        <is>
          <t>Instrumentation PLTC / TC-ER 300 V, #18 twisted shielded pairs, overall shield</t>
        </is>
      </c>
      <c r="K4904" s="12" t="inlineStr">
        <is>
          <t>PLTC|12 pr|18</t>
        </is>
      </c>
      <c r="L4904" s="12" t="inlineStr">
        <is>
          <t>12 pr</t>
        </is>
      </c>
      <c r="M4904" s="12" t="inlineStr">
        <is>
          <t>18</t>
        </is>
      </c>
      <c r="N4904" s="12" t="n">
        <v>1</v>
      </c>
      <c r="O4904" s="12" t="n">
        <v>1</v>
      </c>
      <c r="P4904" s="12" t="n"/>
      <c r="Q4904" s="12" t="n"/>
      <c r="R4904" s="12" t="n"/>
      <c r="S4904" s="12" t="inlineStr">
        <is>
          <t>Duct bank</t>
        </is>
      </c>
      <c r="T4904" s="17" t="n">
        <v>367</v>
      </c>
      <c r="U4904" s="17" t="n">
        <v>95</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I-I-0295</t>
        </is>
      </c>
      <c r="B4905" s="12" t="inlineStr">
        <is>
          <t>I</t>
        </is>
      </c>
      <c r="C4905" s="12" t="inlineStr">
        <is>
          <t>Modular / portable power</t>
        </is>
      </c>
      <c r="D4905" s="12" t="inlineStr">
        <is>
          <t>Instrumentation</t>
        </is>
      </c>
      <c r="E4905" s="12" t="inlineStr"/>
      <c r="F4905" s="12" t="inlineStr">
        <is>
          <t>PCM: power control module</t>
        </is>
      </c>
      <c r="G4905" s="12" t="inlineStr">
        <is>
          <t>RICE</t>
        </is>
      </c>
      <c r="H4905" s="12" t="inlineStr">
        <is>
          <t>RICE engine hall (8 engines)</t>
        </is>
      </c>
      <c r="I4905" s="12" t="inlineStr">
        <is>
          <t>Instrumentation</t>
        </is>
      </c>
      <c r="J4905" s="12" t="inlineStr">
        <is>
          <t>Instrumentation PLTC / TC-ER 300 V, #18 twisted shielded pairs, overall shield</t>
        </is>
      </c>
      <c r="K4905" s="12" t="inlineStr">
        <is>
          <t>PLTC|12 pr|18</t>
        </is>
      </c>
      <c r="L4905" s="12" t="inlineStr">
        <is>
          <t>12 pr</t>
        </is>
      </c>
      <c r="M4905" s="12" t="inlineStr">
        <is>
          <t>18</t>
        </is>
      </c>
      <c r="N4905" s="12" t="n">
        <v>1</v>
      </c>
      <c r="O4905" s="12" t="n">
        <v>1</v>
      </c>
      <c r="P4905" s="12" t="n"/>
      <c r="Q4905" s="12" t="n"/>
      <c r="R4905" s="12" t="n"/>
      <c r="S4905" s="12" t="inlineStr">
        <is>
          <t>Duct bank</t>
        </is>
      </c>
      <c r="T4905" s="17" t="n">
        <v>367</v>
      </c>
      <c r="U4905" s="17" t="n">
        <v>95</v>
      </c>
      <c r="V4905" s="17">
        <f>ROUNDUP((T4905+U4905+2*'Read Me'!$B$13)*(1+'Read Me'!$B$12),-1)</f>
        <v/>
      </c>
      <c r="W4905" s="17">
        <f>V4905*N4905*O4905</f>
        <v/>
      </c>
      <c r="X4905" s="12">
        <f>IF(LEFT(I4905,2)="MV",2*N4905*IF(L4905="1/C",O4905,1),0)</f>
        <v/>
      </c>
      <c r="Y4905" s="12">
        <f>IF(OR(LEFT(K4905,4)="LVAX",LEFT(K4905,6)="MV15AX",LEFT(K4905,4)="CTAX",LEFT(K4905,2)="W|"),2*N4905*O4905,0)</f>
        <v/>
      </c>
      <c r="Z4905" s="12" t="inlineStr"/>
      <c r="AA4905" s="12">
        <f>N4905*O4905</f>
        <v/>
      </c>
    </row>
    <row r="4906">
      <c r="A4906" s="12" t="inlineStr">
        <is>
          <t>I-I-0296</t>
        </is>
      </c>
      <c r="B4906" s="12" t="inlineStr">
        <is>
          <t>I</t>
        </is>
      </c>
      <c r="C4906" s="12" t="inlineStr">
        <is>
          <t>Modular / portable power</t>
        </is>
      </c>
      <c r="D4906" s="12" t="inlineStr">
        <is>
          <t>Instrumentation</t>
        </is>
      </c>
      <c r="E4906" s="12" t="inlineStr"/>
      <c r="F4906" s="12" t="inlineStr">
        <is>
          <t>PCM: power control module</t>
        </is>
      </c>
      <c r="G4906" s="12" t="inlineStr">
        <is>
          <t>RICE</t>
        </is>
      </c>
      <c r="H4906" s="12" t="inlineStr">
        <is>
          <t>RICE engine hall (8 engines)</t>
        </is>
      </c>
      <c r="I4906" s="12" t="inlineStr">
        <is>
          <t>Instrumentation</t>
        </is>
      </c>
      <c r="J4906" s="12" t="inlineStr">
        <is>
          <t>Instrumentation PLTC / TC-ER 300 V, #18 twisted shielded pairs, overall shield</t>
        </is>
      </c>
      <c r="K4906" s="12" t="inlineStr">
        <is>
          <t>PLTC|12 pr|18</t>
        </is>
      </c>
      <c r="L4906" s="12" t="inlineStr">
        <is>
          <t>12 pr</t>
        </is>
      </c>
      <c r="M4906" s="12" t="inlineStr">
        <is>
          <t>18</t>
        </is>
      </c>
      <c r="N4906" s="12" t="n">
        <v>1</v>
      </c>
      <c r="O4906" s="12" t="n">
        <v>1</v>
      </c>
      <c r="P4906" s="12" t="n"/>
      <c r="Q4906" s="12" t="n"/>
      <c r="R4906" s="12" t="n"/>
      <c r="S4906" s="12" t="inlineStr">
        <is>
          <t>Duct bank</t>
        </is>
      </c>
      <c r="T4906" s="17" t="n">
        <v>367</v>
      </c>
      <c r="U4906" s="17" t="n">
        <v>95</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I-I-0297</t>
        </is>
      </c>
      <c r="B4907" s="12" t="inlineStr">
        <is>
          <t>I</t>
        </is>
      </c>
      <c r="C4907" s="12" t="inlineStr">
        <is>
          <t>Modular / portable power</t>
        </is>
      </c>
      <c r="D4907" s="12" t="inlineStr">
        <is>
          <t>Instrumentation</t>
        </is>
      </c>
      <c r="E4907" s="12" t="inlineStr"/>
      <c r="F4907" s="12" t="inlineStr">
        <is>
          <t>PCM: power control module</t>
        </is>
      </c>
      <c r="G4907" s="12" t="inlineStr">
        <is>
          <t>RICE</t>
        </is>
      </c>
      <c r="H4907" s="12" t="inlineStr">
        <is>
          <t>RICE engine hall (8 engines)</t>
        </is>
      </c>
      <c r="I4907" s="12" t="inlineStr">
        <is>
          <t>Instrumentation</t>
        </is>
      </c>
      <c r="J4907" s="12" t="inlineStr">
        <is>
          <t>Instrumentation PLTC / TC-ER 300 V, #18 twisted shielded pairs, overall shield</t>
        </is>
      </c>
      <c r="K4907" s="12" t="inlineStr">
        <is>
          <t>PLTC|12 pr|18</t>
        </is>
      </c>
      <c r="L4907" s="12" t="inlineStr">
        <is>
          <t>12 pr</t>
        </is>
      </c>
      <c r="M4907" s="12" t="inlineStr">
        <is>
          <t>18</t>
        </is>
      </c>
      <c r="N4907" s="12" t="n">
        <v>1</v>
      </c>
      <c r="O4907" s="12" t="n">
        <v>1</v>
      </c>
      <c r="P4907" s="12" t="n"/>
      <c r="Q4907" s="12" t="n"/>
      <c r="R4907" s="12" t="n"/>
      <c r="S4907" s="12" t="inlineStr">
        <is>
          <t>Duct bank</t>
        </is>
      </c>
      <c r="T4907" s="17" t="n">
        <v>367</v>
      </c>
      <c r="U4907" s="17" t="n">
        <v>95</v>
      </c>
      <c r="V4907" s="17">
        <f>ROUNDUP((T4907+U4907+2*'Read Me'!$B$13)*(1+'Read Me'!$B$12),-1)</f>
        <v/>
      </c>
      <c r="W4907" s="17">
        <f>V4907*N4907*O4907</f>
        <v/>
      </c>
      <c r="X4907" s="12">
        <f>IF(LEFT(I4907,2)="MV",2*N4907*IF(L4907="1/C",O4907,1),0)</f>
        <v/>
      </c>
      <c r="Y4907" s="12">
        <f>IF(OR(LEFT(K4907,4)="LVAX",LEFT(K4907,6)="MV15AX",LEFT(K4907,4)="CTAX",LEFT(K4907,2)="W|"),2*N4907*O4907,0)</f>
        <v/>
      </c>
      <c r="Z4907" s="12" t="inlineStr"/>
      <c r="AA4907" s="12">
        <f>N4907*O4907</f>
        <v/>
      </c>
    </row>
    <row r="4908">
      <c r="A4908" s="12" t="inlineStr">
        <is>
          <t>I-I-0298</t>
        </is>
      </c>
      <c r="B4908" s="12" t="inlineStr">
        <is>
          <t>I</t>
        </is>
      </c>
      <c r="C4908" s="12" t="inlineStr">
        <is>
          <t>Modular / portable power</t>
        </is>
      </c>
      <c r="D4908" s="12" t="inlineStr">
        <is>
          <t>Instrumentation</t>
        </is>
      </c>
      <c r="E4908" s="12" t="inlineStr"/>
      <c r="F4908" s="12" t="inlineStr">
        <is>
          <t>PCM: power control module</t>
        </is>
      </c>
      <c r="G4908" s="12" t="inlineStr">
        <is>
          <t>RICE</t>
        </is>
      </c>
      <c r="H4908" s="12" t="inlineStr">
        <is>
          <t>RICE engine hall (8 engines)</t>
        </is>
      </c>
      <c r="I4908" s="12" t="inlineStr">
        <is>
          <t>Instrumentation</t>
        </is>
      </c>
      <c r="J4908" s="12" t="inlineStr">
        <is>
          <t>Instrumentation PLTC / TC-ER 300 V, #18 twisted shielded pairs, overall shield</t>
        </is>
      </c>
      <c r="K4908" s="12" t="inlineStr">
        <is>
          <t>PLTC|12 pr|18</t>
        </is>
      </c>
      <c r="L4908" s="12" t="inlineStr">
        <is>
          <t>12 pr</t>
        </is>
      </c>
      <c r="M4908" s="12" t="inlineStr">
        <is>
          <t>18</t>
        </is>
      </c>
      <c r="N4908" s="12" t="n">
        <v>1</v>
      </c>
      <c r="O4908" s="12" t="n">
        <v>1</v>
      </c>
      <c r="P4908" s="12" t="n"/>
      <c r="Q4908" s="12" t="n"/>
      <c r="R4908" s="12" t="n"/>
      <c r="S4908" s="12" t="inlineStr">
        <is>
          <t>Duct bank</t>
        </is>
      </c>
      <c r="T4908" s="17" t="n">
        <v>367</v>
      </c>
      <c r="U4908" s="17" t="n">
        <v>95</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I-I-0299</t>
        </is>
      </c>
      <c r="B4909" s="12" t="inlineStr">
        <is>
          <t>I</t>
        </is>
      </c>
      <c r="C4909" s="12" t="inlineStr">
        <is>
          <t>Modular / portable power</t>
        </is>
      </c>
      <c r="D4909" s="12" t="inlineStr">
        <is>
          <t>Instrumentation</t>
        </is>
      </c>
      <c r="E4909" s="12" t="inlineStr"/>
      <c r="F4909" s="12" t="inlineStr">
        <is>
          <t>PCM: power control module</t>
        </is>
      </c>
      <c r="G4909" s="12" t="inlineStr">
        <is>
          <t>RICE</t>
        </is>
      </c>
      <c r="H4909" s="12" t="inlineStr">
        <is>
          <t>RICE engine hall (8 engines)</t>
        </is>
      </c>
      <c r="I4909" s="12" t="inlineStr">
        <is>
          <t>Instrumentation</t>
        </is>
      </c>
      <c r="J4909" s="12" t="inlineStr">
        <is>
          <t>Instrumentation PLTC / TC-ER 300 V, #18 twisted shielded pairs, overall shield</t>
        </is>
      </c>
      <c r="K4909" s="12" t="inlineStr">
        <is>
          <t>PLTC|12 pr|18</t>
        </is>
      </c>
      <c r="L4909" s="12" t="inlineStr">
        <is>
          <t>12 pr</t>
        </is>
      </c>
      <c r="M4909" s="12" t="inlineStr">
        <is>
          <t>18</t>
        </is>
      </c>
      <c r="N4909" s="12" t="n">
        <v>1</v>
      </c>
      <c r="O4909" s="12" t="n">
        <v>1</v>
      </c>
      <c r="P4909" s="12" t="n"/>
      <c r="Q4909" s="12" t="n"/>
      <c r="R4909" s="12" t="n"/>
      <c r="S4909" s="12" t="inlineStr">
        <is>
          <t>Duct bank</t>
        </is>
      </c>
      <c r="T4909" s="17" t="n">
        <v>367</v>
      </c>
      <c r="U4909" s="17" t="n">
        <v>95</v>
      </c>
      <c r="V4909" s="17">
        <f>ROUNDUP((T4909+U4909+2*'Read Me'!$B$13)*(1+'Read Me'!$B$12),-1)</f>
        <v/>
      </c>
      <c r="W4909" s="17">
        <f>V4909*N4909*O4909</f>
        <v/>
      </c>
      <c r="X4909" s="12">
        <f>IF(LEFT(I4909,2)="MV",2*N4909*IF(L4909="1/C",O4909,1),0)</f>
        <v/>
      </c>
      <c r="Y4909" s="12">
        <f>IF(OR(LEFT(K4909,4)="LVAX",LEFT(K4909,6)="MV15AX",LEFT(K4909,4)="CTAX",LEFT(K4909,2)="W|"),2*N4909*O4909,0)</f>
        <v/>
      </c>
      <c r="Z4909" s="12" t="inlineStr"/>
      <c r="AA4909" s="12">
        <f>N4909*O4909</f>
        <v/>
      </c>
    </row>
    <row r="4910">
      <c r="A4910" s="12" t="inlineStr">
        <is>
          <t>I-I-0300</t>
        </is>
      </c>
      <c r="B4910" s="12" t="inlineStr">
        <is>
          <t>I</t>
        </is>
      </c>
      <c r="C4910" s="12" t="inlineStr">
        <is>
          <t>Modular / portable power</t>
        </is>
      </c>
      <c r="D4910" s="12" t="inlineStr">
        <is>
          <t>Thermocouples</t>
        </is>
      </c>
      <c r="E4910" s="12" t="inlineStr"/>
      <c r="F4910" s="12" t="inlineStr">
        <is>
          <t>PCM: power control module</t>
        </is>
      </c>
      <c r="G4910" s="12" t="inlineStr">
        <is>
          <t>RICE</t>
        </is>
      </c>
      <c r="H4910" s="12" t="inlineStr">
        <is>
          <t>RICE engine hall (8 engines)</t>
        </is>
      </c>
      <c r="I4910" s="12" t="inlineStr">
        <is>
          <t>Instrumentation</t>
        </is>
      </c>
      <c r="J4910" s="12" t="inlineStr">
        <is>
          <t>Thermocouple extension KX, #16 shielded pairs, PLTC</t>
        </is>
      </c>
      <c r="K4910" s="12" t="inlineStr">
        <is>
          <t>TCX|12 pr|16</t>
        </is>
      </c>
      <c r="L4910" s="12" t="inlineStr">
        <is>
          <t>12 pr</t>
        </is>
      </c>
      <c r="M4910" s="12" t="inlineStr">
        <is>
          <t>16</t>
        </is>
      </c>
      <c r="N4910" s="12" t="n">
        <v>1</v>
      </c>
      <c r="O4910" s="12" t="n">
        <v>1</v>
      </c>
      <c r="P4910" s="12" t="n"/>
      <c r="Q4910" s="12" t="n"/>
      <c r="R4910" s="12" t="n"/>
      <c r="S4910" s="12" t="inlineStr">
        <is>
          <t>Duct bank</t>
        </is>
      </c>
      <c r="T4910" s="17" t="n">
        <v>367</v>
      </c>
      <c r="U4910" s="17" t="n">
        <v>95</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I-I-0301</t>
        </is>
      </c>
      <c r="B4911" s="12" t="inlineStr">
        <is>
          <t>I</t>
        </is>
      </c>
      <c r="C4911" s="12" t="inlineStr">
        <is>
          <t>Modular / portable power</t>
        </is>
      </c>
      <c r="D4911" s="12" t="inlineStr">
        <is>
          <t>Thermocouples</t>
        </is>
      </c>
      <c r="E4911" s="12" t="inlineStr"/>
      <c r="F4911" s="12" t="inlineStr">
        <is>
          <t>PCM: power control module</t>
        </is>
      </c>
      <c r="G4911" s="12" t="inlineStr">
        <is>
          <t>RICE</t>
        </is>
      </c>
      <c r="H4911" s="12" t="inlineStr">
        <is>
          <t>RICE engine hall (8 engines)</t>
        </is>
      </c>
      <c r="I4911" s="12" t="inlineStr">
        <is>
          <t>Instrumentation</t>
        </is>
      </c>
      <c r="J4911" s="12" t="inlineStr">
        <is>
          <t>Thermocouple extension KX, #16 shielded pairs, PLTC</t>
        </is>
      </c>
      <c r="K4911" s="12" t="inlineStr">
        <is>
          <t>TCX|12 pr|16</t>
        </is>
      </c>
      <c r="L4911" s="12" t="inlineStr">
        <is>
          <t>12 pr</t>
        </is>
      </c>
      <c r="M4911" s="12" t="inlineStr">
        <is>
          <t>16</t>
        </is>
      </c>
      <c r="N4911" s="12" t="n">
        <v>1</v>
      </c>
      <c r="O4911" s="12" t="n">
        <v>1</v>
      </c>
      <c r="P4911" s="12" t="n"/>
      <c r="Q4911" s="12" t="n"/>
      <c r="R4911" s="12" t="n"/>
      <c r="S4911" s="12" t="inlineStr">
        <is>
          <t>Duct bank</t>
        </is>
      </c>
      <c r="T4911" s="17" t="n">
        <v>367</v>
      </c>
      <c r="U4911" s="17" t="n">
        <v>95</v>
      </c>
      <c r="V4911" s="17">
        <f>ROUNDUP((T4911+U4911+2*'Read Me'!$B$13)*(1+'Read Me'!$B$12),-1)</f>
        <v/>
      </c>
      <c r="W4911" s="17">
        <f>V4911*N4911*O4911</f>
        <v/>
      </c>
      <c r="X4911" s="12">
        <f>IF(LEFT(I4911,2)="MV",2*N4911*IF(L4911="1/C",O4911,1),0)</f>
        <v/>
      </c>
      <c r="Y4911" s="12">
        <f>IF(OR(LEFT(K4911,4)="LVAX",LEFT(K4911,6)="MV15AX",LEFT(K4911,4)="CTAX",LEFT(K4911,2)="W|"),2*N4911*O4911,0)</f>
        <v/>
      </c>
      <c r="Z4911" s="12" t="inlineStr"/>
      <c r="AA4911" s="12">
        <f>N4911*O4911</f>
        <v/>
      </c>
    </row>
    <row r="4912">
      <c r="A4912" s="12" t="inlineStr">
        <is>
          <t>I-I-0302</t>
        </is>
      </c>
      <c r="B4912" s="12" t="inlineStr">
        <is>
          <t>I</t>
        </is>
      </c>
      <c r="C4912" s="12" t="inlineStr">
        <is>
          <t>Modular / portable power</t>
        </is>
      </c>
      <c r="D4912" s="12" t="inlineStr">
        <is>
          <t>Thermocouples</t>
        </is>
      </c>
      <c r="E4912" s="12" t="inlineStr"/>
      <c r="F4912" s="12" t="inlineStr">
        <is>
          <t>PCM: power control module</t>
        </is>
      </c>
      <c r="G4912" s="12" t="inlineStr">
        <is>
          <t>RICE</t>
        </is>
      </c>
      <c r="H4912" s="12" t="inlineStr">
        <is>
          <t>RICE engine hall (8 engines)</t>
        </is>
      </c>
      <c r="I4912" s="12" t="inlineStr">
        <is>
          <t>Instrumentation</t>
        </is>
      </c>
      <c r="J4912" s="12" t="inlineStr">
        <is>
          <t>Thermocouple extension KX, #16 shielded pairs, PLTC</t>
        </is>
      </c>
      <c r="K4912" s="12" t="inlineStr">
        <is>
          <t>TCX|12 pr|16</t>
        </is>
      </c>
      <c r="L4912" s="12" t="inlineStr">
        <is>
          <t>12 pr</t>
        </is>
      </c>
      <c r="M4912" s="12" t="inlineStr">
        <is>
          <t>16</t>
        </is>
      </c>
      <c r="N4912" s="12" t="n">
        <v>1</v>
      </c>
      <c r="O4912" s="12" t="n">
        <v>1</v>
      </c>
      <c r="P4912" s="12" t="n"/>
      <c r="Q4912" s="12" t="n"/>
      <c r="R4912" s="12" t="n"/>
      <c r="S4912" s="12" t="inlineStr">
        <is>
          <t>Duct bank</t>
        </is>
      </c>
      <c r="T4912" s="17" t="n">
        <v>367</v>
      </c>
      <c r="U4912" s="17" t="n">
        <v>95</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I-I-0303</t>
        </is>
      </c>
      <c r="B4913" s="12" t="inlineStr">
        <is>
          <t>I</t>
        </is>
      </c>
      <c r="C4913" s="12" t="inlineStr">
        <is>
          <t>Modular / portable power</t>
        </is>
      </c>
      <c r="D4913" s="12" t="inlineStr">
        <is>
          <t>Thermocouples</t>
        </is>
      </c>
      <c r="E4913" s="12" t="inlineStr"/>
      <c r="F4913" s="12" t="inlineStr">
        <is>
          <t>PCM: power control module</t>
        </is>
      </c>
      <c r="G4913" s="12" t="inlineStr">
        <is>
          <t>RICE</t>
        </is>
      </c>
      <c r="H4913" s="12" t="inlineStr">
        <is>
          <t>RICE engine hall (8 engines)</t>
        </is>
      </c>
      <c r="I4913" s="12" t="inlineStr">
        <is>
          <t>Instrumentation</t>
        </is>
      </c>
      <c r="J4913" s="12" t="inlineStr">
        <is>
          <t>Thermocouple extension KX, #16 shielded pairs, PLTC</t>
        </is>
      </c>
      <c r="K4913" s="12" t="inlineStr">
        <is>
          <t>TCX|12 pr|16</t>
        </is>
      </c>
      <c r="L4913" s="12" t="inlineStr">
        <is>
          <t>12 pr</t>
        </is>
      </c>
      <c r="M4913" s="12" t="inlineStr">
        <is>
          <t>16</t>
        </is>
      </c>
      <c r="N4913" s="12" t="n">
        <v>1</v>
      </c>
      <c r="O4913" s="12" t="n">
        <v>1</v>
      </c>
      <c r="P4913" s="12" t="n"/>
      <c r="Q4913" s="12" t="n"/>
      <c r="R4913" s="12" t="n"/>
      <c r="S4913" s="12" t="inlineStr">
        <is>
          <t>Duct bank</t>
        </is>
      </c>
      <c r="T4913" s="17" t="n">
        <v>367</v>
      </c>
      <c r="U4913" s="17" t="n">
        <v>95</v>
      </c>
      <c r="V4913" s="17">
        <f>ROUNDUP((T4913+U4913+2*'Read Me'!$B$13)*(1+'Read Me'!$B$12),-1)</f>
        <v/>
      </c>
      <c r="W4913" s="17">
        <f>V4913*N4913*O4913</f>
        <v/>
      </c>
      <c r="X4913" s="12">
        <f>IF(LEFT(I4913,2)="MV",2*N4913*IF(L4913="1/C",O4913,1),0)</f>
        <v/>
      </c>
      <c r="Y4913" s="12">
        <f>IF(OR(LEFT(K4913,4)="LVAX",LEFT(K4913,6)="MV15AX",LEFT(K4913,4)="CTAX",LEFT(K4913,2)="W|"),2*N4913*O4913,0)</f>
        <v/>
      </c>
      <c r="Z4913" s="12" t="inlineStr"/>
      <c r="AA4913" s="12">
        <f>N4913*O4913</f>
        <v/>
      </c>
    </row>
    <row r="4914">
      <c r="A4914" s="12" t="inlineStr">
        <is>
          <t>I-I-0304</t>
        </is>
      </c>
      <c r="B4914" s="12" t="inlineStr">
        <is>
          <t>I</t>
        </is>
      </c>
      <c r="C4914" s="12" t="inlineStr">
        <is>
          <t>Modular / portable power</t>
        </is>
      </c>
      <c r="D4914" s="12" t="inlineStr">
        <is>
          <t>Thermocouples</t>
        </is>
      </c>
      <c r="E4914" s="12" t="inlineStr"/>
      <c r="F4914" s="12" t="inlineStr">
        <is>
          <t>PCM: power control module</t>
        </is>
      </c>
      <c r="G4914" s="12" t="inlineStr">
        <is>
          <t>RICE</t>
        </is>
      </c>
      <c r="H4914" s="12" t="inlineStr">
        <is>
          <t>RICE engine hall (8 engines)</t>
        </is>
      </c>
      <c r="I4914" s="12" t="inlineStr">
        <is>
          <t>Instrumentation</t>
        </is>
      </c>
      <c r="J4914" s="12" t="inlineStr">
        <is>
          <t>Thermocouple extension KX, #16 shielded pairs, PLTC</t>
        </is>
      </c>
      <c r="K4914" s="12" t="inlineStr">
        <is>
          <t>TCX|12 pr|16</t>
        </is>
      </c>
      <c r="L4914" s="12" t="inlineStr">
        <is>
          <t>12 pr</t>
        </is>
      </c>
      <c r="M4914" s="12" t="inlineStr">
        <is>
          <t>16</t>
        </is>
      </c>
      <c r="N4914" s="12" t="n">
        <v>1</v>
      </c>
      <c r="O4914" s="12" t="n">
        <v>1</v>
      </c>
      <c r="P4914" s="12" t="n"/>
      <c r="Q4914" s="12" t="n"/>
      <c r="R4914" s="12" t="n"/>
      <c r="S4914" s="12" t="inlineStr">
        <is>
          <t>Duct bank</t>
        </is>
      </c>
      <c r="T4914" s="17" t="n">
        <v>367</v>
      </c>
      <c r="U4914" s="17" t="n">
        <v>95</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I-I-0305</t>
        </is>
      </c>
      <c r="B4915" s="12" t="inlineStr">
        <is>
          <t>I</t>
        </is>
      </c>
      <c r="C4915" s="12" t="inlineStr">
        <is>
          <t>Modular / portable power</t>
        </is>
      </c>
      <c r="D4915" s="12" t="inlineStr">
        <is>
          <t>Thermocouples</t>
        </is>
      </c>
      <c r="E4915" s="12" t="inlineStr"/>
      <c r="F4915" s="12" t="inlineStr">
        <is>
          <t>PCM: power control module</t>
        </is>
      </c>
      <c r="G4915" s="12" t="inlineStr">
        <is>
          <t>RICE</t>
        </is>
      </c>
      <c r="H4915" s="12" t="inlineStr">
        <is>
          <t>RICE engine hall (8 engines)</t>
        </is>
      </c>
      <c r="I4915" s="12" t="inlineStr">
        <is>
          <t>Instrumentation</t>
        </is>
      </c>
      <c r="J4915" s="12" t="inlineStr">
        <is>
          <t>Thermocouple extension KX, #16 shielded pairs, PLTC</t>
        </is>
      </c>
      <c r="K4915" s="12" t="inlineStr">
        <is>
          <t>TCX|12 pr|16</t>
        </is>
      </c>
      <c r="L4915" s="12" t="inlineStr">
        <is>
          <t>12 pr</t>
        </is>
      </c>
      <c r="M4915" s="12" t="inlineStr">
        <is>
          <t>16</t>
        </is>
      </c>
      <c r="N4915" s="12" t="n">
        <v>1</v>
      </c>
      <c r="O4915" s="12" t="n">
        <v>1</v>
      </c>
      <c r="P4915" s="12" t="n"/>
      <c r="Q4915" s="12" t="n"/>
      <c r="R4915" s="12" t="n"/>
      <c r="S4915" s="12" t="inlineStr">
        <is>
          <t>Duct bank</t>
        </is>
      </c>
      <c r="T4915" s="17" t="n">
        <v>367</v>
      </c>
      <c r="U4915" s="17" t="n">
        <v>95</v>
      </c>
      <c r="V4915" s="17">
        <f>ROUNDUP((T4915+U4915+2*'Read Me'!$B$13)*(1+'Read Me'!$B$12),-1)</f>
        <v/>
      </c>
      <c r="W4915" s="17">
        <f>V4915*N4915*O4915</f>
        <v/>
      </c>
      <c r="X4915" s="12">
        <f>IF(LEFT(I4915,2)="MV",2*N4915*IF(L4915="1/C",O4915,1),0)</f>
        <v/>
      </c>
      <c r="Y4915" s="12">
        <f>IF(OR(LEFT(K4915,4)="LVAX",LEFT(K4915,6)="MV15AX",LEFT(K4915,4)="CTAX",LEFT(K4915,2)="W|"),2*N4915*O4915,0)</f>
        <v/>
      </c>
      <c r="Z4915" s="12" t="inlineStr"/>
      <c r="AA4915" s="12">
        <f>N4915*O4915</f>
        <v/>
      </c>
    </row>
    <row r="4916">
      <c r="A4916" s="12" t="inlineStr">
        <is>
          <t>I-I-0306</t>
        </is>
      </c>
      <c r="B4916" s="12" t="inlineStr">
        <is>
          <t>I</t>
        </is>
      </c>
      <c r="C4916" s="12" t="inlineStr">
        <is>
          <t>Modular / portable power</t>
        </is>
      </c>
      <c r="D4916" s="12" t="inlineStr">
        <is>
          <t>Analog instrument to JB JB-RICE-1-AI01: 20 x 1 pr (field cables)</t>
        </is>
      </c>
      <c r="E4916" s="12" t="inlineStr">
        <is>
          <t>RICE-1</t>
        </is>
      </c>
      <c r="F4916" s="12" t="inlineStr">
        <is>
          <t>RICE engine-generator 1</t>
        </is>
      </c>
      <c r="G4916" s="12" t="inlineStr">
        <is>
          <t>JB-RICE-1-AI01</t>
        </is>
      </c>
      <c r="H4916" s="12" t="inlineStr">
        <is>
          <t>RICE engine-generator 1</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7" t="n">
        <v>72</v>
      </c>
      <c r="U4916" s="17" t="n">
        <v>10</v>
      </c>
      <c r="V4916" s="17">
        <f>ROUNDUP((T4916+U4916+2*'Read Me'!$B$13)*(1+'Read Me'!$B$12),-1)</f>
        <v/>
      </c>
      <c r="W4916" s="17">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I-I-0307</t>
        </is>
      </c>
      <c r="B4917" s="12" t="inlineStr">
        <is>
          <t>I</t>
        </is>
      </c>
      <c r="C4917" s="12" t="inlineStr">
        <is>
          <t>Modular / portable power</t>
        </is>
      </c>
      <c r="D4917" s="12" t="inlineStr">
        <is>
          <t>Home run JB-RICE-1-AI01 to the control / marshalling room</t>
        </is>
      </c>
      <c r="E4917" s="12" t="inlineStr"/>
      <c r="F4917" s="12" t="inlineStr">
        <is>
          <t>PCM: power control module</t>
        </is>
      </c>
      <c r="G4917" s="12" t="inlineStr">
        <is>
          <t>JB-RICE-1-AI01</t>
        </is>
      </c>
      <c r="H4917" s="12" t="inlineStr">
        <is>
          <t>RICE engine-generator 1</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7" t="n">
        <v>550</v>
      </c>
      <c r="U4917" s="17" t="n">
        <v>137</v>
      </c>
      <c r="V4917" s="17">
        <f>ROUNDUP((T4917+U4917+2*'Read Me'!$B$13)*(1+'Read Me'!$B$12),-1)</f>
        <v/>
      </c>
      <c r="W4917" s="17">
        <f>V4917*N4917*O4917</f>
        <v/>
      </c>
      <c r="X4917" s="12">
        <f>IF(LEFT(I4917,2)="MV",2*N4917*IF(L4917="1/C",O4917,1),0)</f>
        <v/>
      </c>
      <c r="Y4917" s="12">
        <f>IF(OR(LEFT(K4917,4)="LVAX",LEFT(K4917,6)="MV15AX",LEFT(K4917,4)="CTAX",LEFT(K4917,2)="W|"),2*N4917*O4917,0)</f>
        <v/>
      </c>
      <c r="Z4917" s="12" t="inlineStr"/>
      <c r="AA4917" s="12">
        <f>N4917*O4917</f>
        <v/>
      </c>
    </row>
    <row r="4918">
      <c r="A4918" s="12" t="inlineStr">
        <is>
          <t>I-I-0308</t>
        </is>
      </c>
      <c r="B4918" s="12" t="inlineStr">
        <is>
          <t>I</t>
        </is>
      </c>
      <c r="C4918" s="12" t="inlineStr">
        <is>
          <t>Modular / portable power</t>
        </is>
      </c>
      <c r="D4918" s="12" t="inlineStr">
        <is>
          <t>Analog instrument to JB JB-RICE-1-AI02: 20 x 1 pr (field cables)</t>
        </is>
      </c>
      <c r="E4918" s="12" t="inlineStr">
        <is>
          <t>RICE-1</t>
        </is>
      </c>
      <c r="F4918" s="12" t="inlineStr">
        <is>
          <t>RICE engine-generator 1</t>
        </is>
      </c>
      <c r="G4918" s="12" t="inlineStr">
        <is>
          <t>JB-RICE-1-AI02</t>
        </is>
      </c>
      <c r="H4918" s="12" t="inlineStr">
        <is>
          <t>RICE engine-generator 1</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7" t="n">
        <v>72</v>
      </c>
      <c r="U4918" s="17" t="n">
        <v>10</v>
      </c>
      <c r="V4918" s="17">
        <f>ROUNDUP((T4918+U4918+2*'Read Me'!$B$13)*(1+'Read Me'!$B$12),-1)</f>
        <v/>
      </c>
      <c r="W4918" s="17">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I-I-0309</t>
        </is>
      </c>
      <c r="B4919" s="12" t="inlineStr">
        <is>
          <t>I</t>
        </is>
      </c>
      <c r="C4919" s="12" t="inlineStr">
        <is>
          <t>Modular / portable power</t>
        </is>
      </c>
      <c r="D4919" s="12" t="inlineStr">
        <is>
          <t>Home run JB-RICE-1-AI02 to the control / marshalling room</t>
        </is>
      </c>
      <c r="E4919" s="12" t="inlineStr"/>
      <c r="F4919" s="12" t="inlineStr">
        <is>
          <t>PCM: power control module</t>
        </is>
      </c>
      <c r="G4919" s="12" t="inlineStr">
        <is>
          <t>JB-RICE-1-AI02</t>
        </is>
      </c>
      <c r="H4919" s="12" t="inlineStr">
        <is>
          <t>RICE engine-generator 1</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7" t="n">
        <v>550</v>
      </c>
      <c r="U4919" s="17" t="n">
        <v>137</v>
      </c>
      <c r="V4919" s="17">
        <f>ROUNDUP((T4919+U4919+2*'Read Me'!$B$13)*(1+'Read Me'!$B$12),-1)</f>
        <v/>
      </c>
      <c r="W4919" s="17">
        <f>V4919*N4919*O4919</f>
        <v/>
      </c>
      <c r="X4919" s="12">
        <f>IF(LEFT(I4919,2)="MV",2*N4919*IF(L4919="1/C",O4919,1),0)</f>
        <v/>
      </c>
      <c r="Y4919" s="12">
        <f>IF(OR(LEFT(K4919,4)="LVAX",LEFT(K4919,6)="MV15AX",LEFT(K4919,4)="CTAX",LEFT(K4919,2)="W|"),2*N4919*O4919,0)</f>
        <v/>
      </c>
      <c r="Z4919" s="12" t="inlineStr"/>
      <c r="AA4919" s="12">
        <f>N4919*O4919</f>
        <v/>
      </c>
    </row>
    <row r="4920">
      <c r="A4920" s="12" t="inlineStr">
        <is>
          <t>I-I-0310</t>
        </is>
      </c>
      <c r="B4920" s="12" t="inlineStr">
        <is>
          <t>I</t>
        </is>
      </c>
      <c r="C4920" s="12" t="inlineStr">
        <is>
          <t>Modular / portable power</t>
        </is>
      </c>
      <c r="D4920" s="12" t="inlineStr">
        <is>
          <t>Analog instrument to JB JB-RICE-1-AI03: 20 x 1 pr (field cables)</t>
        </is>
      </c>
      <c r="E4920" s="12" t="inlineStr">
        <is>
          <t>RICE-1</t>
        </is>
      </c>
      <c r="F4920" s="12" t="inlineStr">
        <is>
          <t>RICE engine-generator 1</t>
        </is>
      </c>
      <c r="G4920" s="12" t="inlineStr">
        <is>
          <t>JB-RICE-1-AI03</t>
        </is>
      </c>
      <c r="H4920" s="12" t="inlineStr">
        <is>
          <t>RICE engine-generator 1</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7" t="n">
        <v>72</v>
      </c>
      <c r="U4920" s="17" t="n">
        <v>10</v>
      </c>
      <c r="V4920" s="17">
        <f>ROUNDUP((T4920+U4920+2*'Read Me'!$B$13)*(1+'Read Me'!$B$12),-1)</f>
        <v/>
      </c>
      <c r="W4920" s="17">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I-I-0311</t>
        </is>
      </c>
      <c r="B4921" s="12" t="inlineStr">
        <is>
          <t>I</t>
        </is>
      </c>
      <c r="C4921" s="12" t="inlineStr">
        <is>
          <t>Modular / portable power</t>
        </is>
      </c>
      <c r="D4921" s="12" t="inlineStr">
        <is>
          <t>Home run JB-RICE-1-AI03 to the control / marshalling room</t>
        </is>
      </c>
      <c r="E4921" s="12" t="inlineStr"/>
      <c r="F4921" s="12" t="inlineStr">
        <is>
          <t>PCM: power control module</t>
        </is>
      </c>
      <c r="G4921" s="12" t="inlineStr">
        <is>
          <t>JB-RICE-1-AI03</t>
        </is>
      </c>
      <c r="H4921" s="12" t="inlineStr">
        <is>
          <t>RICE engine-generator 1</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7" t="n">
        <v>550</v>
      </c>
      <c r="U4921" s="17" t="n">
        <v>137</v>
      </c>
      <c r="V4921" s="17">
        <f>ROUNDUP((T4921+U4921+2*'Read Me'!$B$13)*(1+'Read Me'!$B$12),-1)</f>
        <v/>
      </c>
      <c r="W4921" s="17">
        <f>V4921*N4921*O4921</f>
        <v/>
      </c>
      <c r="X4921" s="12">
        <f>IF(LEFT(I4921,2)="MV",2*N4921*IF(L4921="1/C",O4921,1),0)</f>
        <v/>
      </c>
      <c r="Y4921" s="12">
        <f>IF(OR(LEFT(K4921,4)="LVAX",LEFT(K4921,6)="MV15AX",LEFT(K4921,4)="CTAX",LEFT(K4921,2)="W|"),2*N4921*O4921,0)</f>
        <v/>
      </c>
      <c r="Z4921" s="12" t="inlineStr"/>
      <c r="AA4921" s="12">
        <f>N4921*O4921</f>
        <v/>
      </c>
    </row>
    <row r="4922">
      <c r="A4922" s="12" t="inlineStr">
        <is>
          <t>I-I-0312</t>
        </is>
      </c>
      <c r="B4922" s="12" t="inlineStr">
        <is>
          <t>I</t>
        </is>
      </c>
      <c r="C4922" s="12" t="inlineStr">
        <is>
          <t>Modular / portable power</t>
        </is>
      </c>
      <c r="D4922" s="12" t="inlineStr">
        <is>
          <t>Analog instrument to JB JB-RICE-1-AI04: 20 x 1 pr (field cables)</t>
        </is>
      </c>
      <c r="E4922" s="12" t="inlineStr">
        <is>
          <t>RICE-1</t>
        </is>
      </c>
      <c r="F4922" s="12" t="inlineStr">
        <is>
          <t>RICE engine-generator 1</t>
        </is>
      </c>
      <c r="G4922" s="12" t="inlineStr">
        <is>
          <t>JB-RICE-1-AI04</t>
        </is>
      </c>
      <c r="H4922" s="12" t="inlineStr">
        <is>
          <t>RICE engine-generator 1</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7" t="n">
        <v>72</v>
      </c>
      <c r="U4922" s="17" t="n">
        <v>10</v>
      </c>
      <c r="V4922" s="17">
        <f>ROUNDUP((T4922+U4922+2*'Read Me'!$B$13)*(1+'Read Me'!$B$12),-1)</f>
        <v/>
      </c>
      <c r="W4922" s="17">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I-I-0313</t>
        </is>
      </c>
      <c r="B4923" s="12" t="inlineStr">
        <is>
          <t>I</t>
        </is>
      </c>
      <c r="C4923" s="12" t="inlineStr">
        <is>
          <t>Modular / portable power</t>
        </is>
      </c>
      <c r="D4923" s="12" t="inlineStr">
        <is>
          <t>Home run JB-RICE-1-AI04 to the control / marshalling room</t>
        </is>
      </c>
      <c r="E4923" s="12" t="inlineStr"/>
      <c r="F4923" s="12" t="inlineStr">
        <is>
          <t>PCM: power control module</t>
        </is>
      </c>
      <c r="G4923" s="12" t="inlineStr">
        <is>
          <t>JB-RICE-1-AI04</t>
        </is>
      </c>
      <c r="H4923" s="12" t="inlineStr">
        <is>
          <t>RICE engine-generator 1</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7" t="n">
        <v>550</v>
      </c>
      <c r="U4923" s="17" t="n">
        <v>137</v>
      </c>
      <c r="V4923" s="17">
        <f>ROUNDUP((T4923+U4923+2*'Read Me'!$B$13)*(1+'Read Me'!$B$12),-1)</f>
        <v/>
      </c>
      <c r="W4923" s="17">
        <f>V4923*N4923*O4923</f>
        <v/>
      </c>
      <c r="X4923" s="12">
        <f>IF(LEFT(I4923,2)="MV",2*N4923*IF(L4923="1/C",O4923,1),0)</f>
        <v/>
      </c>
      <c r="Y4923" s="12">
        <f>IF(OR(LEFT(K4923,4)="LVAX",LEFT(K4923,6)="MV15AX",LEFT(K4923,4)="CTAX",LEFT(K4923,2)="W|"),2*N4923*O4923,0)</f>
        <v/>
      </c>
      <c r="Z4923" s="12" t="inlineStr"/>
      <c r="AA4923" s="12">
        <f>N4923*O4923</f>
        <v/>
      </c>
    </row>
    <row r="4924">
      <c r="A4924" s="12" t="inlineStr">
        <is>
          <t>I-I-0314</t>
        </is>
      </c>
      <c r="B4924" s="12" t="inlineStr">
        <is>
          <t>I</t>
        </is>
      </c>
      <c r="C4924" s="12" t="inlineStr">
        <is>
          <t>Modular / portable power</t>
        </is>
      </c>
      <c r="D4924" s="12" t="inlineStr">
        <is>
          <t>Discrete device to JB JB-RICE-1-DI01: 20 x 1 pr (field cables)</t>
        </is>
      </c>
      <c r="E4924" s="12" t="inlineStr">
        <is>
          <t>RICE-1</t>
        </is>
      </c>
      <c r="F4924" s="12" t="inlineStr">
        <is>
          <t>RICE engine-generator 1</t>
        </is>
      </c>
      <c r="G4924" s="12" t="inlineStr">
        <is>
          <t>JB-RICE-1-DI01</t>
        </is>
      </c>
      <c r="H4924" s="12" t="inlineStr">
        <is>
          <t>RICE engine-generator 1</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7" t="n">
        <v>72</v>
      </c>
      <c r="U4924" s="17" t="n">
        <v>10</v>
      </c>
      <c r="V4924" s="17">
        <f>ROUNDUP((T4924+U4924+2*'Read Me'!$B$13)*(1+'Read Me'!$B$12),-1)</f>
        <v/>
      </c>
      <c r="W4924" s="17">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I-I-0315</t>
        </is>
      </c>
      <c r="B4925" s="12" t="inlineStr">
        <is>
          <t>I</t>
        </is>
      </c>
      <c r="C4925" s="12" t="inlineStr">
        <is>
          <t>Modular / portable power</t>
        </is>
      </c>
      <c r="D4925" s="12" t="inlineStr">
        <is>
          <t>Home run JB-RICE-1-DI01 to the control / marshalling room</t>
        </is>
      </c>
      <c r="E4925" s="12" t="inlineStr"/>
      <c r="F4925" s="12" t="inlineStr">
        <is>
          <t>PCM: power control module</t>
        </is>
      </c>
      <c r="G4925" s="12" t="inlineStr">
        <is>
          <t>JB-RICE-1-DI01</t>
        </is>
      </c>
      <c r="H4925" s="12" t="inlineStr">
        <is>
          <t>RICE engine-generator 1</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Duct bank</t>
        </is>
      </c>
      <c r="T4925" s="17" t="n">
        <v>550</v>
      </c>
      <c r="U4925" s="17" t="n">
        <v>137</v>
      </c>
      <c r="V4925" s="17">
        <f>ROUNDUP((T4925+U4925+2*'Read Me'!$B$13)*(1+'Read Me'!$B$12),-1)</f>
        <v/>
      </c>
      <c r="W4925" s="17">
        <f>V4925*N4925*O4925</f>
        <v/>
      </c>
      <c r="X4925" s="12">
        <f>IF(LEFT(I4925,2)="MV",2*N4925*IF(L4925="1/C",O4925,1),0)</f>
        <v/>
      </c>
      <c r="Y4925" s="12">
        <f>IF(OR(LEFT(K4925,4)="LVAX",LEFT(K4925,6)="MV15AX",LEFT(K4925,4)="CTAX",LEFT(K4925,2)="W|"),2*N4925*O4925,0)</f>
        <v/>
      </c>
      <c r="Z4925" s="12" t="inlineStr"/>
      <c r="AA4925" s="12">
        <f>N4925*O4925</f>
        <v/>
      </c>
    </row>
    <row r="4926">
      <c r="A4926" s="12" t="inlineStr">
        <is>
          <t>I-I-0316</t>
        </is>
      </c>
      <c r="B4926" s="12" t="inlineStr">
        <is>
          <t>I</t>
        </is>
      </c>
      <c r="C4926" s="12" t="inlineStr">
        <is>
          <t>Modular / portable power</t>
        </is>
      </c>
      <c r="D4926" s="12" t="inlineStr">
        <is>
          <t>Discrete device to JB JB-RICE-1-DI02: 20 x 1 pr (field cables)</t>
        </is>
      </c>
      <c r="E4926" s="12" t="inlineStr">
        <is>
          <t>RICE-1</t>
        </is>
      </c>
      <c r="F4926" s="12" t="inlineStr">
        <is>
          <t>RICE engine-generator 1</t>
        </is>
      </c>
      <c r="G4926" s="12" t="inlineStr">
        <is>
          <t>JB-RICE-1-DI02</t>
        </is>
      </c>
      <c r="H4926" s="12" t="inlineStr">
        <is>
          <t>RICE engine-generator 1</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7" t="n">
        <v>72</v>
      </c>
      <c r="U4926" s="17" t="n">
        <v>10</v>
      </c>
      <c r="V4926" s="17">
        <f>ROUNDUP((T4926+U4926+2*'Read Me'!$B$13)*(1+'Read Me'!$B$12),-1)</f>
        <v/>
      </c>
      <c r="W4926" s="17">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I-I-0317</t>
        </is>
      </c>
      <c r="B4927" s="12" t="inlineStr">
        <is>
          <t>I</t>
        </is>
      </c>
      <c r="C4927" s="12" t="inlineStr">
        <is>
          <t>Modular / portable power</t>
        </is>
      </c>
      <c r="D4927" s="12" t="inlineStr">
        <is>
          <t>Home run JB-RICE-1-DI02 to the control / marshalling room</t>
        </is>
      </c>
      <c r="E4927" s="12" t="inlineStr"/>
      <c r="F4927" s="12" t="inlineStr">
        <is>
          <t>PCM: power control module</t>
        </is>
      </c>
      <c r="G4927" s="12" t="inlineStr">
        <is>
          <t>JB-RICE-1-DI02</t>
        </is>
      </c>
      <c r="H4927" s="12" t="inlineStr">
        <is>
          <t>RICE engine-generator 1</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7" t="n">
        <v>550</v>
      </c>
      <c r="U4927" s="17" t="n">
        <v>137</v>
      </c>
      <c r="V4927" s="17">
        <f>ROUNDUP((T4927+U4927+2*'Read Me'!$B$13)*(1+'Read Me'!$B$12),-1)</f>
        <v/>
      </c>
      <c r="W4927" s="17">
        <f>V4927*N4927*O4927</f>
        <v/>
      </c>
      <c r="X4927" s="12">
        <f>IF(LEFT(I4927,2)="MV",2*N4927*IF(L4927="1/C",O4927,1),0)</f>
        <v/>
      </c>
      <c r="Y4927" s="12">
        <f>IF(OR(LEFT(K4927,4)="LVAX",LEFT(K4927,6)="MV15AX",LEFT(K4927,4)="CTAX",LEFT(K4927,2)="W|"),2*N4927*O4927,0)</f>
        <v/>
      </c>
      <c r="Z4927" s="12" t="inlineStr"/>
      <c r="AA4927" s="12">
        <f>N4927*O4927</f>
        <v/>
      </c>
    </row>
    <row r="4928">
      <c r="A4928" s="12" t="inlineStr">
        <is>
          <t>I-I-0318</t>
        </is>
      </c>
      <c r="B4928" s="12" t="inlineStr">
        <is>
          <t>I</t>
        </is>
      </c>
      <c r="C4928" s="12" t="inlineStr">
        <is>
          <t>Modular / portable power</t>
        </is>
      </c>
      <c r="D4928" s="12" t="inlineStr">
        <is>
          <t>Discrete device to JB JB-RICE-1-DI03: 20 x 1 pr (field cables)</t>
        </is>
      </c>
      <c r="E4928" s="12" t="inlineStr">
        <is>
          <t>RICE-1</t>
        </is>
      </c>
      <c r="F4928" s="12" t="inlineStr">
        <is>
          <t>RICE engine-generator 1</t>
        </is>
      </c>
      <c r="G4928" s="12" t="inlineStr">
        <is>
          <t>JB-RICE-1-DI03</t>
        </is>
      </c>
      <c r="H4928" s="12" t="inlineStr">
        <is>
          <t>RICE engine-generator 1</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20</v>
      </c>
      <c r="O4928" s="12" t="n">
        <v>1</v>
      </c>
      <c r="P4928" s="12" t="n"/>
      <c r="Q4928" s="12" t="n"/>
      <c r="R4928" s="12" t="n"/>
      <c r="S4928" s="12" t="inlineStr">
        <is>
          <t>Tray / conduit</t>
        </is>
      </c>
      <c r="T4928" s="17" t="n">
        <v>72</v>
      </c>
      <c r="U4928" s="17" t="n">
        <v>10</v>
      </c>
      <c r="V4928" s="17">
        <f>ROUNDUP((T4928+U4928+2*'Read Me'!$B$13)*(1+'Read Me'!$B$12),-1)</f>
        <v/>
      </c>
      <c r="W4928" s="17">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I-I-0319</t>
        </is>
      </c>
      <c r="B4929" s="12" t="inlineStr">
        <is>
          <t>I</t>
        </is>
      </c>
      <c r="C4929" s="12" t="inlineStr">
        <is>
          <t>Modular / portable power</t>
        </is>
      </c>
      <c r="D4929" s="12" t="inlineStr">
        <is>
          <t>Home run JB-RICE-1-DI03 to the control / marshalling room</t>
        </is>
      </c>
      <c r="E4929" s="12" t="inlineStr"/>
      <c r="F4929" s="12" t="inlineStr">
        <is>
          <t>PCM: power control module</t>
        </is>
      </c>
      <c r="G4929" s="12" t="inlineStr">
        <is>
          <t>JB-RICE-1-DI03</t>
        </is>
      </c>
      <c r="H4929" s="12" t="inlineStr">
        <is>
          <t>RICE engine-generator 1</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Duct bank</t>
        </is>
      </c>
      <c r="T4929" s="17" t="n">
        <v>550</v>
      </c>
      <c r="U4929" s="17" t="n">
        <v>137</v>
      </c>
      <c r="V4929" s="17">
        <f>ROUNDUP((T4929+U4929+2*'Read Me'!$B$13)*(1+'Read Me'!$B$12),-1)</f>
        <v/>
      </c>
      <c r="W4929" s="17">
        <f>V4929*N4929*O4929</f>
        <v/>
      </c>
      <c r="X4929" s="12">
        <f>IF(LEFT(I4929,2)="MV",2*N4929*IF(L4929="1/C",O4929,1),0)</f>
        <v/>
      </c>
      <c r="Y4929" s="12">
        <f>IF(OR(LEFT(K4929,4)="LVAX",LEFT(K4929,6)="MV15AX",LEFT(K4929,4)="CTAX",LEFT(K4929,2)="W|"),2*N4929*O4929,0)</f>
        <v/>
      </c>
      <c r="Z4929" s="12" t="inlineStr"/>
      <c r="AA4929" s="12">
        <f>N4929*O4929</f>
        <v/>
      </c>
    </row>
    <row r="4930">
      <c r="A4930" s="12" t="inlineStr">
        <is>
          <t>I-I-0320</t>
        </is>
      </c>
      <c r="B4930" s="12" t="inlineStr">
        <is>
          <t>I</t>
        </is>
      </c>
      <c r="C4930" s="12" t="inlineStr">
        <is>
          <t>Modular / portable power</t>
        </is>
      </c>
      <c r="D4930" s="12" t="inlineStr">
        <is>
          <t>Thermocouple to TC JB JB-RICE-1-TC01: 20 x 1 pr (field cables)</t>
        </is>
      </c>
      <c r="E4930" s="12" t="inlineStr">
        <is>
          <t>RICE-1</t>
        </is>
      </c>
      <c r="F4930" s="12" t="inlineStr">
        <is>
          <t>RICE engine-generator 1</t>
        </is>
      </c>
      <c r="G4930" s="12" t="inlineStr">
        <is>
          <t>JB-RICE-1-TC01</t>
        </is>
      </c>
      <c r="H4930" s="12" t="inlineStr">
        <is>
          <t>RICE engine-generator 1</t>
        </is>
      </c>
      <c r="I4930" s="12" t="inlineStr">
        <is>
          <t>Instrumentation</t>
        </is>
      </c>
      <c r="J4930" s="12" t="inlineStr">
        <is>
          <t>Thermocouple extension KX, #16 shielded pairs, PLTC</t>
        </is>
      </c>
      <c r="K4930" s="12" t="inlineStr">
        <is>
          <t>TCX|1 pr|16</t>
        </is>
      </c>
      <c r="L4930" s="12" t="inlineStr">
        <is>
          <t>1 pr</t>
        </is>
      </c>
      <c r="M4930" s="12" t="inlineStr">
        <is>
          <t>16</t>
        </is>
      </c>
      <c r="N4930" s="12" t="n">
        <v>20</v>
      </c>
      <c r="O4930" s="12" t="n">
        <v>1</v>
      </c>
      <c r="P4930" s="12" t="n"/>
      <c r="Q4930" s="12" t="n"/>
      <c r="R4930" s="12" t="n"/>
      <c r="S4930" s="12" t="inlineStr">
        <is>
          <t>Tray / conduit</t>
        </is>
      </c>
      <c r="T4930" s="17" t="n">
        <v>72</v>
      </c>
      <c r="U4930" s="17" t="n">
        <v>10</v>
      </c>
      <c r="V4930" s="17">
        <f>ROUNDUP((T4930+U4930+2*'Read Me'!$B$13)*(1+'Read Me'!$B$12),-1)</f>
        <v/>
      </c>
      <c r="W4930" s="17">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I-I-0321</t>
        </is>
      </c>
      <c r="B4931" s="12" t="inlineStr">
        <is>
          <t>I</t>
        </is>
      </c>
      <c r="C4931" s="12" t="inlineStr">
        <is>
          <t>Modular / portable power</t>
        </is>
      </c>
      <c r="D4931" s="12" t="inlineStr">
        <is>
          <t>Home run JB-RICE-1-TC01 to the control / marshalling room</t>
        </is>
      </c>
      <c r="E4931" s="12" t="inlineStr"/>
      <c r="F4931" s="12" t="inlineStr">
        <is>
          <t>PCM: power control module</t>
        </is>
      </c>
      <c r="G4931" s="12" t="inlineStr">
        <is>
          <t>JB-RICE-1-TC01</t>
        </is>
      </c>
      <c r="H4931" s="12" t="inlineStr">
        <is>
          <t>RICE engine-generator 1</t>
        </is>
      </c>
      <c r="I4931" s="12" t="inlineStr">
        <is>
          <t>Instrumentation</t>
        </is>
      </c>
      <c r="J4931" s="12" t="inlineStr">
        <is>
          <t>Thermocouple extension KX, #16 shielded pairs, PLTC</t>
        </is>
      </c>
      <c r="K4931" s="12" t="inlineStr">
        <is>
          <t>TCX|24 pr|16</t>
        </is>
      </c>
      <c r="L4931" s="12" t="inlineStr">
        <is>
          <t>24 pr</t>
        </is>
      </c>
      <c r="M4931" s="12" t="inlineStr">
        <is>
          <t>16</t>
        </is>
      </c>
      <c r="N4931" s="12" t="n">
        <v>1</v>
      </c>
      <c r="O4931" s="12" t="n">
        <v>1</v>
      </c>
      <c r="P4931" s="12" t="n"/>
      <c r="Q4931" s="12" t="n"/>
      <c r="R4931" s="12" t="n"/>
      <c r="S4931" s="12" t="inlineStr">
        <is>
          <t>Duct bank</t>
        </is>
      </c>
      <c r="T4931" s="17" t="n">
        <v>550</v>
      </c>
      <c r="U4931" s="17" t="n">
        <v>137</v>
      </c>
      <c r="V4931" s="17">
        <f>ROUNDUP((T4931+U4931+2*'Read Me'!$B$13)*(1+'Read Me'!$B$12),-1)</f>
        <v/>
      </c>
      <c r="W4931" s="17">
        <f>V4931*N4931*O4931</f>
        <v/>
      </c>
      <c r="X4931" s="12">
        <f>IF(LEFT(I4931,2)="MV",2*N4931*IF(L4931="1/C",O4931,1),0)</f>
        <v/>
      </c>
      <c r="Y4931" s="12">
        <f>IF(OR(LEFT(K4931,4)="LVAX",LEFT(K4931,6)="MV15AX",LEFT(K4931,4)="CTAX",LEFT(K4931,2)="W|"),2*N4931*O4931,0)</f>
        <v/>
      </c>
      <c r="Z4931" s="12" t="inlineStr"/>
      <c r="AA4931" s="12">
        <f>N4931*O4931</f>
        <v/>
      </c>
    </row>
    <row r="4932">
      <c r="A4932" s="12" t="inlineStr">
        <is>
          <t>I-I-0322</t>
        </is>
      </c>
      <c r="B4932" s="12" t="inlineStr">
        <is>
          <t>I</t>
        </is>
      </c>
      <c r="C4932" s="12" t="inlineStr">
        <is>
          <t>Modular / portable power</t>
        </is>
      </c>
      <c r="D4932" s="12" t="inlineStr">
        <is>
          <t>Thermocouple to TC JB JB-RICE-1-TC02: 10 x 1 pr (field cables)</t>
        </is>
      </c>
      <c r="E4932" s="12" t="inlineStr">
        <is>
          <t>RICE-1</t>
        </is>
      </c>
      <c r="F4932" s="12" t="inlineStr">
        <is>
          <t>RICE engine-generator 1</t>
        </is>
      </c>
      <c r="G4932" s="12" t="inlineStr">
        <is>
          <t>JB-RICE-1-TC02</t>
        </is>
      </c>
      <c r="H4932" s="12" t="inlineStr">
        <is>
          <t>RICE engine-generator 1</t>
        </is>
      </c>
      <c r="I4932" s="12" t="inlineStr">
        <is>
          <t>Instrumentation</t>
        </is>
      </c>
      <c r="J4932" s="12" t="inlineStr">
        <is>
          <t>Thermocouple extension KX, #16 shielded pairs, PLTC</t>
        </is>
      </c>
      <c r="K4932" s="12" t="inlineStr">
        <is>
          <t>TCX|1 pr|16</t>
        </is>
      </c>
      <c r="L4932" s="12" t="inlineStr">
        <is>
          <t>1 pr</t>
        </is>
      </c>
      <c r="M4932" s="12" t="inlineStr">
        <is>
          <t>16</t>
        </is>
      </c>
      <c r="N4932" s="12" t="n">
        <v>10</v>
      </c>
      <c r="O4932" s="12" t="n">
        <v>1</v>
      </c>
      <c r="P4932" s="12" t="n"/>
      <c r="Q4932" s="12" t="n"/>
      <c r="R4932" s="12" t="n"/>
      <c r="S4932" s="12" t="inlineStr">
        <is>
          <t>Tray / conduit</t>
        </is>
      </c>
      <c r="T4932" s="17" t="n">
        <v>72</v>
      </c>
      <c r="U4932" s="17" t="n">
        <v>10</v>
      </c>
      <c r="V4932" s="17">
        <f>ROUNDUP((T4932+U4932+2*'Read Me'!$B$13)*(1+'Read Me'!$B$12),-1)</f>
        <v/>
      </c>
      <c r="W4932" s="17">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I-I-0323</t>
        </is>
      </c>
      <c r="B4933" s="12" t="inlineStr">
        <is>
          <t>I</t>
        </is>
      </c>
      <c r="C4933" s="12" t="inlineStr">
        <is>
          <t>Modular / portable power</t>
        </is>
      </c>
      <c r="D4933" s="12" t="inlineStr">
        <is>
          <t>Home run JB-RICE-1-TC02 to the control / marshalling room</t>
        </is>
      </c>
      <c r="E4933" s="12" t="inlineStr"/>
      <c r="F4933" s="12" t="inlineStr">
        <is>
          <t>PCM: power control module</t>
        </is>
      </c>
      <c r="G4933" s="12" t="inlineStr">
        <is>
          <t>JB-RICE-1-TC02</t>
        </is>
      </c>
      <c r="H4933" s="12" t="inlineStr">
        <is>
          <t>RICE engine-generator 1</t>
        </is>
      </c>
      <c r="I4933" s="12" t="inlineStr">
        <is>
          <t>Instrumentation</t>
        </is>
      </c>
      <c r="J4933" s="12" t="inlineStr">
        <is>
          <t>Thermocouple extension KX, #16 shielded pairs, PLTC</t>
        </is>
      </c>
      <c r="K4933" s="12" t="inlineStr">
        <is>
          <t>TCX|24 pr|16</t>
        </is>
      </c>
      <c r="L4933" s="12" t="inlineStr">
        <is>
          <t>24 pr</t>
        </is>
      </c>
      <c r="M4933" s="12" t="inlineStr">
        <is>
          <t>16</t>
        </is>
      </c>
      <c r="N4933" s="12" t="n">
        <v>1</v>
      </c>
      <c r="O4933" s="12" t="n">
        <v>1</v>
      </c>
      <c r="P4933" s="12" t="n"/>
      <c r="Q4933" s="12" t="n"/>
      <c r="R4933" s="12" t="n"/>
      <c r="S4933" s="12" t="inlineStr">
        <is>
          <t>Duct bank</t>
        </is>
      </c>
      <c r="T4933" s="17" t="n">
        <v>550</v>
      </c>
      <c r="U4933" s="17" t="n">
        <v>137</v>
      </c>
      <c r="V4933" s="17">
        <f>ROUNDUP((T4933+U4933+2*'Read Me'!$B$13)*(1+'Read Me'!$B$12),-1)</f>
        <v/>
      </c>
      <c r="W4933" s="17">
        <f>V4933*N4933*O4933</f>
        <v/>
      </c>
      <c r="X4933" s="12">
        <f>IF(LEFT(I4933,2)="MV",2*N4933*IF(L4933="1/C",O4933,1),0)</f>
        <v/>
      </c>
      <c r="Y4933" s="12">
        <f>IF(OR(LEFT(K4933,4)="LVAX",LEFT(K4933,6)="MV15AX",LEFT(K4933,4)="CTAX",LEFT(K4933,2)="W|"),2*N4933*O4933,0)</f>
        <v/>
      </c>
      <c r="Z4933" s="12" t="inlineStr"/>
      <c r="AA4933" s="12">
        <f>N4933*O4933</f>
        <v/>
      </c>
    </row>
    <row r="4934">
      <c r="A4934" s="12" t="inlineStr">
        <is>
          <t>I-I-0324</t>
        </is>
      </c>
      <c r="B4934" s="12" t="inlineStr">
        <is>
          <t>I</t>
        </is>
      </c>
      <c r="C4934" s="12" t="inlineStr">
        <is>
          <t>Modular / portable power</t>
        </is>
      </c>
      <c r="D4934" s="12" t="inlineStr">
        <is>
          <t>RTD to JB JB-RICE-1-RTD01: 10 x 1 tri (field cables)</t>
        </is>
      </c>
      <c r="E4934" s="12" t="inlineStr">
        <is>
          <t>RICE-1</t>
        </is>
      </c>
      <c r="F4934" s="12" t="inlineStr">
        <is>
          <t>RICE engine-generator 1</t>
        </is>
      </c>
      <c r="G4934" s="12" t="inlineStr">
        <is>
          <t>JB-RICE-1-RTD01</t>
        </is>
      </c>
      <c r="H4934" s="12" t="inlineStr">
        <is>
          <t>RICE engine-generator 1</t>
        </is>
      </c>
      <c r="I4934" s="12" t="inlineStr">
        <is>
          <t>Instrumentation</t>
        </is>
      </c>
      <c r="J4934" s="12" t="inlineStr">
        <is>
          <t>RTD cable, #18 shielded triads, PLTC</t>
        </is>
      </c>
      <c r="K4934" s="12" t="inlineStr">
        <is>
          <t>RTD|1 tri|18</t>
        </is>
      </c>
      <c r="L4934" s="12" t="inlineStr">
        <is>
          <t>1 tri</t>
        </is>
      </c>
      <c r="M4934" s="12" t="inlineStr">
        <is>
          <t>18</t>
        </is>
      </c>
      <c r="N4934" s="12" t="n">
        <v>10</v>
      </c>
      <c r="O4934" s="12" t="n">
        <v>1</v>
      </c>
      <c r="P4934" s="12" t="n"/>
      <c r="Q4934" s="12" t="n"/>
      <c r="R4934" s="12" t="n"/>
      <c r="S4934" s="12" t="inlineStr">
        <is>
          <t>Tray / conduit</t>
        </is>
      </c>
      <c r="T4934" s="17" t="n">
        <v>72</v>
      </c>
      <c r="U4934" s="17" t="n">
        <v>10</v>
      </c>
      <c r="V4934" s="17">
        <f>ROUNDUP((T4934+U4934+2*'Read Me'!$B$13)*(1+'Read Me'!$B$12),-1)</f>
        <v/>
      </c>
      <c r="W4934" s="17">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I-I-0325</t>
        </is>
      </c>
      <c r="B4935" s="12" t="inlineStr">
        <is>
          <t>I</t>
        </is>
      </c>
      <c r="C4935" s="12" t="inlineStr">
        <is>
          <t>Modular / portable power</t>
        </is>
      </c>
      <c r="D4935" s="12" t="inlineStr">
        <is>
          <t>Home run JB-RICE-1-RTD01 to the control / marshalling room</t>
        </is>
      </c>
      <c r="E4935" s="12" t="inlineStr"/>
      <c r="F4935" s="12" t="inlineStr">
        <is>
          <t>PCM: power control module</t>
        </is>
      </c>
      <c r="G4935" s="12" t="inlineStr">
        <is>
          <t>JB-RICE-1-RTD01</t>
        </is>
      </c>
      <c r="H4935" s="12" t="inlineStr">
        <is>
          <t>RICE engine-generator 1</t>
        </is>
      </c>
      <c r="I4935" s="12" t="inlineStr">
        <is>
          <t>Instrumentation</t>
        </is>
      </c>
      <c r="J4935" s="12" t="inlineStr">
        <is>
          <t>RTD cable, #18 shielded triads, PLTC</t>
        </is>
      </c>
      <c r="K4935" s="12" t="inlineStr">
        <is>
          <t>RTD|12 tri|18</t>
        </is>
      </c>
      <c r="L4935" s="12" t="inlineStr">
        <is>
          <t>12 tri</t>
        </is>
      </c>
      <c r="M4935" s="12" t="inlineStr">
        <is>
          <t>18</t>
        </is>
      </c>
      <c r="N4935" s="12" t="n">
        <v>1</v>
      </c>
      <c r="O4935" s="12" t="n">
        <v>1</v>
      </c>
      <c r="P4935" s="12" t="n"/>
      <c r="Q4935" s="12" t="n"/>
      <c r="R4935" s="12" t="n"/>
      <c r="S4935" s="12" t="inlineStr">
        <is>
          <t>Duct bank</t>
        </is>
      </c>
      <c r="T4935" s="17" t="n">
        <v>550</v>
      </c>
      <c r="U4935" s="17" t="n">
        <v>137</v>
      </c>
      <c r="V4935" s="17">
        <f>ROUNDUP((T4935+U4935+2*'Read Me'!$B$13)*(1+'Read Me'!$B$12),-1)</f>
        <v/>
      </c>
      <c r="W4935" s="17">
        <f>V4935*N4935*O4935</f>
        <v/>
      </c>
      <c r="X4935" s="12">
        <f>IF(LEFT(I4935,2)="MV",2*N4935*IF(L4935="1/C",O4935,1),0)</f>
        <v/>
      </c>
      <c r="Y4935" s="12">
        <f>IF(OR(LEFT(K4935,4)="LVAX",LEFT(K4935,6)="MV15AX",LEFT(K4935,4)="CTAX",LEFT(K4935,2)="W|"),2*N4935*O4935,0)</f>
        <v/>
      </c>
      <c r="Z4935" s="12" t="inlineStr"/>
      <c r="AA4935" s="12">
        <f>N4935*O4935</f>
        <v/>
      </c>
    </row>
    <row r="4936">
      <c r="A4936" s="12" t="inlineStr">
        <is>
          <t>I-I-0326</t>
        </is>
      </c>
      <c r="B4936" s="12" t="inlineStr">
        <is>
          <t>I</t>
        </is>
      </c>
      <c r="C4936" s="12" t="inlineStr">
        <is>
          <t>Modular / portable power</t>
        </is>
      </c>
      <c r="D4936" s="12" t="inlineStr">
        <is>
          <t>RTD to JB JB-RICE-1-RTD02: 2 x 1 tri (field cables)</t>
        </is>
      </c>
      <c r="E4936" s="12" t="inlineStr">
        <is>
          <t>RICE-1</t>
        </is>
      </c>
      <c r="F4936" s="12" t="inlineStr">
        <is>
          <t>RICE engine-generator 1</t>
        </is>
      </c>
      <c r="G4936" s="12" t="inlineStr">
        <is>
          <t>JB-RICE-1-RTD02</t>
        </is>
      </c>
      <c r="H4936" s="12" t="inlineStr">
        <is>
          <t>RICE engine-generator 1</t>
        </is>
      </c>
      <c r="I4936" s="12" t="inlineStr">
        <is>
          <t>Instrumentation</t>
        </is>
      </c>
      <c r="J4936" s="12" t="inlineStr">
        <is>
          <t>RTD cable, #18 shielded triads, PLTC</t>
        </is>
      </c>
      <c r="K4936" s="12" t="inlineStr">
        <is>
          <t>RTD|1 tri|18</t>
        </is>
      </c>
      <c r="L4936" s="12" t="inlineStr">
        <is>
          <t>1 tri</t>
        </is>
      </c>
      <c r="M4936" s="12" t="inlineStr">
        <is>
          <t>18</t>
        </is>
      </c>
      <c r="N4936" s="12" t="n">
        <v>2</v>
      </c>
      <c r="O4936" s="12" t="n">
        <v>1</v>
      </c>
      <c r="P4936" s="12" t="n"/>
      <c r="Q4936" s="12" t="n"/>
      <c r="R4936" s="12" t="n"/>
      <c r="S4936" s="12" t="inlineStr">
        <is>
          <t>Tray / conduit</t>
        </is>
      </c>
      <c r="T4936" s="17" t="n">
        <v>72</v>
      </c>
      <c r="U4936" s="17" t="n">
        <v>10</v>
      </c>
      <c r="V4936" s="17">
        <f>ROUNDUP((T4936+U4936+2*'Read Me'!$B$13)*(1+'Read Me'!$B$12),-1)</f>
        <v/>
      </c>
      <c r="W4936" s="17">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I-I-0327</t>
        </is>
      </c>
      <c r="B4937" s="12" t="inlineStr">
        <is>
          <t>I</t>
        </is>
      </c>
      <c r="C4937" s="12" t="inlineStr">
        <is>
          <t>Modular / portable power</t>
        </is>
      </c>
      <c r="D4937" s="12" t="inlineStr">
        <is>
          <t>Home run JB-RICE-1-RTD02 to the control / marshalling room</t>
        </is>
      </c>
      <c r="E4937" s="12" t="inlineStr"/>
      <c r="F4937" s="12" t="inlineStr">
        <is>
          <t>PCM: power control module</t>
        </is>
      </c>
      <c r="G4937" s="12" t="inlineStr">
        <is>
          <t>JB-RICE-1-RTD02</t>
        </is>
      </c>
      <c r="H4937" s="12" t="inlineStr">
        <is>
          <t>RICE engine-generator 1</t>
        </is>
      </c>
      <c r="I4937" s="12" t="inlineStr">
        <is>
          <t>Instrumentation</t>
        </is>
      </c>
      <c r="J4937" s="12" t="inlineStr">
        <is>
          <t>RTD cable, #18 shielded triads, PLTC</t>
        </is>
      </c>
      <c r="K4937" s="12" t="inlineStr">
        <is>
          <t>RTD|12 tri|18</t>
        </is>
      </c>
      <c r="L4937" s="12" t="inlineStr">
        <is>
          <t>12 tri</t>
        </is>
      </c>
      <c r="M4937" s="12" t="inlineStr">
        <is>
          <t>18</t>
        </is>
      </c>
      <c r="N4937" s="12" t="n">
        <v>1</v>
      </c>
      <c r="O4937" s="12" t="n">
        <v>1</v>
      </c>
      <c r="P4937" s="12" t="n"/>
      <c r="Q4937" s="12" t="n"/>
      <c r="R4937" s="12" t="n"/>
      <c r="S4937" s="12" t="inlineStr">
        <is>
          <t>Duct bank</t>
        </is>
      </c>
      <c r="T4937" s="17" t="n">
        <v>550</v>
      </c>
      <c r="U4937" s="17" t="n">
        <v>137</v>
      </c>
      <c r="V4937" s="17">
        <f>ROUNDUP((T4937+U4937+2*'Read Me'!$B$13)*(1+'Read Me'!$B$12),-1)</f>
        <v/>
      </c>
      <c r="W4937" s="17">
        <f>V4937*N4937*O4937</f>
        <v/>
      </c>
      <c r="X4937" s="12">
        <f>IF(LEFT(I4937,2)="MV",2*N4937*IF(L4937="1/C",O4937,1),0)</f>
        <v/>
      </c>
      <c r="Y4937" s="12">
        <f>IF(OR(LEFT(K4937,4)="LVAX",LEFT(K4937,6)="MV15AX",LEFT(K4937,4)="CTAX",LEFT(K4937,2)="W|"),2*N4937*O4937,0)</f>
        <v/>
      </c>
      <c r="Z4937" s="12" t="inlineStr"/>
      <c r="AA4937" s="12">
        <f>N4937*O4937</f>
        <v/>
      </c>
    </row>
    <row r="4938">
      <c r="A4938" s="12" t="inlineStr">
        <is>
          <t>I-I-0328</t>
        </is>
      </c>
      <c r="B4938" s="12" t="inlineStr">
        <is>
          <t>I</t>
        </is>
      </c>
      <c r="C4938" s="12" t="inlineStr">
        <is>
          <t>Modular / portable power</t>
        </is>
      </c>
      <c r="D4938" s="12" t="inlineStr">
        <is>
          <t>Analog instrument to JB JB-RICE-2-AI01: 20 x 1 pr (field cables)</t>
        </is>
      </c>
      <c r="E4938" s="12" t="inlineStr">
        <is>
          <t>RICE-2</t>
        </is>
      </c>
      <c r="F4938" s="12" t="inlineStr">
        <is>
          <t>RICE engine-generator 2</t>
        </is>
      </c>
      <c r="G4938" s="12" t="inlineStr">
        <is>
          <t>JB-RICE-2-AI01</t>
        </is>
      </c>
      <c r="H4938" s="12" t="inlineStr">
        <is>
          <t>RICE engine-generator 2</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7" t="n">
        <v>72</v>
      </c>
      <c r="U4938" s="17" t="n">
        <v>10</v>
      </c>
      <c r="V4938" s="17">
        <f>ROUNDUP((T4938+U4938+2*'Read Me'!$B$13)*(1+'Read Me'!$B$12),-1)</f>
        <v/>
      </c>
      <c r="W4938" s="17">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I-I-0329</t>
        </is>
      </c>
      <c r="B4939" s="12" t="inlineStr">
        <is>
          <t>I</t>
        </is>
      </c>
      <c r="C4939" s="12" t="inlineStr">
        <is>
          <t>Modular / portable power</t>
        </is>
      </c>
      <c r="D4939" s="12" t="inlineStr">
        <is>
          <t>Home run JB-RICE-2-AI01 to the control / marshalling room</t>
        </is>
      </c>
      <c r="E4939" s="12" t="inlineStr"/>
      <c r="F4939" s="12" t="inlineStr">
        <is>
          <t>PCM: power control module</t>
        </is>
      </c>
      <c r="G4939" s="12" t="inlineStr">
        <is>
          <t>JB-RICE-2-AI01</t>
        </is>
      </c>
      <c r="H4939" s="12" t="inlineStr">
        <is>
          <t>RICE engine-generator 2</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7" t="n">
        <v>550</v>
      </c>
      <c r="U4939" s="17" t="n">
        <v>109</v>
      </c>
      <c r="V4939" s="17">
        <f>ROUNDUP((T4939+U4939+2*'Read Me'!$B$13)*(1+'Read Me'!$B$12),-1)</f>
        <v/>
      </c>
      <c r="W4939" s="17">
        <f>V4939*N4939*O4939</f>
        <v/>
      </c>
      <c r="X4939" s="12">
        <f>IF(LEFT(I4939,2)="MV",2*N4939*IF(L4939="1/C",O4939,1),0)</f>
        <v/>
      </c>
      <c r="Y4939" s="12">
        <f>IF(OR(LEFT(K4939,4)="LVAX",LEFT(K4939,6)="MV15AX",LEFT(K4939,4)="CTAX",LEFT(K4939,2)="W|"),2*N4939*O4939,0)</f>
        <v/>
      </c>
      <c r="Z4939" s="12" t="inlineStr"/>
      <c r="AA4939" s="12">
        <f>N4939*O4939</f>
        <v/>
      </c>
    </row>
    <row r="4940">
      <c r="A4940" s="12" t="inlineStr">
        <is>
          <t>I-I-0330</t>
        </is>
      </c>
      <c r="B4940" s="12" t="inlineStr">
        <is>
          <t>I</t>
        </is>
      </c>
      <c r="C4940" s="12" t="inlineStr">
        <is>
          <t>Modular / portable power</t>
        </is>
      </c>
      <c r="D4940" s="12" t="inlineStr">
        <is>
          <t>Analog instrument to JB JB-RICE-2-AI02: 20 x 1 pr (field cables)</t>
        </is>
      </c>
      <c r="E4940" s="12" t="inlineStr">
        <is>
          <t>RICE-2</t>
        </is>
      </c>
      <c r="F4940" s="12" t="inlineStr">
        <is>
          <t>RICE engine-generator 2</t>
        </is>
      </c>
      <c r="G4940" s="12" t="inlineStr">
        <is>
          <t>JB-RICE-2-AI02</t>
        </is>
      </c>
      <c r="H4940" s="12" t="inlineStr">
        <is>
          <t>RICE engine-generator 2</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7" t="n">
        <v>72</v>
      </c>
      <c r="U4940" s="17" t="n">
        <v>10</v>
      </c>
      <c r="V4940" s="17">
        <f>ROUNDUP((T4940+U4940+2*'Read Me'!$B$13)*(1+'Read Me'!$B$12),-1)</f>
        <v/>
      </c>
      <c r="W4940" s="17">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I-I-0331</t>
        </is>
      </c>
      <c r="B4941" s="12" t="inlineStr">
        <is>
          <t>I</t>
        </is>
      </c>
      <c r="C4941" s="12" t="inlineStr">
        <is>
          <t>Modular / portable power</t>
        </is>
      </c>
      <c r="D4941" s="12" t="inlineStr">
        <is>
          <t>Home run JB-RICE-2-AI02 to the control / marshalling room</t>
        </is>
      </c>
      <c r="E4941" s="12" t="inlineStr"/>
      <c r="F4941" s="12" t="inlineStr">
        <is>
          <t>PCM: power control module</t>
        </is>
      </c>
      <c r="G4941" s="12" t="inlineStr">
        <is>
          <t>JB-RICE-2-AI02</t>
        </is>
      </c>
      <c r="H4941" s="12" t="inlineStr">
        <is>
          <t>RICE engine-generator 2</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7" t="n">
        <v>550</v>
      </c>
      <c r="U4941" s="17" t="n">
        <v>109</v>
      </c>
      <c r="V4941" s="17">
        <f>ROUNDUP((T4941+U4941+2*'Read Me'!$B$13)*(1+'Read Me'!$B$12),-1)</f>
        <v/>
      </c>
      <c r="W4941" s="17">
        <f>V4941*N4941*O4941</f>
        <v/>
      </c>
      <c r="X4941" s="12">
        <f>IF(LEFT(I4941,2)="MV",2*N4941*IF(L4941="1/C",O4941,1),0)</f>
        <v/>
      </c>
      <c r="Y4941" s="12">
        <f>IF(OR(LEFT(K4941,4)="LVAX",LEFT(K4941,6)="MV15AX",LEFT(K4941,4)="CTAX",LEFT(K4941,2)="W|"),2*N4941*O4941,0)</f>
        <v/>
      </c>
      <c r="Z4941" s="12" t="inlineStr"/>
      <c r="AA4941" s="12">
        <f>N4941*O4941</f>
        <v/>
      </c>
    </row>
    <row r="4942">
      <c r="A4942" s="12" t="inlineStr">
        <is>
          <t>I-I-0332</t>
        </is>
      </c>
      <c r="B4942" s="12" t="inlineStr">
        <is>
          <t>I</t>
        </is>
      </c>
      <c r="C4942" s="12" t="inlineStr">
        <is>
          <t>Modular / portable power</t>
        </is>
      </c>
      <c r="D4942" s="12" t="inlineStr">
        <is>
          <t>Analog instrument to JB JB-RICE-2-AI03: 20 x 1 pr (field cables)</t>
        </is>
      </c>
      <c r="E4942" s="12" t="inlineStr">
        <is>
          <t>RICE-2</t>
        </is>
      </c>
      <c r="F4942" s="12" t="inlineStr">
        <is>
          <t>RICE engine-generator 2</t>
        </is>
      </c>
      <c r="G4942" s="12" t="inlineStr">
        <is>
          <t>JB-RICE-2-AI03</t>
        </is>
      </c>
      <c r="H4942" s="12" t="inlineStr">
        <is>
          <t>RICE engine-generator 2</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7" t="n">
        <v>72</v>
      </c>
      <c r="U4942" s="17" t="n">
        <v>10</v>
      </c>
      <c r="V4942" s="17">
        <f>ROUNDUP((T4942+U4942+2*'Read Me'!$B$13)*(1+'Read Me'!$B$12),-1)</f>
        <v/>
      </c>
      <c r="W4942" s="17">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I-I-0333</t>
        </is>
      </c>
      <c r="B4943" s="12" t="inlineStr">
        <is>
          <t>I</t>
        </is>
      </c>
      <c r="C4943" s="12" t="inlineStr">
        <is>
          <t>Modular / portable power</t>
        </is>
      </c>
      <c r="D4943" s="12" t="inlineStr">
        <is>
          <t>Home run JB-RICE-2-AI03 to the control / marshalling room</t>
        </is>
      </c>
      <c r="E4943" s="12" t="inlineStr"/>
      <c r="F4943" s="12" t="inlineStr">
        <is>
          <t>PCM: power control module</t>
        </is>
      </c>
      <c r="G4943" s="12" t="inlineStr">
        <is>
          <t>JB-RICE-2-AI03</t>
        </is>
      </c>
      <c r="H4943" s="12" t="inlineStr">
        <is>
          <t>RICE engine-generator 2</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7" t="n">
        <v>550</v>
      </c>
      <c r="U4943" s="17" t="n">
        <v>109</v>
      </c>
      <c r="V4943" s="17">
        <f>ROUNDUP((T4943+U4943+2*'Read Me'!$B$13)*(1+'Read Me'!$B$12),-1)</f>
        <v/>
      </c>
      <c r="W4943" s="17">
        <f>V4943*N4943*O4943</f>
        <v/>
      </c>
      <c r="X4943" s="12">
        <f>IF(LEFT(I4943,2)="MV",2*N4943*IF(L4943="1/C",O4943,1),0)</f>
        <v/>
      </c>
      <c r="Y4943" s="12">
        <f>IF(OR(LEFT(K4943,4)="LVAX",LEFT(K4943,6)="MV15AX",LEFT(K4943,4)="CTAX",LEFT(K4943,2)="W|"),2*N4943*O4943,0)</f>
        <v/>
      </c>
      <c r="Z4943" s="12" t="inlineStr"/>
      <c r="AA4943" s="12">
        <f>N4943*O4943</f>
        <v/>
      </c>
    </row>
    <row r="4944">
      <c r="A4944" s="12" t="inlineStr">
        <is>
          <t>I-I-0334</t>
        </is>
      </c>
      <c r="B4944" s="12" t="inlineStr">
        <is>
          <t>I</t>
        </is>
      </c>
      <c r="C4944" s="12" t="inlineStr">
        <is>
          <t>Modular / portable power</t>
        </is>
      </c>
      <c r="D4944" s="12" t="inlineStr">
        <is>
          <t>Analog instrument to JB JB-RICE-2-AI04: 20 x 1 pr (field cables)</t>
        </is>
      </c>
      <c r="E4944" s="12" t="inlineStr">
        <is>
          <t>RICE-2</t>
        </is>
      </c>
      <c r="F4944" s="12" t="inlineStr">
        <is>
          <t>RICE engine-generator 2</t>
        </is>
      </c>
      <c r="G4944" s="12" t="inlineStr">
        <is>
          <t>JB-RICE-2-AI04</t>
        </is>
      </c>
      <c r="H4944" s="12" t="inlineStr">
        <is>
          <t>RICE engine-generator 2</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7" t="n">
        <v>72</v>
      </c>
      <c r="U4944" s="17" t="n">
        <v>10</v>
      </c>
      <c r="V4944" s="17">
        <f>ROUNDUP((T4944+U4944+2*'Read Me'!$B$13)*(1+'Read Me'!$B$12),-1)</f>
        <v/>
      </c>
      <c r="W4944" s="17">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I-I-0335</t>
        </is>
      </c>
      <c r="B4945" s="12" t="inlineStr">
        <is>
          <t>I</t>
        </is>
      </c>
      <c r="C4945" s="12" t="inlineStr">
        <is>
          <t>Modular / portable power</t>
        </is>
      </c>
      <c r="D4945" s="12" t="inlineStr">
        <is>
          <t>Home run JB-RICE-2-AI04 to the control / marshalling room</t>
        </is>
      </c>
      <c r="E4945" s="12" t="inlineStr"/>
      <c r="F4945" s="12" t="inlineStr">
        <is>
          <t>PCM: power control module</t>
        </is>
      </c>
      <c r="G4945" s="12" t="inlineStr">
        <is>
          <t>JB-RICE-2-AI04</t>
        </is>
      </c>
      <c r="H4945" s="12" t="inlineStr">
        <is>
          <t>RICE engine-generator 2</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7" t="n">
        <v>550</v>
      </c>
      <c r="U4945" s="17" t="n">
        <v>109</v>
      </c>
      <c r="V4945" s="17">
        <f>ROUNDUP((T4945+U4945+2*'Read Me'!$B$13)*(1+'Read Me'!$B$12),-1)</f>
        <v/>
      </c>
      <c r="W4945" s="17">
        <f>V4945*N4945*O4945</f>
        <v/>
      </c>
      <c r="X4945" s="12">
        <f>IF(LEFT(I4945,2)="MV",2*N4945*IF(L4945="1/C",O4945,1),0)</f>
        <v/>
      </c>
      <c r="Y4945" s="12">
        <f>IF(OR(LEFT(K4945,4)="LVAX",LEFT(K4945,6)="MV15AX",LEFT(K4945,4)="CTAX",LEFT(K4945,2)="W|"),2*N4945*O4945,0)</f>
        <v/>
      </c>
      <c r="Z4945" s="12" t="inlineStr"/>
      <c r="AA4945" s="12">
        <f>N4945*O4945</f>
        <v/>
      </c>
    </row>
    <row r="4946">
      <c r="A4946" s="12" t="inlineStr">
        <is>
          <t>I-I-0336</t>
        </is>
      </c>
      <c r="B4946" s="12" t="inlineStr">
        <is>
          <t>I</t>
        </is>
      </c>
      <c r="C4946" s="12" t="inlineStr">
        <is>
          <t>Modular / portable power</t>
        </is>
      </c>
      <c r="D4946" s="12" t="inlineStr">
        <is>
          <t>Discrete device to JB JB-RICE-2-DI01: 20 x 1 pr (field cables)</t>
        </is>
      </c>
      <c r="E4946" s="12" t="inlineStr">
        <is>
          <t>RICE-2</t>
        </is>
      </c>
      <c r="F4946" s="12" t="inlineStr">
        <is>
          <t>RICE engine-generator 2</t>
        </is>
      </c>
      <c r="G4946" s="12" t="inlineStr">
        <is>
          <t>JB-RICE-2-DI01</t>
        </is>
      </c>
      <c r="H4946" s="12" t="inlineStr">
        <is>
          <t>RICE engine-generator 2</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7" t="n">
        <v>72</v>
      </c>
      <c r="U4946" s="17" t="n">
        <v>10</v>
      </c>
      <c r="V4946" s="17">
        <f>ROUNDUP((T4946+U4946+2*'Read Me'!$B$13)*(1+'Read Me'!$B$12),-1)</f>
        <v/>
      </c>
      <c r="W4946" s="17">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I-I-0337</t>
        </is>
      </c>
      <c r="B4947" s="12" t="inlineStr">
        <is>
          <t>I</t>
        </is>
      </c>
      <c r="C4947" s="12" t="inlineStr">
        <is>
          <t>Modular / portable power</t>
        </is>
      </c>
      <c r="D4947" s="12" t="inlineStr">
        <is>
          <t>Home run JB-RICE-2-DI01 to the control / marshalling room</t>
        </is>
      </c>
      <c r="E4947" s="12" t="inlineStr"/>
      <c r="F4947" s="12" t="inlineStr">
        <is>
          <t>PCM: power control module</t>
        </is>
      </c>
      <c r="G4947" s="12" t="inlineStr">
        <is>
          <t>JB-RICE-2-DI01</t>
        </is>
      </c>
      <c r="H4947" s="12" t="inlineStr">
        <is>
          <t>RICE engine-generator 2</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Duct bank</t>
        </is>
      </c>
      <c r="T4947" s="17" t="n">
        <v>550</v>
      </c>
      <c r="U4947" s="17" t="n">
        <v>109</v>
      </c>
      <c r="V4947" s="17">
        <f>ROUNDUP((T4947+U4947+2*'Read Me'!$B$13)*(1+'Read Me'!$B$12),-1)</f>
        <v/>
      </c>
      <c r="W4947" s="17">
        <f>V4947*N4947*O4947</f>
        <v/>
      </c>
      <c r="X4947" s="12">
        <f>IF(LEFT(I4947,2)="MV",2*N4947*IF(L4947="1/C",O4947,1),0)</f>
        <v/>
      </c>
      <c r="Y4947" s="12">
        <f>IF(OR(LEFT(K4947,4)="LVAX",LEFT(K4947,6)="MV15AX",LEFT(K4947,4)="CTAX",LEFT(K4947,2)="W|"),2*N4947*O4947,0)</f>
        <v/>
      </c>
      <c r="Z4947" s="12" t="inlineStr"/>
      <c r="AA4947" s="12">
        <f>N4947*O4947</f>
        <v/>
      </c>
    </row>
    <row r="4948">
      <c r="A4948" s="12" t="inlineStr">
        <is>
          <t>I-I-0338</t>
        </is>
      </c>
      <c r="B4948" s="12" t="inlineStr">
        <is>
          <t>I</t>
        </is>
      </c>
      <c r="C4948" s="12" t="inlineStr">
        <is>
          <t>Modular / portable power</t>
        </is>
      </c>
      <c r="D4948" s="12" t="inlineStr">
        <is>
          <t>Discrete device to JB JB-RICE-2-DI02: 20 x 1 pr (field cables)</t>
        </is>
      </c>
      <c r="E4948" s="12" t="inlineStr">
        <is>
          <t>RICE-2</t>
        </is>
      </c>
      <c r="F4948" s="12" t="inlineStr">
        <is>
          <t>RICE engine-generator 2</t>
        </is>
      </c>
      <c r="G4948" s="12" t="inlineStr">
        <is>
          <t>JB-RICE-2-DI02</t>
        </is>
      </c>
      <c r="H4948" s="12" t="inlineStr">
        <is>
          <t>RICE engine-generator 2</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7" t="n">
        <v>72</v>
      </c>
      <c r="U4948" s="17" t="n">
        <v>10</v>
      </c>
      <c r="V4948" s="17">
        <f>ROUNDUP((T4948+U4948+2*'Read Me'!$B$13)*(1+'Read Me'!$B$12),-1)</f>
        <v/>
      </c>
      <c r="W4948" s="17">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I-I-0339</t>
        </is>
      </c>
      <c r="B4949" s="12" t="inlineStr">
        <is>
          <t>I</t>
        </is>
      </c>
      <c r="C4949" s="12" t="inlineStr">
        <is>
          <t>Modular / portable power</t>
        </is>
      </c>
      <c r="D4949" s="12" t="inlineStr">
        <is>
          <t>Home run JB-RICE-2-DI02 to the control / marshalling room</t>
        </is>
      </c>
      <c r="E4949" s="12" t="inlineStr"/>
      <c r="F4949" s="12" t="inlineStr">
        <is>
          <t>PCM: power control module</t>
        </is>
      </c>
      <c r="G4949" s="12" t="inlineStr">
        <is>
          <t>JB-RICE-2-DI02</t>
        </is>
      </c>
      <c r="H4949" s="12" t="inlineStr">
        <is>
          <t>RICE engine-generator 2</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Duct bank</t>
        </is>
      </c>
      <c r="T4949" s="17" t="n">
        <v>550</v>
      </c>
      <c r="U4949" s="17" t="n">
        <v>109</v>
      </c>
      <c r="V4949" s="17">
        <f>ROUNDUP((T4949+U4949+2*'Read Me'!$B$13)*(1+'Read Me'!$B$12),-1)</f>
        <v/>
      </c>
      <c r="W4949" s="17">
        <f>V4949*N4949*O4949</f>
        <v/>
      </c>
      <c r="X4949" s="12">
        <f>IF(LEFT(I4949,2)="MV",2*N4949*IF(L4949="1/C",O4949,1),0)</f>
        <v/>
      </c>
      <c r="Y4949" s="12">
        <f>IF(OR(LEFT(K4949,4)="LVAX",LEFT(K4949,6)="MV15AX",LEFT(K4949,4)="CTAX",LEFT(K4949,2)="W|"),2*N4949*O4949,0)</f>
        <v/>
      </c>
      <c r="Z4949" s="12" t="inlineStr"/>
      <c r="AA4949" s="12">
        <f>N4949*O4949</f>
        <v/>
      </c>
    </row>
    <row r="4950">
      <c r="A4950" s="12" t="inlineStr">
        <is>
          <t>I-I-0340</t>
        </is>
      </c>
      <c r="B4950" s="12" t="inlineStr">
        <is>
          <t>I</t>
        </is>
      </c>
      <c r="C4950" s="12" t="inlineStr">
        <is>
          <t>Modular / portable power</t>
        </is>
      </c>
      <c r="D4950" s="12" t="inlineStr">
        <is>
          <t>Discrete device to JB JB-RICE-2-DI03: 20 x 1 pr (field cables)</t>
        </is>
      </c>
      <c r="E4950" s="12" t="inlineStr">
        <is>
          <t>RICE-2</t>
        </is>
      </c>
      <c r="F4950" s="12" t="inlineStr">
        <is>
          <t>RICE engine-generator 2</t>
        </is>
      </c>
      <c r="G4950" s="12" t="inlineStr">
        <is>
          <t>JB-RICE-2-DI03</t>
        </is>
      </c>
      <c r="H4950" s="12" t="inlineStr">
        <is>
          <t>RICE engine-generator 2</t>
        </is>
      </c>
      <c r="I4950" s="12" t="inlineStr">
        <is>
          <t>Instrumentation</t>
        </is>
      </c>
      <c r="J4950" s="12" t="inlineStr">
        <is>
          <t>Instrumentation PLTC / TC-ER 300 V, #18 twisted shielded pairs, overall shield</t>
        </is>
      </c>
      <c r="K4950" s="12" t="inlineStr">
        <is>
          <t>PLTC|1 pr|16</t>
        </is>
      </c>
      <c r="L4950" s="12" t="inlineStr">
        <is>
          <t>1 pr</t>
        </is>
      </c>
      <c r="M4950" s="12" t="inlineStr">
        <is>
          <t>16</t>
        </is>
      </c>
      <c r="N4950" s="12" t="n">
        <v>20</v>
      </c>
      <c r="O4950" s="12" t="n">
        <v>1</v>
      </c>
      <c r="P4950" s="12" t="n"/>
      <c r="Q4950" s="12" t="n"/>
      <c r="R4950" s="12" t="n"/>
      <c r="S4950" s="12" t="inlineStr">
        <is>
          <t>Tray / conduit</t>
        </is>
      </c>
      <c r="T4950" s="17" t="n">
        <v>72</v>
      </c>
      <c r="U4950" s="17" t="n">
        <v>10</v>
      </c>
      <c r="V4950" s="17">
        <f>ROUNDUP((T4950+U4950+2*'Read Me'!$B$13)*(1+'Read Me'!$B$12),-1)</f>
        <v/>
      </c>
      <c r="W4950" s="17">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I-I-0341</t>
        </is>
      </c>
      <c r="B4951" s="12" t="inlineStr">
        <is>
          <t>I</t>
        </is>
      </c>
      <c r="C4951" s="12" t="inlineStr">
        <is>
          <t>Modular / portable power</t>
        </is>
      </c>
      <c r="D4951" s="12" t="inlineStr">
        <is>
          <t>Home run JB-RICE-2-DI03 to the control / marshalling room</t>
        </is>
      </c>
      <c r="E4951" s="12" t="inlineStr"/>
      <c r="F4951" s="12" t="inlineStr">
        <is>
          <t>PCM: power control module</t>
        </is>
      </c>
      <c r="G4951" s="12" t="inlineStr">
        <is>
          <t>JB-RICE-2-DI03</t>
        </is>
      </c>
      <c r="H4951" s="12" t="inlineStr">
        <is>
          <t>RICE engine-generator 2</t>
        </is>
      </c>
      <c r="I4951" s="12" t="inlineStr">
        <is>
          <t>Instrumentation</t>
        </is>
      </c>
      <c r="J4951" s="12" t="inlineStr">
        <is>
          <t>Instrumentation PLTC / TC-ER 300 V, #18 twisted shielded pairs, overall shield</t>
        </is>
      </c>
      <c r="K4951" s="12" t="inlineStr">
        <is>
          <t>PLTC|24 pr|18</t>
        </is>
      </c>
      <c r="L4951" s="12" t="inlineStr">
        <is>
          <t>24 pr</t>
        </is>
      </c>
      <c r="M4951" s="12" t="inlineStr">
        <is>
          <t>18</t>
        </is>
      </c>
      <c r="N4951" s="12" t="n">
        <v>1</v>
      </c>
      <c r="O4951" s="12" t="n">
        <v>1</v>
      </c>
      <c r="P4951" s="12" t="n"/>
      <c r="Q4951" s="12" t="n"/>
      <c r="R4951" s="12" t="n"/>
      <c r="S4951" s="12" t="inlineStr">
        <is>
          <t>Duct bank</t>
        </is>
      </c>
      <c r="T4951" s="17" t="n">
        <v>550</v>
      </c>
      <c r="U4951" s="17" t="n">
        <v>109</v>
      </c>
      <c r="V4951" s="17">
        <f>ROUNDUP((T4951+U4951+2*'Read Me'!$B$13)*(1+'Read Me'!$B$12),-1)</f>
        <v/>
      </c>
      <c r="W4951" s="17">
        <f>V4951*N4951*O4951</f>
        <v/>
      </c>
      <c r="X4951" s="12">
        <f>IF(LEFT(I4951,2)="MV",2*N4951*IF(L4951="1/C",O4951,1),0)</f>
        <v/>
      </c>
      <c r="Y4951" s="12">
        <f>IF(OR(LEFT(K4951,4)="LVAX",LEFT(K4951,6)="MV15AX",LEFT(K4951,4)="CTAX",LEFT(K4951,2)="W|"),2*N4951*O4951,0)</f>
        <v/>
      </c>
      <c r="Z4951" s="12" t="inlineStr"/>
      <c r="AA4951" s="12">
        <f>N4951*O4951</f>
        <v/>
      </c>
    </row>
    <row r="4952">
      <c r="A4952" s="12" t="inlineStr">
        <is>
          <t>I-I-0342</t>
        </is>
      </c>
      <c r="B4952" s="12" t="inlineStr">
        <is>
          <t>I</t>
        </is>
      </c>
      <c r="C4952" s="12" t="inlineStr">
        <is>
          <t>Modular / portable power</t>
        </is>
      </c>
      <c r="D4952" s="12" t="inlineStr">
        <is>
          <t>Thermocouple to TC JB JB-RICE-2-TC01: 20 x 1 pr (field cables)</t>
        </is>
      </c>
      <c r="E4952" s="12" t="inlineStr">
        <is>
          <t>RICE-2</t>
        </is>
      </c>
      <c r="F4952" s="12" t="inlineStr">
        <is>
          <t>RICE engine-generator 2</t>
        </is>
      </c>
      <c r="G4952" s="12" t="inlineStr">
        <is>
          <t>JB-RICE-2-TC01</t>
        </is>
      </c>
      <c r="H4952" s="12" t="inlineStr">
        <is>
          <t>RICE engine-generator 2</t>
        </is>
      </c>
      <c r="I4952" s="12" t="inlineStr">
        <is>
          <t>Instrumentation</t>
        </is>
      </c>
      <c r="J4952" s="12" t="inlineStr">
        <is>
          <t>Thermocouple extension KX, #16 shielded pairs, PLTC</t>
        </is>
      </c>
      <c r="K4952" s="12" t="inlineStr">
        <is>
          <t>TCX|1 pr|16</t>
        </is>
      </c>
      <c r="L4952" s="12" t="inlineStr">
        <is>
          <t>1 pr</t>
        </is>
      </c>
      <c r="M4952" s="12" t="inlineStr">
        <is>
          <t>16</t>
        </is>
      </c>
      <c r="N4952" s="12" t="n">
        <v>20</v>
      </c>
      <c r="O4952" s="12" t="n">
        <v>1</v>
      </c>
      <c r="P4952" s="12" t="n"/>
      <c r="Q4952" s="12" t="n"/>
      <c r="R4952" s="12" t="n"/>
      <c r="S4952" s="12" t="inlineStr">
        <is>
          <t>Tray / conduit</t>
        </is>
      </c>
      <c r="T4952" s="17" t="n">
        <v>72</v>
      </c>
      <c r="U4952" s="17" t="n">
        <v>10</v>
      </c>
      <c r="V4952" s="17">
        <f>ROUNDUP((T4952+U4952+2*'Read Me'!$B$13)*(1+'Read Me'!$B$12),-1)</f>
        <v/>
      </c>
      <c r="W4952" s="17">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I-I-0343</t>
        </is>
      </c>
      <c r="B4953" s="12" t="inlineStr">
        <is>
          <t>I</t>
        </is>
      </c>
      <c r="C4953" s="12" t="inlineStr">
        <is>
          <t>Modular / portable power</t>
        </is>
      </c>
      <c r="D4953" s="12" t="inlineStr">
        <is>
          <t>Home run JB-RICE-2-TC01 to the control / marshalling room</t>
        </is>
      </c>
      <c r="E4953" s="12" t="inlineStr"/>
      <c r="F4953" s="12" t="inlineStr">
        <is>
          <t>PCM: power control module</t>
        </is>
      </c>
      <c r="G4953" s="12" t="inlineStr">
        <is>
          <t>JB-RICE-2-TC01</t>
        </is>
      </c>
      <c r="H4953" s="12" t="inlineStr">
        <is>
          <t>RICE engine-generator 2</t>
        </is>
      </c>
      <c r="I4953" s="12" t="inlineStr">
        <is>
          <t>Instrumentation</t>
        </is>
      </c>
      <c r="J4953" s="12" t="inlineStr">
        <is>
          <t>Thermocouple extension KX, #16 shielded pairs, PLTC</t>
        </is>
      </c>
      <c r="K4953" s="12" t="inlineStr">
        <is>
          <t>TCX|24 pr|16</t>
        </is>
      </c>
      <c r="L4953" s="12" t="inlineStr">
        <is>
          <t>24 pr</t>
        </is>
      </c>
      <c r="M4953" s="12" t="inlineStr">
        <is>
          <t>16</t>
        </is>
      </c>
      <c r="N4953" s="12" t="n">
        <v>1</v>
      </c>
      <c r="O4953" s="12" t="n">
        <v>1</v>
      </c>
      <c r="P4953" s="12" t="n"/>
      <c r="Q4953" s="12" t="n"/>
      <c r="R4953" s="12" t="n"/>
      <c r="S4953" s="12" t="inlineStr">
        <is>
          <t>Duct bank</t>
        </is>
      </c>
      <c r="T4953" s="17" t="n">
        <v>550</v>
      </c>
      <c r="U4953" s="17" t="n">
        <v>109</v>
      </c>
      <c r="V4953" s="17">
        <f>ROUNDUP((T4953+U4953+2*'Read Me'!$B$13)*(1+'Read Me'!$B$12),-1)</f>
        <v/>
      </c>
      <c r="W4953" s="17">
        <f>V4953*N4953*O4953</f>
        <v/>
      </c>
      <c r="X4953" s="12">
        <f>IF(LEFT(I4953,2)="MV",2*N4953*IF(L4953="1/C",O4953,1),0)</f>
        <v/>
      </c>
      <c r="Y4953" s="12">
        <f>IF(OR(LEFT(K4953,4)="LVAX",LEFT(K4953,6)="MV15AX",LEFT(K4953,4)="CTAX",LEFT(K4953,2)="W|"),2*N4953*O4953,0)</f>
        <v/>
      </c>
      <c r="Z4953" s="12" t="inlineStr"/>
      <c r="AA4953" s="12">
        <f>N4953*O4953</f>
        <v/>
      </c>
    </row>
    <row r="4954">
      <c r="A4954" s="12" t="inlineStr">
        <is>
          <t>I-I-0344</t>
        </is>
      </c>
      <c r="B4954" s="12" t="inlineStr">
        <is>
          <t>I</t>
        </is>
      </c>
      <c r="C4954" s="12" t="inlineStr">
        <is>
          <t>Modular / portable power</t>
        </is>
      </c>
      <c r="D4954" s="12" t="inlineStr">
        <is>
          <t>Thermocouple to TC JB JB-RICE-2-TC02: 10 x 1 pr (field cables)</t>
        </is>
      </c>
      <c r="E4954" s="12" t="inlineStr">
        <is>
          <t>RICE-2</t>
        </is>
      </c>
      <c r="F4954" s="12" t="inlineStr">
        <is>
          <t>RICE engine-generator 2</t>
        </is>
      </c>
      <c r="G4954" s="12" t="inlineStr">
        <is>
          <t>JB-RICE-2-TC02</t>
        </is>
      </c>
      <c r="H4954" s="12" t="inlineStr">
        <is>
          <t>RICE engine-generator 2</t>
        </is>
      </c>
      <c r="I4954" s="12" t="inlineStr">
        <is>
          <t>Instrumentation</t>
        </is>
      </c>
      <c r="J4954" s="12" t="inlineStr">
        <is>
          <t>Thermocouple extension KX, #16 shielded pairs, PLTC</t>
        </is>
      </c>
      <c r="K4954" s="12" t="inlineStr">
        <is>
          <t>TCX|1 pr|16</t>
        </is>
      </c>
      <c r="L4954" s="12" t="inlineStr">
        <is>
          <t>1 pr</t>
        </is>
      </c>
      <c r="M4954" s="12" t="inlineStr">
        <is>
          <t>16</t>
        </is>
      </c>
      <c r="N4954" s="12" t="n">
        <v>10</v>
      </c>
      <c r="O4954" s="12" t="n">
        <v>1</v>
      </c>
      <c r="P4954" s="12" t="n"/>
      <c r="Q4954" s="12" t="n"/>
      <c r="R4954" s="12" t="n"/>
      <c r="S4954" s="12" t="inlineStr">
        <is>
          <t>Tray / conduit</t>
        </is>
      </c>
      <c r="T4954" s="17" t="n">
        <v>72</v>
      </c>
      <c r="U4954" s="17" t="n">
        <v>10</v>
      </c>
      <c r="V4954" s="17">
        <f>ROUNDUP((T4954+U4954+2*'Read Me'!$B$13)*(1+'Read Me'!$B$12),-1)</f>
        <v/>
      </c>
      <c r="W4954" s="17">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I-I-0345</t>
        </is>
      </c>
      <c r="B4955" s="12" t="inlineStr">
        <is>
          <t>I</t>
        </is>
      </c>
      <c r="C4955" s="12" t="inlineStr">
        <is>
          <t>Modular / portable power</t>
        </is>
      </c>
      <c r="D4955" s="12" t="inlineStr">
        <is>
          <t>Home run JB-RICE-2-TC02 to the control / marshalling room</t>
        </is>
      </c>
      <c r="E4955" s="12" t="inlineStr"/>
      <c r="F4955" s="12" t="inlineStr">
        <is>
          <t>PCM: power control module</t>
        </is>
      </c>
      <c r="G4955" s="12" t="inlineStr">
        <is>
          <t>JB-RICE-2-TC02</t>
        </is>
      </c>
      <c r="H4955" s="12" t="inlineStr">
        <is>
          <t>RICE engine-generator 2</t>
        </is>
      </c>
      <c r="I4955" s="12" t="inlineStr">
        <is>
          <t>Instrumentation</t>
        </is>
      </c>
      <c r="J4955" s="12" t="inlineStr">
        <is>
          <t>Thermocouple extension KX, #16 shielded pairs, PLTC</t>
        </is>
      </c>
      <c r="K4955" s="12" t="inlineStr">
        <is>
          <t>TCX|24 pr|16</t>
        </is>
      </c>
      <c r="L4955" s="12" t="inlineStr">
        <is>
          <t>24 pr</t>
        </is>
      </c>
      <c r="M4955" s="12" t="inlineStr">
        <is>
          <t>16</t>
        </is>
      </c>
      <c r="N4955" s="12" t="n">
        <v>1</v>
      </c>
      <c r="O4955" s="12" t="n">
        <v>1</v>
      </c>
      <c r="P4955" s="12" t="n"/>
      <c r="Q4955" s="12" t="n"/>
      <c r="R4955" s="12" t="n"/>
      <c r="S4955" s="12" t="inlineStr">
        <is>
          <t>Duct bank</t>
        </is>
      </c>
      <c r="T4955" s="17" t="n">
        <v>550</v>
      </c>
      <c r="U4955" s="17" t="n">
        <v>109</v>
      </c>
      <c r="V4955" s="17">
        <f>ROUNDUP((T4955+U4955+2*'Read Me'!$B$13)*(1+'Read Me'!$B$12),-1)</f>
        <v/>
      </c>
      <c r="W4955" s="17">
        <f>V4955*N4955*O4955</f>
        <v/>
      </c>
      <c r="X4955" s="12">
        <f>IF(LEFT(I4955,2)="MV",2*N4955*IF(L4955="1/C",O4955,1),0)</f>
        <v/>
      </c>
      <c r="Y4955" s="12">
        <f>IF(OR(LEFT(K4955,4)="LVAX",LEFT(K4955,6)="MV15AX",LEFT(K4955,4)="CTAX",LEFT(K4955,2)="W|"),2*N4955*O4955,0)</f>
        <v/>
      </c>
      <c r="Z4955" s="12" t="inlineStr"/>
      <c r="AA4955" s="12">
        <f>N4955*O4955</f>
        <v/>
      </c>
    </row>
    <row r="4956">
      <c r="A4956" s="12" t="inlineStr">
        <is>
          <t>I-I-0346</t>
        </is>
      </c>
      <c r="B4956" s="12" t="inlineStr">
        <is>
          <t>I</t>
        </is>
      </c>
      <c r="C4956" s="12" t="inlineStr">
        <is>
          <t>Modular / portable power</t>
        </is>
      </c>
      <c r="D4956" s="12" t="inlineStr">
        <is>
          <t>RTD to JB JB-RICE-2-RTD01: 10 x 1 tri (field cables)</t>
        </is>
      </c>
      <c r="E4956" s="12" t="inlineStr">
        <is>
          <t>RICE-2</t>
        </is>
      </c>
      <c r="F4956" s="12" t="inlineStr">
        <is>
          <t>RICE engine-generator 2</t>
        </is>
      </c>
      <c r="G4956" s="12" t="inlineStr">
        <is>
          <t>JB-RICE-2-RTD01</t>
        </is>
      </c>
      <c r="H4956" s="12" t="inlineStr">
        <is>
          <t>RICE engine-generator 2</t>
        </is>
      </c>
      <c r="I4956" s="12" t="inlineStr">
        <is>
          <t>Instrumentation</t>
        </is>
      </c>
      <c r="J4956" s="12" t="inlineStr">
        <is>
          <t>RTD cable, #18 shielded triads, PLTC</t>
        </is>
      </c>
      <c r="K4956" s="12" t="inlineStr">
        <is>
          <t>RTD|1 tri|18</t>
        </is>
      </c>
      <c r="L4956" s="12" t="inlineStr">
        <is>
          <t>1 tri</t>
        </is>
      </c>
      <c r="M4956" s="12" t="inlineStr">
        <is>
          <t>18</t>
        </is>
      </c>
      <c r="N4956" s="12" t="n">
        <v>10</v>
      </c>
      <c r="O4956" s="12" t="n">
        <v>1</v>
      </c>
      <c r="P4956" s="12" t="n"/>
      <c r="Q4956" s="12" t="n"/>
      <c r="R4956" s="12" t="n"/>
      <c r="S4956" s="12" t="inlineStr">
        <is>
          <t>Tray / conduit</t>
        </is>
      </c>
      <c r="T4956" s="17" t="n">
        <v>72</v>
      </c>
      <c r="U4956" s="17" t="n">
        <v>10</v>
      </c>
      <c r="V4956" s="17">
        <f>ROUNDUP((T4956+U4956+2*'Read Me'!$B$13)*(1+'Read Me'!$B$12),-1)</f>
        <v/>
      </c>
      <c r="W4956" s="17">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I-I-0347</t>
        </is>
      </c>
      <c r="B4957" s="12" t="inlineStr">
        <is>
          <t>I</t>
        </is>
      </c>
      <c r="C4957" s="12" t="inlineStr">
        <is>
          <t>Modular / portable power</t>
        </is>
      </c>
      <c r="D4957" s="12" t="inlineStr">
        <is>
          <t>Home run JB-RICE-2-RTD01 to the control / marshalling room</t>
        </is>
      </c>
      <c r="E4957" s="12" t="inlineStr"/>
      <c r="F4957" s="12" t="inlineStr">
        <is>
          <t>PCM: power control module</t>
        </is>
      </c>
      <c r="G4957" s="12" t="inlineStr">
        <is>
          <t>JB-RICE-2-RTD01</t>
        </is>
      </c>
      <c r="H4957" s="12" t="inlineStr">
        <is>
          <t>RICE engine-generator 2</t>
        </is>
      </c>
      <c r="I4957" s="12" t="inlineStr">
        <is>
          <t>Instrumentation</t>
        </is>
      </c>
      <c r="J4957" s="12" t="inlineStr">
        <is>
          <t>RTD cable, #18 shielded triads, PLTC</t>
        </is>
      </c>
      <c r="K4957" s="12" t="inlineStr">
        <is>
          <t>RTD|12 tri|18</t>
        </is>
      </c>
      <c r="L4957" s="12" t="inlineStr">
        <is>
          <t>12 tri</t>
        </is>
      </c>
      <c r="M4957" s="12" t="inlineStr">
        <is>
          <t>18</t>
        </is>
      </c>
      <c r="N4957" s="12" t="n">
        <v>1</v>
      </c>
      <c r="O4957" s="12" t="n">
        <v>1</v>
      </c>
      <c r="P4957" s="12" t="n"/>
      <c r="Q4957" s="12" t="n"/>
      <c r="R4957" s="12" t="n"/>
      <c r="S4957" s="12" t="inlineStr">
        <is>
          <t>Duct bank</t>
        </is>
      </c>
      <c r="T4957" s="17" t="n">
        <v>550</v>
      </c>
      <c r="U4957" s="17" t="n">
        <v>109</v>
      </c>
      <c r="V4957" s="17">
        <f>ROUNDUP((T4957+U4957+2*'Read Me'!$B$13)*(1+'Read Me'!$B$12),-1)</f>
        <v/>
      </c>
      <c r="W4957" s="17">
        <f>V4957*N4957*O4957</f>
        <v/>
      </c>
      <c r="X4957" s="12">
        <f>IF(LEFT(I4957,2)="MV",2*N4957*IF(L4957="1/C",O4957,1),0)</f>
        <v/>
      </c>
      <c r="Y4957" s="12">
        <f>IF(OR(LEFT(K4957,4)="LVAX",LEFT(K4957,6)="MV15AX",LEFT(K4957,4)="CTAX",LEFT(K4957,2)="W|"),2*N4957*O4957,0)</f>
        <v/>
      </c>
      <c r="Z4957" s="12" t="inlineStr"/>
      <c r="AA4957" s="12">
        <f>N4957*O4957</f>
        <v/>
      </c>
    </row>
    <row r="4958">
      <c r="A4958" s="12" t="inlineStr">
        <is>
          <t>I-I-0348</t>
        </is>
      </c>
      <c r="B4958" s="12" t="inlineStr">
        <is>
          <t>I</t>
        </is>
      </c>
      <c r="C4958" s="12" t="inlineStr">
        <is>
          <t>Modular / portable power</t>
        </is>
      </c>
      <c r="D4958" s="12" t="inlineStr">
        <is>
          <t>RTD to JB JB-RICE-2-RTD02: 2 x 1 tri (field cables)</t>
        </is>
      </c>
      <c r="E4958" s="12" t="inlineStr">
        <is>
          <t>RICE-2</t>
        </is>
      </c>
      <c r="F4958" s="12" t="inlineStr">
        <is>
          <t>RICE engine-generator 2</t>
        </is>
      </c>
      <c r="G4958" s="12" t="inlineStr">
        <is>
          <t>JB-RICE-2-RTD02</t>
        </is>
      </c>
      <c r="H4958" s="12" t="inlineStr">
        <is>
          <t>RICE engine-generator 2</t>
        </is>
      </c>
      <c r="I4958" s="12" t="inlineStr">
        <is>
          <t>Instrumentation</t>
        </is>
      </c>
      <c r="J4958" s="12" t="inlineStr">
        <is>
          <t>RTD cable, #18 shielded triads, PLTC</t>
        </is>
      </c>
      <c r="K4958" s="12" t="inlineStr">
        <is>
          <t>RTD|1 tri|18</t>
        </is>
      </c>
      <c r="L4958" s="12" t="inlineStr">
        <is>
          <t>1 tri</t>
        </is>
      </c>
      <c r="M4958" s="12" t="inlineStr">
        <is>
          <t>18</t>
        </is>
      </c>
      <c r="N4958" s="12" t="n">
        <v>2</v>
      </c>
      <c r="O4958" s="12" t="n">
        <v>1</v>
      </c>
      <c r="P4958" s="12" t="n"/>
      <c r="Q4958" s="12" t="n"/>
      <c r="R4958" s="12" t="n"/>
      <c r="S4958" s="12" t="inlineStr">
        <is>
          <t>Tray / conduit</t>
        </is>
      </c>
      <c r="T4958" s="17" t="n">
        <v>72</v>
      </c>
      <c r="U4958" s="17" t="n">
        <v>10</v>
      </c>
      <c r="V4958" s="17">
        <f>ROUNDUP((T4958+U4958+2*'Read Me'!$B$13)*(1+'Read Me'!$B$12),-1)</f>
        <v/>
      </c>
      <c r="W4958" s="17">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I-I-0349</t>
        </is>
      </c>
      <c r="B4959" s="12" t="inlineStr">
        <is>
          <t>I</t>
        </is>
      </c>
      <c r="C4959" s="12" t="inlineStr">
        <is>
          <t>Modular / portable power</t>
        </is>
      </c>
      <c r="D4959" s="12" t="inlineStr">
        <is>
          <t>Home run JB-RICE-2-RTD02 to the control / marshalling room</t>
        </is>
      </c>
      <c r="E4959" s="12" t="inlineStr"/>
      <c r="F4959" s="12" t="inlineStr">
        <is>
          <t>PCM: power control module</t>
        </is>
      </c>
      <c r="G4959" s="12" t="inlineStr">
        <is>
          <t>JB-RICE-2-RTD02</t>
        </is>
      </c>
      <c r="H4959" s="12" t="inlineStr">
        <is>
          <t>RICE engine-generator 2</t>
        </is>
      </c>
      <c r="I4959" s="12" t="inlineStr">
        <is>
          <t>Instrumentation</t>
        </is>
      </c>
      <c r="J4959" s="12" t="inlineStr">
        <is>
          <t>RTD cable, #18 shielded triads, PLTC</t>
        </is>
      </c>
      <c r="K4959" s="12" t="inlineStr">
        <is>
          <t>RTD|12 tri|18</t>
        </is>
      </c>
      <c r="L4959" s="12" t="inlineStr">
        <is>
          <t>12 tri</t>
        </is>
      </c>
      <c r="M4959" s="12" t="inlineStr">
        <is>
          <t>18</t>
        </is>
      </c>
      <c r="N4959" s="12" t="n">
        <v>1</v>
      </c>
      <c r="O4959" s="12" t="n">
        <v>1</v>
      </c>
      <c r="P4959" s="12" t="n"/>
      <c r="Q4959" s="12" t="n"/>
      <c r="R4959" s="12" t="n"/>
      <c r="S4959" s="12" t="inlineStr">
        <is>
          <t>Duct bank</t>
        </is>
      </c>
      <c r="T4959" s="17" t="n">
        <v>550</v>
      </c>
      <c r="U4959" s="17" t="n">
        <v>109</v>
      </c>
      <c r="V4959" s="17">
        <f>ROUNDUP((T4959+U4959+2*'Read Me'!$B$13)*(1+'Read Me'!$B$12),-1)</f>
        <v/>
      </c>
      <c r="W4959" s="17">
        <f>V4959*N4959*O4959</f>
        <v/>
      </c>
      <c r="X4959" s="12">
        <f>IF(LEFT(I4959,2)="MV",2*N4959*IF(L4959="1/C",O4959,1),0)</f>
        <v/>
      </c>
      <c r="Y4959" s="12">
        <f>IF(OR(LEFT(K4959,4)="LVAX",LEFT(K4959,6)="MV15AX",LEFT(K4959,4)="CTAX",LEFT(K4959,2)="W|"),2*N4959*O4959,0)</f>
        <v/>
      </c>
      <c r="Z4959" s="12" t="inlineStr"/>
      <c r="AA4959" s="12">
        <f>N4959*O4959</f>
        <v/>
      </c>
    </row>
    <row r="4960">
      <c r="A4960" s="12" t="inlineStr">
        <is>
          <t>I-I-0350</t>
        </is>
      </c>
      <c r="B4960" s="12" t="inlineStr">
        <is>
          <t>I</t>
        </is>
      </c>
      <c r="C4960" s="12" t="inlineStr">
        <is>
          <t>Modular / portable power</t>
        </is>
      </c>
      <c r="D4960" s="12" t="inlineStr">
        <is>
          <t>Analog instrument to JB JB-RICE-3-AI01: 20 x 1 pr (field cables)</t>
        </is>
      </c>
      <c r="E4960" s="12" t="inlineStr">
        <is>
          <t>RICE-3</t>
        </is>
      </c>
      <c r="F4960" s="12" t="inlineStr">
        <is>
          <t>RICE engine-generator 3</t>
        </is>
      </c>
      <c r="G4960" s="12" t="inlineStr">
        <is>
          <t>JB-RICE-3-AI01</t>
        </is>
      </c>
      <c r="H4960" s="12" t="inlineStr">
        <is>
          <t>RICE engine-generator 3</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7" t="n">
        <v>72</v>
      </c>
      <c r="U4960" s="17" t="n">
        <v>10</v>
      </c>
      <c r="V4960" s="17">
        <f>ROUNDUP((T4960+U4960+2*'Read Me'!$B$13)*(1+'Read Me'!$B$12),-1)</f>
        <v/>
      </c>
      <c r="W4960" s="17">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I-I-0351</t>
        </is>
      </c>
      <c r="B4961" s="12" t="inlineStr">
        <is>
          <t>I</t>
        </is>
      </c>
      <c r="C4961" s="12" t="inlineStr">
        <is>
          <t>Modular / portable power</t>
        </is>
      </c>
      <c r="D4961" s="12" t="inlineStr">
        <is>
          <t>Home run JB-RICE-3-AI01 to the control / marshalling room</t>
        </is>
      </c>
      <c r="E4961" s="12" t="inlineStr"/>
      <c r="F4961" s="12" t="inlineStr">
        <is>
          <t>PCM: power control module</t>
        </is>
      </c>
      <c r="G4961" s="12" t="inlineStr">
        <is>
          <t>JB-RICE-3-AI01</t>
        </is>
      </c>
      <c r="H4961" s="12" t="inlineStr">
        <is>
          <t>RICE engine-generator 3</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7" t="n">
        <v>550</v>
      </c>
      <c r="U4961" s="17" t="n">
        <v>81</v>
      </c>
      <c r="V4961" s="17">
        <f>ROUNDUP((T4961+U4961+2*'Read Me'!$B$13)*(1+'Read Me'!$B$12),-1)</f>
        <v/>
      </c>
      <c r="W4961" s="17">
        <f>V4961*N4961*O4961</f>
        <v/>
      </c>
      <c r="X4961" s="12">
        <f>IF(LEFT(I4961,2)="MV",2*N4961*IF(L4961="1/C",O4961,1),0)</f>
        <v/>
      </c>
      <c r="Y4961" s="12">
        <f>IF(OR(LEFT(K4961,4)="LVAX",LEFT(K4961,6)="MV15AX",LEFT(K4961,4)="CTAX",LEFT(K4961,2)="W|"),2*N4961*O4961,0)</f>
        <v/>
      </c>
      <c r="Z4961" s="12" t="inlineStr"/>
      <c r="AA4961" s="12">
        <f>N4961*O4961</f>
        <v/>
      </c>
    </row>
    <row r="4962">
      <c r="A4962" s="12" t="inlineStr">
        <is>
          <t>I-I-0352</t>
        </is>
      </c>
      <c r="B4962" s="12" t="inlineStr">
        <is>
          <t>I</t>
        </is>
      </c>
      <c r="C4962" s="12" t="inlineStr">
        <is>
          <t>Modular / portable power</t>
        </is>
      </c>
      <c r="D4962" s="12" t="inlineStr">
        <is>
          <t>Analog instrument to JB JB-RICE-3-AI02: 20 x 1 pr (field cables)</t>
        </is>
      </c>
      <c r="E4962" s="12" t="inlineStr">
        <is>
          <t>RICE-3</t>
        </is>
      </c>
      <c r="F4962" s="12" t="inlineStr">
        <is>
          <t>RICE engine-generator 3</t>
        </is>
      </c>
      <c r="G4962" s="12" t="inlineStr">
        <is>
          <t>JB-RICE-3-AI02</t>
        </is>
      </c>
      <c r="H4962" s="12" t="inlineStr">
        <is>
          <t>RICE engine-generator 3</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7" t="n">
        <v>72</v>
      </c>
      <c r="U4962" s="17" t="n">
        <v>10</v>
      </c>
      <c r="V4962" s="17">
        <f>ROUNDUP((T4962+U4962+2*'Read Me'!$B$13)*(1+'Read Me'!$B$12),-1)</f>
        <v/>
      </c>
      <c r="W4962" s="17">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I-I-0353</t>
        </is>
      </c>
      <c r="B4963" s="12" t="inlineStr">
        <is>
          <t>I</t>
        </is>
      </c>
      <c r="C4963" s="12" t="inlineStr">
        <is>
          <t>Modular / portable power</t>
        </is>
      </c>
      <c r="D4963" s="12" t="inlineStr">
        <is>
          <t>Home run JB-RICE-3-AI02 to the control / marshalling room</t>
        </is>
      </c>
      <c r="E4963" s="12" t="inlineStr"/>
      <c r="F4963" s="12" t="inlineStr">
        <is>
          <t>PCM: power control module</t>
        </is>
      </c>
      <c r="G4963" s="12" t="inlineStr">
        <is>
          <t>JB-RICE-3-AI02</t>
        </is>
      </c>
      <c r="H4963" s="12" t="inlineStr">
        <is>
          <t>RICE engine-generator 3</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7" t="n">
        <v>550</v>
      </c>
      <c r="U4963" s="17" t="n">
        <v>81</v>
      </c>
      <c r="V4963" s="17">
        <f>ROUNDUP((T4963+U4963+2*'Read Me'!$B$13)*(1+'Read Me'!$B$12),-1)</f>
        <v/>
      </c>
      <c r="W4963" s="17">
        <f>V4963*N4963*O4963</f>
        <v/>
      </c>
      <c r="X4963" s="12">
        <f>IF(LEFT(I4963,2)="MV",2*N4963*IF(L4963="1/C",O4963,1),0)</f>
        <v/>
      </c>
      <c r="Y4963" s="12">
        <f>IF(OR(LEFT(K4963,4)="LVAX",LEFT(K4963,6)="MV15AX",LEFT(K4963,4)="CTAX",LEFT(K4963,2)="W|"),2*N4963*O4963,0)</f>
        <v/>
      </c>
      <c r="Z4963" s="12" t="inlineStr"/>
      <c r="AA4963" s="12">
        <f>N4963*O4963</f>
        <v/>
      </c>
    </row>
    <row r="4964">
      <c r="A4964" s="12" t="inlineStr">
        <is>
          <t>I-I-0354</t>
        </is>
      </c>
      <c r="B4964" s="12" t="inlineStr">
        <is>
          <t>I</t>
        </is>
      </c>
      <c r="C4964" s="12" t="inlineStr">
        <is>
          <t>Modular / portable power</t>
        </is>
      </c>
      <c r="D4964" s="12" t="inlineStr">
        <is>
          <t>Analog instrument to JB JB-RICE-3-AI03: 20 x 1 pr (field cables)</t>
        </is>
      </c>
      <c r="E4964" s="12" t="inlineStr">
        <is>
          <t>RICE-3</t>
        </is>
      </c>
      <c r="F4964" s="12" t="inlineStr">
        <is>
          <t>RICE engine-generator 3</t>
        </is>
      </c>
      <c r="G4964" s="12" t="inlineStr">
        <is>
          <t>JB-RICE-3-AI03</t>
        </is>
      </c>
      <c r="H4964" s="12" t="inlineStr">
        <is>
          <t>RICE engine-generator 3</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7" t="n">
        <v>72</v>
      </c>
      <c r="U4964" s="17" t="n">
        <v>10</v>
      </c>
      <c r="V4964" s="17">
        <f>ROUNDUP((T4964+U4964+2*'Read Me'!$B$13)*(1+'Read Me'!$B$12),-1)</f>
        <v/>
      </c>
      <c r="W4964" s="17">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I-I-0355</t>
        </is>
      </c>
      <c r="B4965" s="12" t="inlineStr">
        <is>
          <t>I</t>
        </is>
      </c>
      <c r="C4965" s="12" t="inlineStr">
        <is>
          <t>Modular / portable power</t>
        </is>
      </c>
      <c r="D4965" s="12" t="inlineStr">
        <is>
          <t>Home run JB-RICE-3-AI03 to the control / marshalling room</t>
        </is>
      </c>
      <c r="E4965" s="12" t="inlineStr"/>
      <c r="F4965" s="12" t="inlineStr">
        <is>
          <t>PCM: power control module</t>
        </is>
      </c>
      <c r="G4965" s="12" t="inlineStr">
        <is>
          <t>JB-RICE-3-AI03</t>
        </is>
      </c>
      <c r="H4965" s="12" t="inlineStr">
        <is>
          <t>RICE engine-generator 3</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7" t="n">
        <v>550</v>
      </c>
      <c r="U4965" s="17" t="n">
        <v>81</v>
      </c>
      <c r="V4965" s="17">
        <f>ROUNDUP((T4965+U4965+2*'Read Me'!$B$13)*(1+'Read Me'!$B$12),-1)</f>
        <v/>
      </c>
      <c r="W4965" s="17">
        <f>V4965*N4965*O4965</f>
        <v/>
      </c>
      <c r="X4965" s="12">
        <f>IF(LEFT(I4965,2)="MV",2*N4965*IF(L4965="1/C",O4965,1),0)</f>
        <v/>
      </c>
      <c r="Y4965" s="12">
        <f>IF(OR(LEFT(K4965,4)="LVAX",LEFT(K4965,6)="MV15AX",LEFT(K4965,4)="CTAX",LEFT(K4965,2)="W|"),2*N4965*O4965,0)</f>
        <v/>
      </c>
      <c r="Z4965" s="12" t="inlineStr"/>
      <c r="AA4965" s="12">
        <f>N4965*O4965</f>
        <v/>
      </c>
    </row>
    <row r="4966">
      <c r="A4966" s="12" t="inlineStr">
        <is>
          <t>I-I-0356</t>
        </is>
      </c>
      <c r="B4966" s="12" t="inlineStr">
        <is>
          <t>I</t>
        </is>
      </c>
      <c r="C4966" s="12" t="inlineStr">
        <is>
          <t>Modular / portable power</t>
        </is>
      </c>
      <c r="D4966" s="12" t="inlineStr">
        <is>
          <t>Analog instrument to JB JB-RICE-3-AI04: 20 x 1 pr (field cables)</t>
        </is>
      </c>
      <c r="E4966" s="12" t="inlineStr">
        <is>
          <t>RICE-3</t>
        </is>
      </c>
      <c r="F4966" s="12" t="inlineStr">
        <is>
          <t>RICE engine-generator 3</t>
        </is>
      </c>
      <c r="G4966" s="12" t="inlineStr">
        <is>
          <t>JB-RICE-3-AI04</t>
        </is>
      </c>
      <c r="H4966" s="12" t="inlineStr">
        <is>
          <t>RICE engine-generator 3</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7" t="n">
        <v>72</v>
      </c>
      <c r="U4966" s="17" t="n">
        <v>10</v>
      </c>
      <c r="V4966" s="17">
        <f>ROUNDUP((T4966+U4966+2*'Read Me'!$B$13)*(1+'Read Me'!$B$12),-1)</f>
        <v/>
      </c>
      <c r="W4966" s="17">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I-I-0357</t>
        </is>
      </c>
      <c r="B4967" s="12" t="inlineStr">
        <is>
          <t>I</t>
        </is>
      </c>
      <c r="C4967" s="12" t="inlineStr">
        <is>
          <t>Modular / portable power</t>
        </is>
      </c>
      <c r="D4967" s="12" t="inlineStr">
        <is>
          <t>Home run JB-RICE-3-AI04 to the control / marshalling room</t>
        </is>
      </c>
      <c r="E4967" s="12" t="inlineStr"/>
      <c r="F4967" s="12" t="inlineStr">
        <is>
          <t>PCM: power control module</t>
        </is>
      </c>
      <c r="G4967" s="12" t="inlineStr">
        <is>
          <t>JB-RICE-3-AI04</t>
        </is>
      </c>
      <c r="H4967" s="12" t="inlineStr">
        <is>
          <t>RICE engine-generator 3</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7" t="n">
        <v>550</v>
      </c>
      <c r="U4967" s="17" t="n">
        <v>81</v>
      </c>
      <c r="V4967" s="17">
        <f>ROUNDUP((T4967+U4967+2*'Read Me'!$B$13)*(1+'Read Me'!$B$12),-1)</f>
        <v/>
      </c>
      <c r="W4967" s="17">
        <f>V4967*N4967*O4967</f>
        <v/>
      </c>
      <c r="X4967" s="12">
        <f>IF(LEFT(I4967,2)="MV",2*N4967*IF(L4967="1/C",O4967,1),0)</f>
        <v/>
      </c>
      <c r="Y4967" s="12">
        <f>IF(OR(LEFT(K4967,4)="LVAX",LEFT(K4967,6)="MV15AX",LEFT(K4967,4)="CTAX",LEFT(K4967,2)="W|"),2*N4967*O4967,0)</f>
        <v/>
      </c>
      <c r="Z4967" s="12" t="inlineStr"/>
      <c r="AA4967" s="12">
        <f>N4967*O4967</f>
        <v/>
      </c>
    </row>
    <row r="4968">
      <c r="A4968" s="12" t="inlineStr">
        <is>
          <t>I-I-0358</t>
        </is>
      </c>
      <c r="B4968" s="12" t="inlineStr">
        <is>
          <t>I</t>
        </is>
      </c>
      <c r="C4968" s="12" t="inlineStr">
        <is>
          <t>Modular / portable power</t>
        </is>
      </c>
      <c r="D4968" s="12" t="inlineStr">
        <is>
          <t>Discrete device to JB JB-RICE-3-DI01: 20 x 1 pr (field cables)</t>
        </is>
      </c>
      <c r="E4968" s="12" t="inlineStr">
        <is>
          <t>RICE-3</t>
        </is>
      </c>
      <c r="F4968" s="12" t="inlineStr">
        <is>
          <t>RICE engine-generator 3</t>
        </is>
      </c>
      <c r="G4968" s="12" t="inlineStr">
        <is>
          <t>JB-RICE-3-DI01</t>
        </is>
      </c>
      <c r="H4968" s="12" t="inlineStr">
        <is>
          <t>RICE engine-generator 3</t>
        </is>
      </c>
      <c r="I4968" s="12" t="inlineStr">
        <is>
          <t>Instrumentation</t>
        </is>
      </c>
      <c r="J4968" s="12" t="inlineStr">
        <is>
          <t>Instrumentation PLTC / TC-ER 300 V, #18 twisted shielded pairs, overall shield</t>
        </is>
      </c>
      <c r="K4968" s="12" t="inlineStr">
        <is>
          <t>PLTC|1 pr|16</t>
        </is>
      </c>
      <c r="L4968" s="12" t="inlineStr">
        <is>
          <t>1 pr</t>
        </is>
      </c>
      <c r="M4968" s="12" t="inlineStr">
        <is>
          <t>16</t>
        </is>
      </c>
      <c r="N4968" s="12" t="n">
        <v>20</v>
      </c>
      <c r="O4968" s="12" t="n">
        <v>1</v>
      </c>
      <c r="P4968" s="12" t="n"/>
      <c r="Q4968" s="12" t="n"/>
      <c r="R4968" s="12" t="n"/>
      <c r="S4968" s="12" t="inlineStr">
        <is>
          <t>Tray / conduit</t>
        </is>
      </c>
      <c r="T4968" s="17" t="n">
        <v>72</v>
      </c>
      <c r="U4968" s="17" t="n">
        <v>10</v>
      </c>
      <c r="V4968" s="17">
        <f>ROUNDUP((T4968+U4968+2*'Read Me'!$B$13)*(1+'Read Me'!$B$12),-1)</f>
        <v/>
      </c>
      <c r="W4968" s="17">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I-I-0359</t>
        </is>
      </c>
      <c r="B4969" s="12" t="inlineStr">
        <is>
          <t>I</t>
        </is>
      </c>
      <c r="C4969" s="12" t="inlineStr">
        <is>
          <t>Modular / portable power</t>
        </is>
      </c>
      <c r="D4969" s="12" t="inlineStr">
        <is>
          <t>Home run JB-RICE-3-DI01 to the control / marshalling room</t>
        </is>
      </c>
      <c r="E4969" s="12" t="inlineStr"/>
      <c r="F4969" s="12" t="inlineStr">
        <is>
          <t>PCM: power control module</t>
        </is>
      </c>
      <c r="G4969" s="12" t="inlineStr">
        <is>
          <t>JB-RICE-3-DI01</t>
        </is>
      </c>
      <c r="H4969" s="12" t="inlineStr">
        <is>
          <t>RICE engine-generator 3</t>
        </is>
      </c>
      <c r="I4969" s="12" t="inlineStr">
        <is>
          <t>Instrumentation</t>
        </is>
      </c>
      <c r="J4969" s="12" t="inlineStr">
        <is>
          <t>Instrumentation PLTC / TC-ER 300 V, #18 twisted shielded pairs, overall shield</t>
        </is>
      </c>
      <c r="K4969" s="12" t="inlineStr">
        <is>
          <t>PLTC|24 pr|18</t>
        </is>
      </c>
      <c r="L4969" s="12" t="inlineStr">
        <is>
          <t>24 pr</t>
        </is>
      </c>
      <c r="M4969" s="12" t="inlineStr">
        <is>
          <t>18</t>
        </is>
      </c>
      <c r="N4969" s="12" t="n">
        <v>1</v>
      </c>
      <c r="O4969" s="12" t="n">
        <v>1</v>
      </c>
      <c r="P4969" s="12" t="n"/>
      <c r="Q4969" s="12" t="n"/>
      <c r="R4969" s="12" t="n"/>
      <c r="S4969" s="12" t="inlineStr">
        <is>
          <t>Duct bank</t>
        </is>
      </c>
      <c r="T4969" s="17" t="n">
        <v>550</v>
      </c>
      <c r="U4969" s="17" t="n">
        <v>81</v>
      </c>
      <c r="V4969" s="17">
        <f>ROUNDUP((T4969+U4969+2*'Read Me'!$B$13)*(1+'Read Me'!$B$12),-1)</f>
        <v/>
      </c>
      <c r="W4969" s="17">
        <f>V4969*N4969*O4969</f>
        <v/>
      </c>
      <c r="X4969" s="12">
        <f>IF(LEFT(I4969,2)="MV",2*N4969*IF(L4969="1/C",O4969,1),0)</f>
        <v/>
      </c>
      <c r="Y4969" s="12">
        <f>IF(OR(LEFT(K4969,4)="LVAX",LEFT(K4969,6)="MV15AX",LEFT(K4969,4)="CTAX",LEFT(K4969,2)="W|"),2*N4969*O4969,0)</f>
        <v/>
      </c>
      <c r="Z4969" s="12" t="inlineStr"/>
      <c r="AA4969" s="12">
        <f>N4969*O4969</f>
        <v/>
      </c>
    </row>
    <row r="4970">
      <c r="A4970" s="12" t="inlineStr">
        <is>
          <t>I-I-0360</t>
        </is>
      </c>
      <c r="B4970" s="12" t="inlineStr">
        <is>
          <t>I</t>
        </is>
      </c>
      <c r="C4970" s="12" t="inlineStr">
        <is>
          <t>Modular / portable power</t>
        </is>
      </c>
      <c r="D4970" s="12" t="inlineStr">
        <is>
          <t>Discrete device to JB JB-RICE-3-DI02: 20 x 1 pr (field cables)</t>
        </is>
      </c>
      <c r="E4970" s="12" t="inlineStr">
        <is>
          <t>RICE-3</t>
        </is>
      </c>
      <c r="F4970" s="12" t="inlineStr">
        <is>
          <t>RICE engine-generator 3</t>
        </is>
      </c>
      <c r="G4970" s="12" t="inlineStr">
        <is>
          <t>JB-RICE-3-DI02</t>
        </is>
      </c>
      <c r="H4970" s="12" t="inlineStr">
        <is>
          <t>RICE engine-generator 3</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20</v>
      </c>
      <c r="O4970" s="12" t="n">
        <v>1</v>
      </c>
      <c r="P4970" s="12" t="n"/>
      <c r="Q4970" s="12" t="n"/>
      <c r="R4970" s="12" t="n"/>
      <c r="S4970" s="12" t="inlineStr">
        <is>
          <t>Tray / conduit</t>
        </is>
      </c>
      <c r="T4970" s="17" t="n">
        <v>72</v>
      </c>
      <c r="U4970" s="17" t="n">
        <v>10</v>
      </c>
      <c r="V4970" s="17">
        <f>ROUNDUP((T4970+U4970+2*'Read Me'!$B$13)*(1+'Read Me'!$B$12),-1)</f>
        <v/>
      </c>
      <c r="W4970" s="17">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I-I-0361</t>
        </is>
      </c>
      <c r="B4971" s="12" t="inlineStr">
        <is>
          <t>I</t>
        </is>
      </c>
      <c r="C4971" s="12" t="inlineStr">
        <is>
          <t>Modular / portable power</t>
        </is>
      </c>
      <c r="D4971" s="12" t="inlineStr">
        <is>
          <t>Home run JB-RICE-3-DI02 to the control / marshalling room</t>
        </is>
      </c>
      <c r="E4971" s="12" t="inlineStr"/>
      <c r="F4971" s="12" t="inlineStr">
        <is>
          <t>PCM: power control module</t>
        </is>
      </c>
      <c r="G4971" s="12" t="inlineStr">
        <is>
          <t>JB-RICE-3-DI02</t>
        </is>
      </c>
      <c r="H4971" s="12" t="inlineStr">
        <is>
          <t>RICE engine-generator 3</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Duct bank</t>
        </is>
      </c>
      <c r="T4971" s="17" t="n">
        <v>550</v>
      </c>
      <c r="U4971" s="17" t="n">
        <v>81</v>
      </c>
      <c r="V4971" s="17">
        <f>ROUNDUP((T4971+U4971+2*'Read Me'!$B$13)*(1+'Read Me'!$B$12),-1)</f>
        <v/>
      </c>
      <c r="W4971" s="17">
        <f>V4971*N4971*O4971</f>
        <v/>
      </c>
      <c r="X4971" s="12">
        <f>IF(LEFT(I4971,2)="MV",2*N4971*IF(L4971="1/C",O4971,1),0)</f>
        <v/>
      </c>
      <c r="Y4971" s="12">
        <f>IF(OR(LEFT(K4971,4)="LVAX",LEFT(K4971,6)="MV15AX",LEFT(K4971,4)="CTAX",LEFT(K4971,2)="W|"),2*N4971*O4971,0)</f>
        <v/>
      </c>
      <c r="Z4971" s="12" t="inlineStr"/>
      <c r="AA4971" s="12">
        <f>N4971*O4971</f>
        <v/>
      </c>
    </row>
    <row r="4972">
      <c r="A4972" s="12" t="inlineStr">
        <is>
          <t>I-I-0362</t>
        </is>
      </c>
      <c r="B4972" s="12" t="inlineStr">
        <is>
          <t>I</t>
        </is>
      </c>
      <c r="C4972" s="12" t="inlineStr">
        <is>
          <t>Modular / portable power</t>
        </is>
      </c>
      <c r="D4972" s="12" t="inlineStr">
        <is>
          <t>Discrete device to JB JB-RICE-3-DI03: 20 x 1 pr (field cables)</t>
        </is>
      </c>
      <c r="E4972" s="12" t="inlineStr">
        <is>
          <t>RICE-3</t>
        </is>
      </c>
      <c r="F4972" s="12" t="inlineStr">
        <is>
          <t>RICE engine-generator 3</t>
        </is>
      </c>
      <c r="G4972" s="12" t="inlineStr">
        <is>
          <t>JB-RICE-3-DI03</t>
        </is>
      </c>
      <c r="H4972" s="12" t="inlineStr">
        <is>
          <t>RICE engine-generator 3</t>
        </is>
      </c>
      <c r="I4972" s="12" t="inlineStr">
        <is>
          <t>Instrumentation</t>
        </is>
      </c>
      <c r="J4972" s="12" t="inlineStr">
        <is>
          <t>Instrumentation PLTC / TC-ER 300 V, #18 twisted shielded pairs, overall shield</t>
        </is>
      </c>
      <c r="K4972" s="12" t="inlineStr">
        <is>
          <t>PLTC|1 pr|16</t>
        </is>
      </c>
      <c r="L4972" s="12" t="inlineStr">
        <is>
          <t>1 pr</t>
        </is>
      </c>
      <c r="M4972" s="12" t="inlineStr">
        <is>
          <t>16</t>
        </is>
      </c>
      <c r="N4972" s="12" t="n">
        <v>20</v>
      </c>
      <c r="O4972" s="12" t="n">
        <v>1</v>
      </c>
      <c r="P4972" s="12" t="n"/>
      <c r="Q4972" s="12" t="n"/>
      <c r="R4972" s="12" t="n"/>
      <c r="S4972" s="12" t="inlineStr">
        <is>
          <t>Tray / conduit</t>
        </is>
      </c>
      <c r="T4972" s="17" t="n">
        <v>72</v>
      </c>
      <c r="U4972" s="17" t="n">
        <v>10</v>
      </c>
      <c r="V4972" s="17">
        <f>ROUNDUP((T4972+U4972+2*'Read Me'!$B$13)*(1+'Read Me'!$B$12),-1)</f>
        <v/>
      </c>
      <c r="W4972" s="17">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I-I-0363</t>
        </is>
      </c>
      <c r="B4973" s="12" t="inlineStr">
        <is>
          <t>I</t>
        </is>
      </c>
      <c r="C4973" s="12" t="inlineStr">
        <is>
          <t>Modular / portable power</t>
        </is>
      </c>
      <c r="D4973" s="12" t="inlineStr">
        <is>
          <t>Home run JB-RICE-3-DI03 to the control / marshalling room</t>
        </is>
      </c>
      <c r="E4973" s="12" t="inlineStr"/>
      <c r="F4973" s="12" t="inlineStr">
        <is>
          <t>PCM: power control module</t>
        </is>
      </c>
      <c r="G4973" s="12" t="inlineStr">
        <is>
          <t>JB-RICE-3-DI03</t>
        </is>
      </c>
      <c r="H4973" s="12" t="inlineStr">
        <is>
          <t>RICE engine-generator 3</t>
        </is>
      </c>
      <c r="I4973" s="12" t="inlineStr">
        <is>
          <t>Instrumentation</t>
        </is>
      </c>
      <c r="J4973" s="12" t="inlineStr">
        <is>
          <t>Instrumentation PLTC / TC-ER 300 V, #18 twisted shielded pairs, overall shield</t>
        </is>
      </c>
      <c r="K4973" s="12" t="inlineStr">
        <is>
          <t>PLTC|24 pr|18</t>
        </is>
      </c>
      <c r="L4973" s="12" t="inlineStr">
        <is>
          <t>24 pr</t>
        </is>
      </c>
      <c r="M4973" s="12" t="inlineStr">
        <is>
          <t>18</t>
        </is>
      </c>
      <c r="N4973" s="12" t="n">
        <v>1</v>
      </c>
      <c r="O4973" s="12" t="n">
        <v>1</v>
      </c>
      <c r="P4973" s="12" t="n"/>
      <c r="Q4973" s="12" t="n"/>
      <c r="R4973" s="12" t="n"/>
      <c r="S4973" s="12" t="inlineStr">
        <is>
          <t>Duct bank</t>
        </is>
      </c>
      <c r="T4973" s="17" t="n">
        <v>550</v>
      </c>
      <c r="U4973" s="17" t="n">
        <v>81</v>
      </c>
      <c r="V4973" s="17">
        <f>ROUNDUP((T4973+U4973+2*'Read Me'!$B$13)*(1+'Read Me'!$B$12),-1)</f>
        <v/>
      </c>
      <c r="W4973" s="17">
        <f>V4973*N4973*O4973</f>
        <v/>
      </c>
      <c r="X4973" s="12">
        <f>IF(LEFT(I4973,2)="MV",2*N4973*IF(L4973="1/C",O4973,1),0)</f>
        <v/>
      </c>
      <c r="Y4973" s="12">
        <f>IF(OR(LEFT(K4973,4)="LVAX",LEFT(K4973,6)="MV15AX",LEFT(K4973,4)="CTAX",LEFT(K4973,2)="W|"),2*N4973*O4973,0)</f>
        <v/>
      </c>
      <c r="Z4973" s="12" t="inlineStr"/>
      <c r="AA4973" s="12">
        <f>N4973*O4973</f>
        <v/>
      </c>
    </row>
    <row r="4974">
      <c r="A4974" s="12" t="inlineStr">
        <is>
          <t>I-I-0364</t>
        </is>
      </c>
      <c r="B4974" s="12" t="inlineStr">
        <is>
          <t>I</t>
        </is>
      </c>
      <c r="C4974" s="12" t="inlineStr">
        <is>
          <t>Modular / portable power</t>
        </is>
      </c>
      <c r="D4974" s="12" t="inlineStr">
        <is>
          <t>Thermocouple to TC JB JB-RICE-3-TC01: 20 x 1 pr (field cables)</t>
        </is>
      </c>
      <c r="E4974" s="12" t="inlineStr">
        <is>
          <t>RICE-3</t>
        </is>
      </c>
      <c r="F4974" s="12" t="inlineStr">
        <is>
          <t>RICE engine-generator 3</t>
        </is>
      </c>
      <c r="G4974" s="12" t="inlineStr">
        <is>
          <t>JB-RICE-3-TC01</t>
        </is>
      </c>
      <c r="H4974" s="12" t="inlineStr">
        <is>
          <t>RICE engine-generator 3</t>
        </is>
      </c>
      <c r="I4974" s="12" t="inlineStr">
        <is>
          <t>Instrumentation</t>
        </is>
      </c>
      <c r="J4974" s="12" t="inlineStr">
        <is>
          <t>Thermocouple extension KX, #16 shielded pairs, PLTC</t>
        </is>
      </c>
      <c r="K4974" s="12" t="inlineStr">
        <is>
          <t>TCX|1 pr|16</t>
        </is>
      </c>
      <c r="L4974" s="12" t="inlineStr">
        <is>
          <t>1 pr</t>
        </is>
      </c>
      <c r="M4974" s="12" t="inlineStr">
        <is>
          <t>16</t>
        </is>
      </c>
      <c r="N4974" s="12" t="n">
        <v>20</v>
      </c>
      <c r="O4974" s="12" t="n">
        <v>1</v>
      </c>
      <c r="P4974" s="12" t="n"/>
      <c r="Q4974" s="12" t="n"/>
      <c r="R4974" s="12" t="n"/>
      <c r="S4974" s="12" t="inlineStr">
        <is>
          <t>Tray / conduit</t>
        </is>
      </c>
      <c r="T4974" s="17" t="n">
        <v>72</v>
      </c>
      <c r="U4974" s="17" t="n">
        <v>10</v>
      </c>
      <c r="V4974" s="17">
        <f>ROUNDUP((T4974+U4974+2*'Read Me'!$B$13)*(1+'Read Me'!$B$12),-1)</f>
        <v/>
      </c>
      <c r="W4974" s="17">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I-I-0365</t>
        </is>
      </c>
      <c r="B4975" s="12" t="inlineStr">
        <is>
          <t>I</t>
        </is>
      </c>
      <c r="C4975" s="12" t="inlineStr">
        <is>
          <t>Modular / portable power</t>
        </is>
      </c>
      <c r="D4975" s="12" t="inlineStr">
        <is>
          <t>Home run JB-RICE-3-TC01 to the control / marshalling room</t>
        </is>
      </c>
      <c r="E4975" s="12" t="inlineStr"/>
      <c r="F4975" s="12" t="inlineStr">
        <is>
          <t>PCM: power control module</t>
        </is>
      </c>
      <c r="G4975" s="12" t="inlineStr">
        <is>
          <t>JB-RICE-3-TC01</t>
        </is>
      </c>
      <c r="H4975" s="12" t="inlineStr">
        <is>
          <t>RICE engine-generator 3</t>
        </is>
      </c>
      <c r="I4975" s="12" t="inlineStr">
        <is>
          <t>Instrumentation</t>
        </is>
      </c>
      <c r="J4975" s="12" t="inlineStr">
        <is>
          <t>Thermocouple extension KX, #16 shielded pairs, PLTC</t>
        </is>
      </c>
      <c r="K4975" s="12" t="inlineStr">
        <is>
          <t>TCX|24 pr|16</t>
        </is>
      </c>
      <c r="L4975" s="12" t="inlineStr">
        <is>
          <t>24 pr</t>
        </is>
      </c>
      <c r="M4975" s="12" t="inlineStr">
        <is>
          <t>16</t>
        </is>
      </c>
      <c r="N4975" s="12" t="n">
        <v>1</v>
      </c>
      <c r="O4975" s="12" t="n">
        <v>1</v>
      </c>
      <c r="P4975" s="12" t="n"/>
      <c r="Q4975" s="12" t="n"/>
      <c r="R4975" s="12" t="n"/>
      <c r="S4975" s="12" t="inlineStr">
        <is>
          <t>Duct bank</t>
        </is>
      </c>
      <c r="T4975" s="17" t="n">
        <v>550</v>
      </c>
      <c r="U4975" s="17" t="n">
        <v>81</v>
      </c>
      <c r="V4975" s="17">
        <f>ROUNDUP((T4975+U4975+2*'Read Me'!$B$13)*(1+'Read Me'!$B$12),-1)</f>
        <v/>
      </c>
      <c r="W4975" s="17">
        <f>V4975*N4975*O4975</f>
        <v/>
      </c>
      <c r="X4975" s="12">
        <f>IF(LEFT(I4975,2)="MV",2*N4975*IF(L4975="1/C",O4975,1),0)</f>
        <v/>
      </c>
      <c r="Y4975" s="12">
        <f>IF(OR(LEFT(K4975,4)="LVAX",LEFT(K4975,6)="MV15AX",LEFT(K4975,4)="CTAX",LEFT(K4975,2)="W|"),2*N4975*O4975,0)</f>
        <v/>
      </c>
      <c r="Z4975" s="12" t="inlineStr"/>
      <c r="AA4975" s="12">
        <f>N4975*O4975</f>
        <v/>
      </c>
    </row>
    <row r="4976">
      <c r="A4976" s="12" t="inlineStr">
        <is>
          <t>I-I-0366</t>
        </is>
      </c>
      <c r="B4976" s="12" t="inlineStr">
        <is>
          <t>I</t>
        </is>
      </c>
      <c r="C4976" s="12" t="inlineStr">
        <is>
          <t>Modular / portable power</t>
        </is>
      </c>
      <c r="D4976" s="12" t="inlineStr">
        <is>
          <t>Thermocouple to TC JB JB-RICE-3-TC02: 10 x 1 pr (field cables)</t>
        </is>
      </c>
      <c r="E4976" s="12" t="inlineStr">
        <is>
          <t>RICE-3</t>
        </is>
      </c>
      <c r="F4976" s="12" t="inlineStr">
        <is>
          <t>RICE engine-generator 3</t>
        </is>
      </c>
      <c r="G4976" s="12" t="inlineStr">
        <is>
          <t>JB-RICE-3-TC02</t>
        </is>
      </c>
      <c r="H4976" s="12" t="inlineStr">
        <is>
          <t>RICE engine-generator 3</t>
        </is>
      </c>
      <c r="I4976" s="12" t="inlineStr">
        <is>
          <t>Instrumentation</t>
        </is>
      </c>
      <c r="J4976" s="12" t="inlineStr">
        <is>
          <t>Thermocouple extension KX, #16 shielded pairs, PLTC</t>
        </is>
      </c>
      <c r="K4976" s="12" t="inlineStr">
        <is>
          <t>TCX|1 pr|16</t>
        </is>
      </c>
      <c r="L4976" s="12" t="inlineStr">
        <is>
          <t>1 pr</t>
        </is>
      </c>
      <c r="M4976" s="12" t="inlineStr">
        <is>
          <t>16</t>
        </is>
      </c>
      <c r="N4976" s="12" t="n">
        <v>10</v>
      </c>
      <c r="O4976" s="12" t="n">
        <v>1</v>
      </c>
      <c r="P4976" s="12" t="n"/>
      <c r="Q4976" s="12" t="n"/>
      <c r="R4976" s="12" t="n"/>
      <c r="S4976" s="12" t="inlineStr">
        <is>
          <t>Tray / conduit</t>
        </is>
      </c>
      <c r="T4976" s="17" t="n">
        <v>72</v>
      </c>
      <c r="U4976" s="17" t="n">
        <v>10</v>
      </c>
      <c r="V4976" s="17">
        <f>ROUNDUP((T4976+U4976+2*'Read Me'!$B$13)*(1+'Read Me'!$B$12),-1)</f>
        <v/>
      </c>
      <c r="W4976" s="17">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I-I-0367</t>
        </is>
      </c>
      <c r="B4977" s="12" t="inlineStr">
        <is>
          <t>I</t>
        </is>
      </c>
      <c r="C4977" s="12" t="inlineStr">
        <is>
          <t>Modular / portable power</t>
        </is>
      </c>
      <c r="D4977" s="12" t="inlineStr">
        <is>
          <t>Home run JB-RICE-3-TC02 to the control / marshalling room</t>
        </is>
      </c>
      <c r="E4977" s="12" t="inlineStr"/>
      <c r="F4977" s="12" t="inlineStr">
        <is>
          <t>PCM: power control module</t>
        </is>
      </c>
      <c r="G4977" s="12" t="inlineStr">
        <is>
          <t>JB-RICE-3-TC02</t>
        </is>
      </c>
      <c r="H4977" s="12" t="inlineStr">
        <is>
          <t>RICE engine-generator 3</t>
        </is>
      </c>
      <c r="I4977" s="12" t="inlineStr">
        <is>
          <t>Instrumentation</t>
        </is>
      </c>
      <c r="J4977" s="12" t="inlineStr">
        <is>
          <t>Thermocouple extension KX, #16 shielded pairs, PLTC</t>
        </is>
      </c>
      <c r="K4977" s="12" t="inlineStr">
        <is>
          <t>TCX|24 pr|16</t>
        </is>
      </c>
      <c r="L4977" s="12" t="inlineStr">
        <is>
          <t>24 pr</t>
        </is>
      </c>
      <c r="M4977" s="12" t="inlineStr">
        <is>
          <t>16</t>
        </is>
      </c>
      <c r="N4977" s="12" t="n">
        <v>1</v>
      </c>
      <c r="O4977" s="12" t="n">
        <v>1</v>
      </c>
      <c r="P4977" s="12" t="n"/>
      <c r="Q4977" s="12" t="n"/>
      <c r="R4977" s="12" t="n"/>
      <c r="S4977" s="12" t="inlineStr">
        <is>
          <t>Duct bank</t>
        </is>
      </c>
      <c r="T4977" s="17" t="n">
        <v>550</v>
      </c>
      <c r="U4977" s="17" t="n">
        <v>81</v>
      </c>
      <c r="V4977" s="17">
        <f>ROUNDUP((T4977+U4977+2*'Read Me'!$B$13)*(1+'Read Me'!$B$12),-1)</f>
        <v/>
      </c>
      <c r="W4977" s="17">
        <f>V4977*N4977*O4977</f>
        <v/>
      </c>
      <c r="X4977" s="12">
        <f>IF(LEFT(I4977,2)="MV",2*N4977*IF(L4977="1/C",O4977,1),0)</f>
        <v/>
      </c>
      <c r="Y4977" s="12">
        <f>IF(OR(LEFT(K4977,4)="LVAX",LEFT(K4977,6)="MV15AX",LEFT(K4977,4)="CTAX",LEFT(K4977,2)="W|"),2*N4977*O4977,0)</f>
        <v/>
      </c>
      <c r="Z4977" s="12" t="inlineStr"/>
      <c r="AA4977" s="12">
        <f>N4977*O4977</f>
        <v/>
      </c>
    </row>
    <row r="4978">
      <c r="A4978" s="12" t="inlineStr">
        <is>
          <t>I-I-0368</t>
        </is>
      </c>
      <c r="B4978" s="12" t="inlineStr">
        <is>
          <t>I</t>
        </is>
      </c>
      <c r="C4978" s="12" t="inlineStr">
        <is>
          <t>Modular / portable power</t>
        </is>
      </c>
      <c r="D4978" s="12" t="inlineStr">
        <is>
          <t>RTD to JB JB-RICE-3-RTD01: 10 x 1 tri (field cables)</t>
        </is>
      </c>
      <c r="E4978" s="12" t="inlineStr">
        <is>
          <t>RICE-3</t>
        </is>
      </c>
      <c r="F4978" s="12" t="inlineStr">
        <is>
          <t>RICE engine-generator 3</t>
        </is>
      </c>
      <c r="G4978" s="12" t="inlineStr">
        <is>
          <t>JB-RICE-3-RTD01</t>
        </is>
      </c>
      <c r="H4978" s="12" t="inlineStr">
        <is>
          <t>RICE engine-generator 3</t>
        </is>
      </c>
      <c r="I4978" s="12" t="inlineStr">
        <is>
          <t>Instrumentation</t>
        </is>
      </c>
      <c r="J4978" s="12" t="inlineStr">
        <is>
          <t>RTD cable, #18 shielded triads, PLTC</t>
        </is>
      </c>
      <c r="K4978" s="12" t="inlineStr">
        <is>
          <t>RTD|1 tri|18</t>
        </is>
      </c>
      <c r="L4978" s="12" t="inlineStr">
        <is>
          <t>1 tri</t>
        </is>
      </c>
      <c r="M4978" s="12" t="inlineStr">
        <is>
          <t>18</t>
        </is>
      </c>
      <c r="N4978" s="12" t="n">
        <v>10</v>
      </c>
      <c r="O4978" s="12" t="n">
        <v>1</v>
      </c>
      <c r="P4978" s="12" t="n"/>
      <c r="Q4978" s="12" t="n"/>
      <c r="R4978" s="12" t="n"/>
      <c r="S4978" s="12" t="inlineStr">
        <is>
          <t>Tray / conduit</t>
        </is>
      </c>
      <c r="T4978" s="17" t="n">
        <v>72</v>
      </c>
      <c r="U4978" s="17" t="n">
        <v>10</v>
      </c>
      <c r="V4978" s="17">
        <f>ROUNDUP((T4978+U4978+2*'Read Me'!$B$13)*(1+'Read Me'!$B$12),-1)</f>
        <v/>
      </c>
      <c r="W4978" s="17">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I-I-0369</t>
        </is>
      </c>
      <c r="B4979" s="12" t="inlineStr">
        <is>
          <t>I</t>
        </is>
      </c>
      <c r="C4979" s="12" t="inlineStr">
        <is>
          <t>Modular / portable power</t>
        </is>
      </c>
      <c r="D4979" s="12" t="inlineStr">
        <is>
          <t>Home run JB-RICE-3-RTD01 to the control / marshalling room</t>
        </is>
      </c>
      <c r="E4979" s="12" t="inlineStr"/>
      <c r="F4979" s="12" t="inlineStr">
        <is>
          <t>PCM: power control module</t>
        </is>
      </c>
      <c r="G4979" s="12" t="inlineStr">
        <is>
          <t>JB-RICE-3-RTD01</t>
        </is>
      </c>
      <c r="H4979" s="12" t="inlineStr">
        <is>
          <t>RICE engine-generator 3</t>
        </is>
      </c>
      <c r="I4979" s="12" t="inlineStr">
        <is>
          <t>Instrumentation</t>
        </is>
      </c>
      <c r="J4979" s="12" t="inlineStr">
        <is>
          <t>RTD cable, #18 shielded triads, PLTC</t>
        </is>
      </c>
      <c r="K4979" s="12" t="inlineStr">
        <is>
          <t>RTD|12 tri|18</t>
        </is>
      </c>
      <c r="L4979" s="12" t="inlineStr">
        <is>
          <t>12 tri</t>
        </is>
      </c>
      <c r="M4979" s="12" t="inlineStr">
        <is>
          <t>18</t>
        </is>
      </c>
      <c r="N4979" s="12" t="n">
        <v>1</v>
      </c>
      <c r="O4979" s="12" t="n">
        <v>1</v>
      </c>
      <c r="P4979" s="12" t="n"/>
      <c r="Q4979" s="12" t="n"/>
      <c r="R4979" s="12" t="n"/>
      <c r="S4979" s="12" t="inlineStr">
        <is>
          <t>Duct bank</t>
        </is>
      </c>
      <c r="T4979" s="17" t="n">
        <v>550</v>
      </c>
      <c r="U4979" s="17" t="n">
        <v>81</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I-I-0370</t>
        </is>
      </c>
      <c r="B4980" s="12" t="inlineStr">
        <is>
          <t>I</t>
        </is>
      </c>
      <c r="C4980" s="12" t="inlineStr">
        <is>
          <t>Modular / portable power</t>
        </is>
      </c>
      <c r="D4980" s="12" t="inlineStr">
        <is>
          <t>RTD to JB JB-RICE-3-RTD02: 2 x 1 tri (field cables)</t>
        </is>
      </c>
      <c r="E4980" s="12" t="inlineStr">
        <is>
          <t>RICE-3</t>
        </is>
      </c>
      <c r="F4980" s="12" t="inlineStr">
        <is>
          <t>RICE engine-generator 3</t>
        </is>
      </c>
      <c r="G4980" s="12" t="inlineStr">
        <is>
          <t>JB-RICE-3-RTD02</t>
        </is>
      </c>
      <c r="H4980" s="12" t="inlineStr">
        <is>
          <t>RICE engine-generator 3</t>
        </is>
      </c>
      <c r="I4980" s="12" t="inlineStr">
        <is>
          <t>Instrumentation</t>
        </is>
      </c>
      <c r="J4980" s="12" t="inlineStr">
        <is>
          <t>RTD cable, #18 shielded triads, PLTC</t>
        </is>
      </c>
      <c r="K4980" s="12" t="inlineStr">
        <is>
          <t>RTD|1 tri|18</t>
        </is>
      </c>
      <c r="L4980" s="12" t="inlineStr">
        <is>
          <t>1 tri</t>
        </is>
      </c>
      <c r="M4980" s="12" t="inlineStr">
        <is>
          <t>18</t>
        </is>
      </c>
      <c r="N4980" s="12" t="n">
        <v>2</v>
      </c>
      <c r="O4980" s="12" t="n">
        <v>1</v>
      </c>
      <c r="P4980" s="12" t="n"/>
      <c r="Q4980" s="12" t="n"/>
      <c r="R4980" s="12" t="n"/>
      <c r="S4980" s="12" t="inlineStr">
        <is>
          <t>Tray / conduit</t>
        </is>
      </c>
      <c r="T4980" s="17" t="n">
        <v>72</v>
      </c>
      <c r="U4980" s="17" t="n">
        <v>10</v>
      </c>
      <c r="V4980" s="17">
        <f>ROUNDUP((T4980+U4980+2*'Read Me'!$B$13)*(1+'Read Me'!$B$12),-1)</f>
        <v/>
      </c>
      <c r="W4980" s="17">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I-I-0371</t>
        </is>
      </c>
      <c r="B4981" s="12" t="inlineStr">
        <is>
          <t>I</t>
        </is>
      </c>
      <c r="C4981" s="12" t="inlineStr">
        <is>
          <t>Modular / portable power</t>
        </is>
      </c>
      <c r="D4981" s="12" t="inlineStr">
        <is>
          <t>Home run JB-RICE-3-RTD02 to the control / marshalling room</t>
        </is>
      </c>
      <c r="E4981" s="12" t="inlineStr"/>
      <c r="F4981" s="12" t="inlineStr">
        <is>
          <t>PCM: power control module</t>
        </is>
      </c>
      <c r="G4981" s="12" t="inlineStr">
        <is>
          <t>JB-RICE-3-RTD02</t>
        </is>
      </c>
      <c r="H4981" s="12" t="inlineStr">
        <is>
          <t>RICE engine-generator 3</t>
        </is>
      </c>
      <c r="I4981" s="12" t="inlineStr">
        <is>
          <t>Instrumentation</t>
        </is>
      </c>
      <c r="J4981" s="12" t="inlineStr">
        <is>
          <t>RTD cable, #18 shielded triads, PLTC</t>
        </is>
      </c>
      <c r="K4981" s="12" t="inlineStr">
        <is>
          <t>RTD|12 tri|18</t>
        </is>
      </c>
      <c r="L4981" s="12" t="inlineStr">
        <is>
          <t>12 tri</t>
        </is>
      </c>
      <c r="M4981" s="12" t="inlineStr">
        <is>
          <t>18</t>
        </is>
      </c>
      <c r="N4981" s="12" t="n">
        <v>1</v>
      </c>
      <c r="O4981" s="12" t="n">
        <v>1</v>
      </c>
      <c r="P4981" s="12" t="n"/>
      <c r="Q4981" s="12" t="n"/>
      <c r="R4981" s="12" t="n"/>
      <c r="S4981" s="12" t="inlineStr">
        <is>
          <t>Duct bank</t>
        </is>
      </c>
      <c r="T4981" s="17" t="n">
        <v>550</v>
      </c>
      <c r="U4981" s="17" t="n">
        <v>81</v>
      </c>
      <c r="V4981" s="17">
        <f>ROUNDUP((T4981+U4981+2*'Read Me'!$B$13)*(1+'Read Me'!$B$12),-1)</f>
        <v/>
      </c>
      <c r="W4981" s="17">
        <f>V4981*N4981*O4981</f>
        <v/>
      </c>
      <c r="X4981" s="12">
        <f>IF(LEFT(I4981,2)="MV",2*N4981*IF(L4981="1/C",O4981,1),0)</f>
        <v/>
      </c>
      <c r="Y4981" s="12">
        <f>IF(OR(LEFT(K4981,4)="LVAX",LEFT(K4981,6)="MV15AX",LEFT(K4981,4)="CTAX",LEFT(K4981,2)="W|"),2*N4981*O4981,0)</f>
        <v/>
      </c>
      <c r="Z4981" s="12" t="inlineStr"/>
      <c r="AA4981" s="12">
        <f>N4981*O4981</f>
        <v/>
      </c>
    </row>
    <row r="4982">
      <c r="A4982" s="12" t="inlineStr">
        <is>
          <t>I-I-0372</t>
        </is>
      </c>
      <c r="B4982" s="12" t="inlineStr">
        <is>
          <t>I</t>
        </is>
      </c>
      <c r="C4982" s="12" t="inlineStr">
        <is>
          <t>Modular / portable power</t>
        </is>
      </c>
      <c r="D4982" s="12" t="inlineStr">
        <is>
          <t>Analog instrument to JB JB-RICE-4-AI01: 20 x 1 pr (field cables)</t>
        </is>
      </c>
      <c r="E4982" s="12" t="inlineStr">
        <is>
          <t>RICE-4</t>
        </is>
      </c>
      <c r="F4982" s="12" t="inlineStr">
        <is>
          <t>RICE engine-generator 4</t>
        </is>
      </c>
      <c r="G4982" s="12" t="inlineStr">
        <is>
          <t>JB-RICE-4-AI01</t>
        </is>
      </c>
      <c r="H4982" s="12" t="inlineStr">
        <is>
          <t>RICE engine-generator 4</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7" t="n">
        <v>72</v>
      </c>
      <c r="U4982" s="17" t="n">
        <v>10</v>
      </c>
      <c r="V4982" s="17">
        <f>ROUNDUP((T4982+U4982+2*'Read Me'!$B$13)*(1+'Read Me'!$B$12),-1)</f>
        <v/>
      </c>
      <c r="W4982" s="17">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I-I-0373</t>
        </is>
      </c>
      <c r="B4983" s="12" t="inlineStr">
        <is>
          <t>I</t>
        </is>
      </c>
      <c r="C4983" s="12" t="inlineStr">
        <is>
          <t>Modular / portable power</t>
        </is>
      </c>
      <c r="D4983" s="12" t="inlineStr">
        <is>
          <t>Home run JB-RICE-4-AI01 to the control / marshalling room</t>
        </is>
      </c>
      <c r="E4983" s="12" t="inlineStr"/>
      <c r="F4983" s="12" t="inlineStr">
        <is>
          <t>PCM: power control module</t>
        </is>
      </c>
      <c r="G4983" s="12" t="inlineStr">
        <is>
          <t>JB-RICE-4-AI01</t>
        </is>
      </c>
      <c r="H4983" s="12" t="inlineStr">
        <is>
          <t>RICE engine-generator 4</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7" t="n">
        <v>550</v>
      </c>
      <c r="U4983" s="17" t="n">
        <v>53</v>
      </c>
      <c r="V4983" s="17">
        <f>ROUNDUP((T4983+U4983+2*'Read Me'!$B$13)*(1+'Read Me'!$B$12),-1)</f>
        <v/>
      </c>
      <c r="W4983" s="17">
        <f>V4983*N4983*O4983</f>
        <v/>
      </c>
      <c r="X4983" s="12">
        <f>IF(LEFT(I4983,2)="MV",2*N4983*IF(L4983="1/C",O4983,1),0)</f>
        <v/>
      </c>
      <c r="Y4983" s="12">
        <f>IF(OR(LEFT(K4983,4)="LVAX",LEFT(K4983,6)="MV15AX",LEFT(K4983,4)="CTAX",LEFT(K4983,2)="W|"),2*N4983*O4983,0)</f>
        <v/>
      </c>
      <c r="Z4983" s="12" t="inlineStr"/>
      <c r="AA4983" s="12">
        <f>N4983*O4983</f>
        <v/>
      </c>
    </row>
    <row r="4984">
      <c r="A4984" s="12" t="inlineStr">
        <is>
          <t>I-I-0374</t>
        </is>
      </c>
      <c r="B4984" s="12" t="inlineStr">
        <is>
          <t>I</t>
        </is>
      </c>
      <c r="C4984" s="12" t="inlineStr">
        <is>
          <t>Modular / portable power</t>
        </is>
      </c>
      <c r="D4984" s="12" t="inlineStr">
        <is>
          <t>Analog instrument to JB JB-RICE-4-AI02: 20 x 1 pr (field cables)</t>
        </is>
      </c>
      <c r="E4984" s="12" t="inlineStr">
        <is>
          <t>RICE-4</t>
        </is>
      </c>
      <c r="F4984" s="12" t="inlineStr">
        <is>
          <t>RICE engine-generator 4</t>
        </is>
      </c>
      <c r="G4984" s="12" t="inlineStr">
        <is>
          <t>JB-RICE-4-AI02</t>
        </is>
      </c>
      <c r="H4984" s="12" t="inlineStr">
        <is>
          <t>RICE engine-generator 4</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7" t="n">
        <v>72</v>
      </c>
      <c r="U4984" s="17" t="n">
        <v>10</v>
      </c>
      <c r="V4984" s="17">
        <f>ROUNDUP((T4984+U4984+2*'Read Me'!$B$13)*(1+'Read Me'!$B$12),-1)</f>
        <v/>
      </c>
      <c r="W4984" s="17">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I-I-0375</t>
        </is>
      </c>
      <c r="B4985" s="12" t="inlineStr">
        <is>
          <t>I</t>
        </is>
      </c>
      <c r="C4985" s="12" t="inlineStr">
        <is>
          <t>Modular / portable power</t>
        </is>
      </c>
      <c r="D4985" s="12" t="inlineStr">
        <is>
          <t>Home run JB-RICE-4-AI02 to the control / marshalling room</t>
        </is>
      </c>
      <c r="E4985" s="12" t="inlineStr"/>
      <c r="F4985" s="12" t="inlineStr">
        <is>
          <t>PCM: power control module</t>
        </is>
      </c>
      <c r="G4985" s="12" t="inlineStr">
        <is>
          <t>JB-RICE-4-AI02</t>
        </is>
      </c>
      <c r="H4985" s="12" t="inlineStr">
        <is>
          <t>RICE engine-generator 4</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7" t="n">
        <v>550</v>
      </c>
      <c r="U4985" s="17" t="n">
        <v>53</v>
      </c>
      <c r="V4985" s="17">
        <f>ROUNDUP((T4985+U4985+2*'Read Me'!$B$13)*(1+'Read Me'!$B$12),-1)</f>
        <v/>
      </c>
      <c r="W4985" s="17">
        <f>V4985*N4985*O4985</f>
        <v/>
      </c>
      <c r="X4985" s="12">
        <f>IF(LEFT(I4985,2)="MV",2*N4985*IF(L4985="1/C",O4985,1),0)</f>
        <v/>
      </c>
      <c r="Y4985" s="12">
        <f>IF(OR(LEFT(K4985,4)="LVAX",LEFT(K4985,6)="MV15AX",LEFT(K4985,4)="CTAX",LEFT(K4985,2)="W|"),2*N4985*O4985,0)</f>
        <v/>
      </c>
      <c r="Z4985" s="12" t="inlineStr"/>
      <c r="AA4985" s="12">
        <f>N4985*O4985</f>
        <v/>
      </c>
    </row>
    <row r="4986">
      <c r="A4986" s="12" t="inlineStr">
        <is>
          <t>I-I-0376</t>
        </is>
      </c>
      <c r="B4986" s="12" t="inlineStr">
        <is>
          <t>I</t>
        </is>
      </c>
      <c r="C4986" s="12" t="inlineStr">
        <is>
          <t>Modular / portable power</t>
        </is>
      </c>
      <c r="D4986" s="12" t="inlineStr">
        <is>
          <t>Analog instrument to JB JB-RICE-4-AI03: 20 x 1 pr (field cables)</t>
        </is>
      </c>
      <c r="E4986" s="12" t="inlineStr">
        <is>
          <t>RICE-4</t>
        </is>
      </c>
      <c r="F4986" s="12" t="inlineStr">
        <is>
          <t>RICE engine-generator 4</t>
        </is>
      </c>
      <c r="G4986" s="12" t="inlineStr">
        <is>
          <t>JB-RICE-4-AI03</t>
        </is>
      </c>
      <c r="H4986" s="12" t="inlineStr">
        <is>
          <t>RICE engine-generator 4</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7" t="n">
        <v>72</v>
      </c>
      <c r="U4986" s="17" t="n">
        <v>10</v>
      </c>
      <c r="V4986" s="17">
        <f>ROUNDUP((T4986+U4986+2*'Read Me'!$B$13)*(1+'Read Me'!$B$12),-1)</f>
        <v/>
      </c>
      <c r="W4986" s="17">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I-I-0377</t>
        </is>
      </c>
      <c r="B4987" s="12" t="inlineStr">
        <is>
          <t>I</t>
        </is>
      </c>
      <c r="C4987" s="12" t="inlineStr">
        <is>
          <t>Modular / portable power</t>
        </is>
      </c>
      <c r="D4987" s="12" t="inlineStr">
        <is>
          <t>Home run JB-RICE-4-AI03 to the control / marshalling room</t>
        </is>
      </c>
      <c r="E4987" s="12" t="inlineStr"/>
      <c r="F4987" s="12" t="inlineStr">
        <is>
          <t>PCM: power control module</t>
        </is>
      </c>
      <c r="G4987" s="12" t="inlineStr">
        <is>
          <t>JB-RICE-4-AI03</t>
        </is>
      </c>
      <c r="H4987" s="12" t="inlineStr">
        <is>
          <t>RICE engine-generator 4</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7" t="n">
        <v>550</v>
      </c>
      <c r="U4987" s="17" t="n">
        <v>53</v>
      </c>
      <c r="V4987" s="17">
        <f>ROUNDUP((T4987+U4987+2*'Read Me'!$B$13)*(1+'Read Me'!$B$12),-1)</f>
        <v/>
      </c>
      <c r="W4987" s="17">
        <f>V4987*N4987*O4987</f>
        <v/>
      </c>
      <c r="X4987" s="12">
        <f>IF(LEFT(I4987,2)="MV",2*N4987*IF(L4987="1/C",O4987,1),0)</f>
        <v/>
      </c>
      <c r="Y4987" s="12">
        <f>IF(OR(LEFT(K4987,4)="LVAX",LEFT(K4987,6)="MV15AX",LEFT(K4987,4)="CTAX",LEFT(K4987,2)="W|"),2*N4987*O4987,0)</f>
        <v/>
      </c>
      <c r="Z4987" s="12" t="inlineStr"/>
      <c r="AA4987" s="12">
        <f>N4987*O4987</f>
        <v/>
      </c>
    </row>
    <row r="4988">
      <c r="A4988" s="12" t="inlineStr">
        <is>
          <t>I-I-0378</t>
        </is>
      </c>
      <c r="B4988" s="12" t="inlineStr">
        <is>
          <t>I</t>
        </is>
      </c>
      <c r="C4988" s="12" t="inlineStr">
        <is>
          <t>Modular / portable power</t>
        </is>
      </c>
      <c r="D4988" s="12" t="inlineStr">
        <is>
          <t>Analog instrument to JB JB-RICE-4-AI04: 20 x 1 pr (field cables)</t>
        </is>
      </c>
      <c r="E4988" s="12" t="inlineStr">
        <is>
          <t>RICE-4</t>
        </is>
      </c>
      <c r="F4988" s="12" t="inlineStr">
        <is>
          <t>RICE engine-generator 4</t>
        </is>
      </c>
      <c r="G4988" s="12" t="inlineStr">
        <is>
          <t>JB-RICE-4-AI04</t>
        </is>
      </c>
      <c r="H4988" s="12" t="inlineStr">
        <is>
          <t>RICE engine-generator 4</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7" t="n">
        <v>72</v>
      </c>
      <c r="U4988" s="17" t="n">
        <v>10</v>
      </c>
      <c r="V4988" s="17">
        <f>ROUNDUP((T4988+U4988+2*'Read Me'!$B$13)*(1+'Read Me'!$B$12),-1)</f>
        <v/>
      </c>
      <c r="W4988" s="17">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I-I-0379</t>
        </is>
      </c>
      <c r="B4989" s="12" t="inlineStr">
        <is>
          <t>I</t>
        </is>
      </c>
      <c r="C4989" s="12" t="inlineStr">
        <is>
          <t>Modular / portable power</t>
        </is>
      </c>
      <c r="D4989" s="12" t="inlineStr">
        <is>
          <t>Home run JB-RICE-4-AI04 to the control / marshalling room</t>
        </is>
      </c>
      <c r="E4989" s="12" t="inlineStr"/>
      <c r="F4989" s="12" t="inlineStr">
        <is>
          <t>PCM: power control module</t>
        </is>
      </c>
      <c r="G4989" s="12" t="inlineStr">
        <is>
          <t>JB-RICE-4-AI04</t>
        </is>
      </c>
      <c r="H4989" s="12" t="inlineStr">
        <is>
          <t>RICE engine-generator 4</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7" t="n">
        <v>550</v>
      </c>
      <c r="U4989" s="17" t="n">
        <v>53</v>
      </c>
      <c r="V4989" s="17">
        <f>ROUNDUP((T4989+U4989+2*'Read Me'!$B$13)*(1+'Read Me'!$B$12),-1)</f>
        <v/>
      </c>
      <c r="W4989" s="17">
        <f>V4989*N4989*O4989</f>
        <v/>
      </c>
      <c r="X4989" s="12">
        <f>IF(LEFT(I4989,2)="MV",2*N4989*IF(L4989="1/C",O4989,1),0)</f>
        <v/>
      </c>
      <c r="Y4989" s="12">
        <f>IF(OR(LEFT(K4989,4)="LVAX",LEFT(K4989,6)="MV15AX",LEFT(K4989,4)="CTAX",LEFT(K4989,2)="W|"),2*N4989*O4989,0)</f>
        <v/>
      </c>
      <c r="Z4989" s="12" t="inlineStr"/>
      <c r="AA4989" s="12">
        <f>N4989*O4989</f>
        <v/>
      </c>
    </row>
    <row r="4990">
      <c r="A4990" s="12" t="inlineStr">
        <is>
          <t>I-I-0380</t>
        </is>
      </c>
      <c r="B4990" s="12" t="inlineStr">
        <is>
          <t>I</t>
        </is>
      </c>
      <c r="C4990" s="12" t="inlineStr">
        <is>
          <t>Modular / portable power</t>
        </is>
      </c>
      <c r="D4990" s="12" t="inlineStr">
        <is>
          <t>Discrete device to JB JB-RICE-4-DI01: 20 x 1 pr (field cables)</t>
        </is>
      </c>
      <c r="E4990" s="12" t="inlineStr">
        <is>
          <t>RICE-4</t>
        </is>
      </c>
      <c r="F4990" s="12" t="inlineStr">
        <is>
          <t>RICE engine-generator 4</t>
        </is>
      </c>
      <c r="G4990" s="12" t="inlineStr">
        <is>
          <t>JB-RICE-4-DI01</t>
        </is>
      </c>
      <c r="H4990" s="12" t="inlineStr">
        <is>
          <t>RICE engine-generator 4</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7" t="n">
        <v>72</v>
      </c>
      <c r="U4990" s="17" t="n">
        <v>10</v>
      </c>
      <c r="V4990" s="17">
        <f>ROUNDUP((T4990+U4990+2*'Read Me'!$B$13)*(1+'Read Me'!$B$12),-1)</f>
        <v/>
      </c>
      <c r="W4990" s="17">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I-I-0381</t>
        </is>
      </c>
      <c r="B4991" s="12" t="inlineStr">
        <is>
          <t>I</t>
        </is>
      </c>
      <c r="C4991" s="12" t="inlineStr">
        <is>
          <t>Modular / portable power</t>
        </is>
      </c>
      <c r="D4991" s="12" t="inlineStr">
        <is>
          <t>Home run JB-RICE-4-DI01 to the control / marshalling room</t>
        </is>
      </c>
      <c r="E4991" s="12" t="inlineStr"/>
      <c r="F4991" s="12" t="inlineStr">
        <is>
          <t>PCM: power control module</t>
        </is>
      </c>
      <c r="G4991" s="12" t="inlineStr">
        <is>
          <t>JB-RICE-4-DI01</t>
        </is>
      </c>
      <c r="H4991" s="12" t="inlineStr">
        <is>
          <t>RICE engine-generator 4</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Duct bank</t>
        </is>
      </c>
      <c r="T4991" s="17" t="n">
        <v>550</v>
      </c>
      <c r="U4991" s="17" t="n">
        <v>53</v>
      </c>
      <c r="V4991" s="17">
        <f>ROUNDUP((T4991+U4991+2*'Read Me'!$B$13)*(1+'Read Me'!$B$12),-1)</f>
        <v/>
      </c>
      <c r="W4991" s="17">
        <f>V4991*N4991*O4991</f>
        <v/>
      </c>
      <c r="X4991" s="12">
        <f>IF(LEFT(I4991,2)="MV",2*N4991*IF(L4991="1/C",O4991,1),0)</f>
        <v/>
      </c>
      <c r="Y4991" s="12">
        <f>IF(OR(LEFT(K4991,4)="LVAX",LEFT(K4991,6)="MV15AX",LEFT(K4991,4)="CTAX",LEFT(K4991,2)="W|"),2*N4991*O4991,0)</f>
        <v/>
      </c>
      <c r="Z4991" s="12" t="inlineStr"/>
      <c r="AA4991" s="12">
        <f>N4991*O4991</f>
        <v/>
      </c>
    </row>
    <row r="4992">
      <c r="A4992" s="12" t="inlineStr">
        <is>
          <t>I-I-0382</t>
        </is>
      </c>
      <c r="B4992" s="12" t="inlineStr">
        <is>
          <t>I</t>
        </is>
      </c>
      <c r="C4992" s="12" t="inlineStr">
        <is>
          <t>Modular / portable power</t>
        </is>
      </c>
      <c r="D4992" s="12" t="inlineStr">
        <is>
          <t>Discrete device to JB JB-RICE-4-DI02: 20 x 1 pr (field cables)</t>
        </is>
      </c>
      <c r="E4992" s="12" t="inlineStr">
        <is>
          <t>RICE-4</t>
        </is>
      </c>
      <c r="F4992" s="12" t="inlineStr">
        <is>
          <t>RICE engine-generator 4</t>
        </is>
      </c>
      <c r="G4992" s="12" t="inlineStr">
        <is>
          <t>JB-RICE-4-DI02</t>
        </is>
      </c>
      <c r="H4992" s="12" t="inlineStr">
        <is>
          <t>RICE engine-generator 4</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7" t="n">
        <v>72</v>
      </c>
      <c r="U4992" s="17" t="n">
        <v>10</v>
      </c>
      <c r="V4992" s="17">
        <f>ROUNDUP((T4992+U4992+2*'Read Me'!$B$13)*(1+'Read Me'!$B$12),-1)</f>
        <v/>
      </c>
      <c r="W4992" s="17">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I-I-0383</t>
        </is>
      </c>
      <c r="B4993" s="12" t="inlineStr">
        <is>
          <t>I</t>
        </is>
      </c>
      <c r="C4993" s="12" t="inlineStr">
        <is>
          <t>Modular / portable power</t>
        </is>
      </c>
      <c r="D4993" s="12" t="inlineStr">
        <is>
          <t>Home run JB-RICE-4-DI02 to the control / marshalling room</t>
        </is>
      </c>
      <c r="E4993" s="12" t="inlineStr"/>
      <c r="F4993" s="12" t="inlineStr">
        <is>
          <t>PCM: power control module</t>
        </is>
      </c>
      <c r="G4993" s="12" t="inlineStr">
        <is>
          <t>JB-RICE-4-DI02</t>
        </is>
      </c>
      <c r="H4993" s="12" t="inlineStr">
        <is>
          <t>RICE engine-generator 4</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Duct bank</t>
        </is>
      </c>
      <c r="T4993" s="17" t="n">
        <v>550</v>
      </c>
      <c r="U4993" s="17" t="n">
        <v>53</v>
      </c>
      <c r="V4993" s="17">
        <f>ROUNDUP((T4993+U4993+2*'Read Me'!$B$13)*(1+'Read Me'!$B$12),-1)</f>
        <v/>
      </c>
      <c r="W4993" s="17">
        <f>V4993*N4993*O4993</f>
        <v/>
      </c>
      <c r="X4993" s="12">
        <f>IF(LEFT(I4993,2)="MV",2*N4993*IF(L4993="1/C",O4993,1),0)</f>
        <v/>
      </c>
      <c r="Y4993" s="12">
        <f>IF(OR(LEFT(K4993,4)="LVAX",LEFT(K4993,6)="MV15AX",LEFT(K4993,4)="CTAX",LEFT(K4993,2)="W|"),2*N4993*O4993,0)</f>
        <v/>
      </c>
      <c r="Z4993" s="12" t="inlineStr"/>
      <c r="AA4993" s="12">
        <f>N4993*O4993</f>
        <v/>
      </c>
    </row>
    <row r="4994">
      <c r="A4994" s="12" t="inlineStr">
        <is>
          <t>I-I-0384</t>
        </is>
      </c>
      <c r="B4994" s="12" t="inlineStr">
        <is>
          <t>I</t>
        </is>
      </c>
      <c r="C4994" s="12" t="inlineStr">
        <is>
          <t>Modular / portable power</t>
        </is>
      </c>
      <c r="D4994" s="12" t="inlineStr">
        <is>
          <t>Discrete device to JB JB-RICE-4-DI03: 20 x 1 pr (field cables)</t>
        </is>
      </c>
      <c r="E4994" s="12" t="inlineStr">
        <is>
          <t>RICE-4</t>
        </is>
      </c>
      <c r="F4994" s="12" t="inlineStr">
        <is>
          <t>RICE engine-generator 4</t>
        </is>
      </c>
      <c r="G4994" s="12" t="inlineStr">
        <is>
          <t>JB-RICE-4-DI03</t>
        </is>
      </c>
      <c r="H4994" s="12" t="inlineStr">
        <is>
          <t>RICE engine-generator 4</t>
        </is>
      </c>
      <c r="I4994" s="12" t="inlineStr">
        <is>
          <t>Instrumentation</t>
        </is>
      </c>
      <c r="J4994" s="12" t="inlineStr">
        <is>
          <t>Instrumentation PLTC / TC-ER 300 V, #18 twisted shielded pairs, overall shield</t>
        </is>
      </c>
      <c r="K4994" s="12" t="inlineStr">
        <is>
          <t>PLTC|1 pr|16</t>
        </is>
      </c>
      <c r="L4994" s="12" t="inlineStr">
        <is>
          <t>1 pr</t>
        </is>
      </c>
      <c r="M4994" s="12" t="inlineStr">
        <is>
          <t>16</t>
        </is>
      </c>
      <c r="N4994" s="12" t="n">
        <v>20</v>
      </c>
      <c r="O4994" s="12" t="n">
        <v>1</v>
      </c>
      <c r="P4994" s="12" t="n"/>
      <c r="Q4994" s="12" t="n"/>
      <c r="R4994" s="12" t="n"/>
      <c r="S4994" s="12" t="inlineStr">
        <is>
          <t>Tray / conduit</t>
        </is>
      </c>
      <c r="T4994" s="17" t="n">
        <v>72</v>
      </c>
      <c r="U4994" s="17" t="n">
        <v>10</v>
      </c>
      <c r="V4994" s="17">
        <f>ROUNDUP((T4994+U4994+2*'Read Me'!$B$13)*(1+'Read Me'!$B$12),-1)</f>
        <v/>
      </c>
      <c r="W4994" s="17">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I-I-0385</t>
        </is>
      </c>
      <c r="B4995" s="12" t="inlineStr">
        <is>
          <t>I</t>
        </is>
      </c>
      <c r="C4995" s="12" t="inlineStr">
        <is>
          <t>Modular / portable power</t>
        </is>
      </c>
      <c r="D4995" s="12" t="inlineStr">
        <is>
          <t>Home run JB-RICE-4-DI03 to the control / marshalling room</t>
        </is>
      </c>
      <c r="E4995" s="12" t="inlineStr"/>
      <c r="F4995" s="12" t="inlineStr">
        <is>
          <t>PCM: power control module</t>
        </is>
      </c>
      <c r="G4995" s="12" t="inlineStr">
        <is>
          <t>JB-RICE-4-DI03</t>
        </is>
      </c>
      <c r="H4995" s="12" t="inlineStr">
        <is>
          <t>RICE engine-generator 4</t>
        </is>
      </c>
      <c r="I4995" s="12" t="inlineStr">
        <is>
          <t>Instrumentation</t>
        </is>
      </c>
      <c r="J4995" s="12" t="inlineStr">
        <is>
          <t>Instrumentation PLTC / TC-ER 300 V, #18 twisted shielded pairs, overall shield</t>
        </is>
      </c>
      <c r="K4995" s="12" t="inlineStr">
        <is>
          <t>PLTC|24 pr|18</t>
        </is>
      </c>
      <c r="L4995" s="12" t="inlineStr">
        <is>
          <t>24 pr</t>
        </is>
      </c>
      <c r="M4995" s="12" t="inlineStr">
        <is>
          <t>18</t>
        </is>
      </c>
      <c r="N4995" s="12" t="n">
        <v>1</v>
      </c>
      <c r="O4995" s="12" t="n">
        <v>1</v>
      </c>
      <c r="P4995" s="12" t="n"/>
      <c r="Q4995" s="12" t="n"/>
      <c r="R4995" s="12" t="n"/>
      <c r="S4995" s="12" t="inlineStr">
        <is>
          <t>Duct bank</t>
        </is>
      </c>
      <c r="T4995" s="17" t="n">
        <v>550</v>
      </c>
      <c r="U4995" s="17" t="n">
        <v>53</v>
      </c>
      <c r="V4995" s="17">
        <f>ROUNDUP((T4995+U4995+2*'Read Me'!$B$13)*(1+'Read Me'!$B$12),-1)</f>
        <v/>
      </c>
      <c r="W4995" s="17">
        <f>V4995*N4995*O4995</f>
        <v/>
      </c>
      <c r="X4995" s="12">
        <f>IF(LEFT(I4995,2)="MV",2*N4995*IF(L4995="1/C",O4995,1),0)</f>
        <v/>
      </c>
      <c r="Y4995" s="12">
        <f>IF(OR(LEFT(K4995,4)="LVAX",LEFT(K4995,6)="MV15AX",LEFT(K4995,4)="CTAX",LEFT(K4995,2)="W|"),2*N4995*O4995,0)</f>
        <v/>
      </c>
      <c r="Z4995" s="12" t="inlineStr"/>
      <c r="AA4995" s="12">
        <f>N4995*O4995</f>
        <v/>
      </c>
    </row>
    <row r="4996">
      <c r="A4996" s="12" t="inlineStr">
        <is>
          <t>I-I-0386</t>
        </is>
      </c>
      <c r="B4996" s="12" t="inlineStr">
        <is>
          <t>I</t>
        </is>
      </c>
      <c r="C4996" s="12" t="inlineStr">
        <is>
          <t>Modular / portable power</t>
        </is>
      </c>
      <c r="D4996" s="12" t="inlineStr">
        <is>
          <t>Thermocouple to TC JB JB-RICE-4-TC01: 20 x 1 pr (field cables)</t>
        </is>
      </c>
      <c r="E4996" s="12" t="inlineStr">
        <is>
          <t>RICE-4</t>
        </is>
      </c>
      <c r="F4996" s="12" t="inlineStr">
        <is>
          <t>RICE engine-generator 4</t>
        </is>
      </c>
      <c r="G4996" s="12" t="inlineStr">
        <is>
          <t>JB-RICE-4-TC01</t>
        </is>
      </c>
      <c r="H4996" s="12" t="inlineStr">
        <is>
          <t>RICE engine-generator 4</t>
        </is>
      </c>
      <c r="I4996" s="12" t="inlineStr">
        <is>
          <t>Instrumentation</t>
        </is>
      </c>
      <c r="J4996" s="12" t="inlineStr">
        <is>
          <t>Thermocouple extension KX, #16 shielded pairs, PLTC</t>
        </is>
      </c>
      <c r="K4996" s="12" t="inlineStr">
        <is>
          <t>TCX|1 pr|16</t>
        </is>
      </c>
      <c r="L4996" s="12" t="inlineStr">
        <is>
          <t>1 pr</t>
        </is>
      </c>
      <c r="M4996" s="12" t="inlineStr">
        <is>
          <t>16</t>
        </is>
      </c>
      <c r="N4996" s="12" t="n">
        <v>20</v>
      </c>
      <c r="O4996" s="12" t="n">
        <v>1</v>
      </c>
      <c r="P4996" s="12" t="n"/>
      <c r="Q4996" s="12" t="n"/>
      <c r="R4996" s="12" t="n"/>
      <c r="S4996" s="12" t="inlineStr">
        <is>
          <t>Tray / conduit</t>
        </is>
      </c>
      <c r="T4996" s="17" t="n">
        <v>72</v>
      </c>
      <c r="U4996" s="17" t="n">
        <v>10</v>
      </c>
      <c r="V4996" s="17">
        <f>ROUNDUP((T4996+U4996+2*'Read Me'!$B$13)*(1+'Read Me'!$B$12),-1)</f>
        <v/>
      </c>
      <c r="W4996" s="17">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I-I-0387</t>
        </is>
      </c>
      <c r="B4997" s="12" t="inlineStr">
        <is>
          <t>I</t>
        </is>
      </c>
      <c r="C4997" s="12" t="inlineStr">
        <is>
          <t>Modular / portable power</t>
        </is>
      </c>
      <c r="D4997" s="12" t="inlineStr">
        <is>
          <t>Home run JB-RICE-4-TC01 to the control / marshalling room</t>
        </is>
      </c>
      <c r="E4997" s="12" t="inlineStr"/>
      <c r="F4997" s="12" t="inlineStr">
        <is>
          <t>PCM: power control module</t>
        </is>
      </c>
      <c r="G4997" s="12" t="inlineStr">
        <is>
          <t>JB-RICE-4-TC01</t>
        </is>
      </c>
      <c r="H4997" s="12" t="inlineStr">
        <is>
          <t>RICE engine-generator 4</t>
        </is>
      </c>
      <c r="I4997" s="12" t="inlineStr">
        <is>
          <t>Instrumentation</t>
        </is>
      </c>
      <c r="J4997" s="12" t="inlineStr">
        <is>
          <t>Thermocouple extension KX, #16 shielded pairs, PLTC</t>
        </is>
      </c>
      <c r="K4997" s="12" t="inlineStr">
        <is>
          <t>TCX|24 pr|16</t>
        </is>
      </c>
      <c r="L4997" s="12" t="inlineStr">
        <is>
          <t>24 pr</t>
        </is>
      </c>
      <c r="M4997" s="12" t="inlineStr">
        <is>
          <t>16</t>
        </is>
      </c>
      <c r="N4997" s="12" t="n">
        <v>1</v>
      </c>
      <c r="O4997" s="12" t="n">
        <v>1</v>
      </c>
      <c r="P4997" s="12" t="n"/>
      <c r="Q4997" s="12" t="n"/>
      <c r="R4997" s="12" t="n"/>
      <c r="S4997" s="12" t="inlineStr">
        <is>
          <t>Duct bank</t>
        </is>
      </c>
      <c r="T4997" s="17" t="n">
        <v>550</v>
      </c>
      <c r="U4997" s="17" t="n">
        <v>53</v>
      </c>
      <c r="V4997" s="17">
        <f>ROUNDUP((T4997+U4997+2*'Read Me'!$B$13)*(1+'Read Me'!$B$12),-1)</f>
        <v/>
      </c>
      <c r="W4997" s="17">
        <f>V4997*N4997*O4997</f>
        <v/>
      </c>
      <c r="X4997" s="12">
        <f>IF(LEFT(I4997,2)="MV",2*N4997*IF(L4997="1/C",O4997,1),0)</f>
        <v/>
      </c>
      <c r="Y4997" s="12">
        <f>IF(OR(LEFT(K4997,4)="LVAX",LEFT(K4997,6)="MV15AX",LEFT(K4997,4)="CTAX",LEFT(K4997,2)="W|"),2*N4997*O4997,0)</f>
        <v/>
      </c>
      <c r="Z4997" s="12" t="inlineStr"/>
      <c r="AA4997" s="12">
        <f>N4997*O4997</f>
        <v/>
      </c>
    </row>
    <row r="4998">
      <c r="A4998" s="12" t="inlineStr">
        <is>
          <t>I-I-0388</t>
        </is>
      </c>
      <c r="B4998" s="12" t="inlineStr">
        <is>
          <t>I</t>
        </is>
      </c>
      <c r="C4998" s="12" t="inlineStr">
        <is>
          <t>Modular / portable power</t>
        </is>
      </c>
      <c r="D4998" s="12" t="inlineStr">
        <is>
          <t>Thermocouple to TC JB JB-RICE-4-TC02: 10 x 1 pr (field cables)</t>
        </is>
      </c>
      <c r="E4998" s="12" t="inlineStr">
        <is>
          <t>RICE-4</t>
        </is>
      </c>
      <c r="F4998" s="12" t="inlineStr">
        <is>
          <t>RICE engine-generator 4</t>
        </is>
      </c>
      <c r="G4998" s="12" t="inlineStr">
        <is>
          <t>JB-RICE-4-TC02</t>
        </is>
      </c>
      <c r="H4998" s="12" t="inlineStr">
        <is>
          <t>RICE engine-generator 4</t>
        </is>
      </c>
      <c r="I4998" s="12" t="inlineStr">
        <is>
          <t>Instrumentation</t>
        </is>
      </c>
      <c r="J4998" s="12" t="inlineStr">
        <is>
          <t>Thermocouple extension KX, #16 shielded pairs, PLTC</t>
        </is>
      </c>
      <c r="K4998" s="12" t="inlineStr">
        <is>
          <t>TCX|1 pr|16</t>
        </is>
      </c>
      <c r="L4998" s="12" t="inlineStr">
        <is>
          <t>1 pr</t>
        </is>
      </c>
      <c r="M4998" s="12" t="inlineStr">
        <is>
          <t>16</t>
        </is>
      </c>
      <c r="N4998" s="12" t="n">
        <v>10</v>
      </c>
      <c r="O4998" s="12" t="n">
        <v>1</v>
      </c>
      <c r="P4998" s="12" t="n"/>
      <c r="Q4998" s="12" t="n"/>
      <c r="R4998" s="12" t="n"/>
      <c r="S4998" s="12" t="inlineStr">
        <is>
          <t>Tray / conduit</t>
        </is>
      </c>
      <c r="T4998" s="17" t="n">
        <v>72</v>
      </c>
      <c r="U4998" s="17" t="n">
        <v>10</v>
      </c>
      <c r="V4998" s="17">
        <f>ROUNDUP((T4998+U4998+2*'Read Me'!$B$13)*(1+'Read Me'!$B$12),-1)</f>
        <v/>
      </c>
      <c r="W4998" s="17">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I-I-0389</t>
        </is>
      </c>
      <c r="B4999" s="12" t="inlineStr">
        <is>
          <t>I</t>
        </is>
      </c>
      <c r="C4999" s="12" t="inlineStr">
        <is>
          <t>Modular / portable power</t>
        </is>
      </c>
      <c r="D4999" s="12" t="inlineStr">
        <is>
          <t>Home run JB-RICE-4-TC02 to the control / marshalling room</t>
        </is>
      </c>
      <c r="E4999" s="12" t="inlineStr"/>
      <c r="F4999" s="12" t="inlineStr">
        <is>
          <t>PCM: power control module</t>
        </is>
      </c>
      <c r="G4999" s="12" t="inlineStr">
        <is>
          <t>JB-RICE-4-TC02</t>
        </is>
      </c>
      <c r="H4999" s="12" t="inlineStr">
        <is>
          <t>RICE engine-generator 4</t>
        </is>
      </c>
      <c r="I4999" s="12" t="inlineStr">
        <is>
          <t>Instrumentation</t>
        </is>
      </c>
      <c r="J4999" s="12" t="inlineStr">
        <is>
          <t>Thermocouple extension KX, #16 shielded pairs, PLTC</t>
        </is>
      </c>
      <c r="K4999" s="12" t="inlineStr">
        <is>
          <t>TCX|24 pr|16</t>
        </is>
      </c>
      <c r="L4999" s="12" t="inlineStr">
        <is>
          <t>24 pr</t>
        </is>
      </c>
      <c r="M4999" s="12" t="inlineStr">
        <is>
          <t>16</t>
        </is>
      </c>
      <c r="N4999" s="12" t="n">
        <v>1</v>
      </c>
      <c r="O4999" s="12" t="n">
        <v>1</v>
      </c>
      <c r="P4999" s="12" t="n"/>
      <c r="Q4999" s="12" t="n"/>
      <c r="R4999" s="12" t="n"/>
      <c r="S4999" s="12" t="inlineStr">
        <is>
          <t>Duct bank</t>
        </is>
      </c>
      <c r="T4999" s="17" t="n">
        <v>550</v>
      </c>
      <c r="U4999" s="17" t="n">
        <v>53</v>
      </c>
      <c r="V4999" s="17">
        <f>ROUNDUP((T4999+U4999+2*'Read Me'!$B$13)*(1+'Read Me'!$B$12),-1)</f>
        <v/>
      </c>
      <c r="W4999" s="17">
        <f>V4999*N4999*O4999</f>
        <v/>
      </c>
      <c r="X4999" s="12">
        <f>IF(LEFT(I4999,2)="MV",2*N4999*IF(L4999="1/C",O4999,1),0)</f>
        <v/>
      </c>
      <c r="Y4999" s="12">
        <f>IF(OR(LEFT(K4999,4)="LVAX",LEFT(K4999,6)="MV15AX",LEFT(K4999,4)="CTAX",LEFT(K4999,2)="W|"),2*N4999*O4999,0)</f>
        <v/>
      </c>
      <c r="Z4999" s="12" t="inlineStr"/>
      <c r="AA4999" s="12">
        <f>N4999*O4999</f>
        <v/>
      </c>
    </row>
    <row r="5000">
      <c r="A5000" s="12" t="inlineStr">
        <is>
          <t>I-I-0390</t>
        </is>
      </c>
      <c r="B5000" s="12" t="inlineStr">
        <is>
          <t>I</t>
        </is>
      </c>
      <c r="C5000" s="12" t="inlineStr">
        <is>
          <t>Modular / portable power</t>
        </is>
      </c>
      <c r="D5000" s="12" t="inlineStr">
        <is>
          <t>RTD to JB JB-RICE-4-RTD01: 10 x 1 tri (field cables)</t>
        </is>
      </c>
      <c r="E5000" s="12" t="inlineStr">
        <is>
          <t>RICE-4</t>
        </is>
      </c>
      <c r="F5000" s="12" t="inlineStr">
        <is>
          <t>RICE engine-generator 4</t>
        </is>
      </c>
      <c r="G5000" s="12" t="inlineStr">
        <is>
          <t>JB-RICE-4-RTD01</t>
        </is>
      </c>
      <c r="H5000" s="12" t="inlineStr">
        <is>
          <t>RICE engine-generator 4</t>
        </is>
      </c>
      <c r="I5000" s="12" t="inlineStr">
        <is>
          <t>Instrumentation</t>
        </is>
      </c>
      <c r="J5000" s="12" t="inlineStr">
        <is>
          <t>RTD cable, #18 shielded triads, PLTC</t>
        </is>
      </c>
      <c r="K5000" s="12" t="inlineStr">
        <is>
          <t>RTD|1 tri|18</t>
        </is>
      </c>
      <c r="L5000" s="12" t="inlineStr">
        <is>
          <t>1 tri</t>
        </is>
      </c>
      <c r="M5000" s="12" t="inlineStr">
        <is>
          <t>18</t>
        </is>
      </c>
      <c r="N5000" s="12" t="n">
        <v>10</v>
      </c>
      <c r="O5000" s="12" t="n">
        <v>1</v>
      </c>
      <c r="P5000" s="12" t="n"/>
      <c r="Q5000" s="12" t="n"/>
      <c r="R5000" s="12" t="n"/>
      <c r="S5000" s="12" t="inlineStr">
        <is>
          <t>Tray / conduit</t>
        </is>
      </c>
      <c r="T5000" s="17" t="n">
        <v>72</v>
      </c>
      <c r="U5000" s="17" t="n">
        <v>10</v>
      </c>
      <c r="V5000" s="17">
        <f>ROUNDUP((T5000+U5000+2*'Read Me'!$B$13)*(1+'Read Me'!$B$12),-1)</f>
        <v/>
      </c>
      <c r="W5000" s="17">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I-I-0391</t>
        </is>
      </c>
      <c r="B5001" s="12" t="inlineStr">
        <is>
          <t>I</t>
        </is>
      </c>
      <c r="C5001" s="12" t="inlineStr">
        <is>
          <t>Modular / portable power</t>
        </is>
      </c>
      <c r="D5001" s="12" t="inlineStr">
        <is>
          <t>Home run JB-RICE-4-RTD01 to the control / marshalling room</t>
        </is>
      </c>
      <c r="E5001" s="12" t="inlineStr"/>
      <c r="F5001" s="12" t="inlineStr">
        <is>
          <t>PCM: power control module</t>
        </is>
      </c>
      <c r="G5001" s="12" t="inlineStr">
        <is>
          <t>JB-RICE-4-RTD01</t>
        </is>
      </c>
      <c r="H5001" s="12" t="inlineStr">
        <is>
          <t>RICE engine-generator 4</t>
        </is>
      </c>
      <c r="I5001" s="12" t="inlineStr">
        <is>
          <t>Instrumentation</t>
        </is>
      </c>
      <c r="J5001" s="12" t="inlineStr">
        <is>
          <t>RTD cable, #18 shielded triads, PLTC</t>
        </is>
      </c>
      <c r="K5001" s="12" t="inlineStr">
        <is>
          <t>RTD|12 tri|18</t>
        </is>
      </c>
      <c r="L5001" s="12" t="inlineStr">
        <is>
          <t>12 tri</t>
        </is>
      </c>
      <c r="M5001" s="12" t="inlineStr">
        <is>
          <t>18</t>
        </is>
      </c>
      <c r="N5001" s="12" t="n">
        <v>1</v>
      </c>
      <c r="O5001" s="12" t="n">
        <v>1</v>
      </c>
      <c r="P5001" s="12" t="n"/>
      <c r="Q5001" s="12" t="n"/>
      <c r="R5001" s="12" t="n"/>
      <c r="S5001" s="12" t="inlineStr">
        <is>
          <t>Duct bank</t>
        </is>
      </c>
      <c r="T5001" s="17" t="n">
        <v>550</v>
      </c>
      <c r="U5001" s="17" t="n">
        <v>53</v>
      </c>
      <c r="V5001" s="17">
        <f>ROUNDUP((T5001+U5001+2*'Read Me'!$B$13)*(1+'Read Me'!$B$12),-1)</f>
        <v/>
      </c>
      <c r="W5001" s="17">
        <f>V5001*N5001*O5001</f>
        <v/>
      </c>
      <c r="X5001" s="12">
        <f>IF(LEFT(I5001,2)="MV",2*N5001*IF(L5001="1/C",O5001,1),0)</f>
        <v/>
      </c>
      <c r="Y5001" s="12">
        <f>IF(OR(LEFT(K5001,4)="LVAX",LEFT(K5001,6)="MV15AX",LEFT(K5001,4)="CTAX",LEFT(K5001,2)="W|"),2*N5001*O5001,0)</f>
        <v/>
      </c>
      <c r="Z5001" s="12" t="inlineStr"/>
      <c r="AA5001" s="12">
        <f>N5001*O5001</f>
        <v/>
      </c>
    </row>
    <row r="5002">
      <c r="A5002" s="12" t="inlineStr">
        <is>
          <t>I-I-0392</t>
        </is>
      </c>
      <c r="B5002" s="12" t="inlineStr">
        <is>
          <t>I</t>
        </is>
      </c>
      <c r="C5002" s="12" t="inlineStr">
        <is>
          <t>Modular / portable power</t>
        </is>
      </c>
      <c r="D5002" s="12" t="inlineStr">
        <is>
          <t>RTD to JB JB-RICE-4-RTD02: 2 x 1 tri (field cables)</t>
        </is>
      </c>
      <c r="E5002" s="12" t="inlineStr">
        <is>
          <t>RICE-4</t>
        </is>
      </c>
      <c r="F5002" s="12" t="inlineStr">
        <is>
          <t>RICE engine-generator 4</t>
        </is>
      </c>
      <c r="G5002" s="12" t="inlineStr">
        <is>
          <t>JB-RICE-4-RTD02</t>
        </is>
      </c>
      <c r="H5002" s="12" t="inlineStr">
        <is>
          <t>RICE engine-generator 4</t>
        </is>
      </c>
      <c r="I5002" s="12" t="inlineStr">
        <is>
          <t>Instrumentation</t>
        </is>
      </c>
      <c r="J5002" s="12" t="inlineStr">
        <is>
          <t>RTD cable, #18 shielded triads, PLTC</t>
        </is>
      </c>
      <c r="K5002" s="12" t="inlineStr">
        <is>
          <t>RTD|1 tri|18</t>
        </is>
      </c>
      <c r="L5002" s="12" t="inlineStr">
        <is>
          <t>1 tri</t>
        </is>
      </c>
      <c r="M5002" s="12" t="inlineStr">
        <is>
          <t>18</t>
        </is>
      </c>
      <c r="N5002" s="12" t="n">
        <v>2</v>
      </c>
      <c r="O5002" s="12" t="n">
        <v>1</v>
      </c>
      <c r="P5002" s="12" t="n"/>
      <c r="Q5002" s="12" t="n"/>
      <c r="R5002" s="12" t="n"/>
      <c r="S5002" s="12" t="inlineStr">
        <is>
          <t>Tray / conduit</t>
        </is>
      </c>
      <c r="T5002" s="17" t="n">
        <v>72</v>
      </c>
      <c r="U5002" s="17" t="n">
        <v>10</v>
      </c>
      <c r="V5002" s="17">
        <f>ROUNDUP((T5002+U5002+2*'Read Me'!$B$13)*(1+'Read Me'!$B$12),-1)</f>
        <v/>
      </c>
      <c r="W5002" s="17">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I-I-0393</t>
        </is>
      </c>
      <c r="B5003" s="12" t="inlineStr">
        <is>
          <t>I</t>
        </is>
      </c>
      <c r="C5003" s="12" t="inlineStr">
        <is>
          <t>Modular / portable power</t>
        </is>
      </c>
      <c r="D5003" s="12" t="inlineStr">
        <is>
          <t>Home run JB-RICE-4-RTD02 to the control / marshalling room</t>
        </is>
      </c>
      <c r="E5003" s="12" t="inlineStr"/>
      <c r="F5003" s="12" t="inlineStr">
        <is>
          <t>PCM: power control module</t>
        </is>
      </c>
      <c r="G5003" s="12" t="inlineStr">
        <is>
          <t>JB-RICE-4-RTD02</t>
        </is>
      </c>
      <c r="H5003" s="12" t="inlineStr">
        <is>
          <t>RICE engine-generator 4</t>
        </is>
      </c>
      <c r="I5003" s="12" t="inlineStr">
        <is>
          <t>Instrumentation</t>
        </is>
      </c>
      <c r="J5003" s="12" t="inlineStr">
        <is>
          <t>RTD cable, #18 shielded triads, PLTC</t>
        </is>
      </c>
      <c r="K5003" s="12" t="inlineStr">
        <is>
          <t>RTD|12 tri|18</t>
        </is>
      </c>
      <c r="L5003" s="12" t="inlineStr">
        <is>
          <t>12 tri</t>
        </is>
      </c>
      <c r="M5003" s="12" t="inlineStr">
        <is>
          <t>18</t>
        </is>
      </c>
      <c r="N5003" s="12" t="n">
        <v>1</v>
      </c>
      <c r="O5003" s="12" t="n">
        <v>1</v>
      </c>
      <c r="P5003" s="12" t="n"/>
      <c r="Q5003" s="12" t="n"/>
      <c r="R5003" s="12" t="n"/>
      <c r="S5003" s="12" t="inlineStr">
        <is>
          <t>Duct bank</t>
        </is>
      </c>
      <c r="T5003" s="17" t="n">
        <v>550</v>
      </c>
      <c r="U5003" s="17" t="n">
        <v>53</v>
      </c>
      <c r="V5003" s="17">
        <f>ROUNDUP((T5003+U5003+2*'Read Me'!$B$13)*(1+'Read Me'!$B$12),-1)</f>
        <v/>
      </c>
      <c r="W5003" s="17">
        <f>V5003*N5003*O5003</f>
        <v/>
      </c>
      <c r="X5003" s="12">
        <f>IF(LEFT(I5003,2)="MV",2*N5003*IF(L5003="1/C",O5003,1),0)</f>
        <v/>
      </c>
      <c r="Y5003" s="12">
        <f>IF(OR(LEFT(K5003,4)="LVAX",LEFT(K5003,6)="MV15AX",LEFT(K5003,4)="CTAX",LEFT(K5003,2)="W|"),2*N5003*O5003,0)</f>
        <v/>
      </c>
      <c r="Z5003" s="12" t="inlineStr"/>
      <c r="AA5003" s="12">
        <f>N5003*O5003</f>
        <v/>
      </c>
    </row>
    <row r="5004">
      <c r="A5004" s="12" t="inlineStr">
        <is>
          <t>I-I-0394</t>
        </is>
      </c>
      <c r="B5004" s="12" t="inlineStr">
        <is>
          <t>I</t>
        </is>
      </c>
      <c r="C5004" s="12" t="inlineStr">
        <is>
          <t>Modular / portable power</t>
        </is>
      </c>
      <c r="D5004" s="12" t="inlineStr">
        <is>
          <t>Analog instrument to JB JB-RICE-5-AI01: 20 x 1 pr (field cables)</t>
        </is>
      </c>
      <c r="E5004" s="12" t="inlineStr">
        <is>
          <t>RICE-5</t>
        </is>
      </c>
      <c r="F5004" s="12" t="inlineStr">
        <is>
          <t>RICE engine-generator 5</t>
        </is>
      </c>
      <c r="G5004" s="12" t="inlineStr">
        <is>
          <t>JB-RICE-5-AI01</t>
        </is>
      </c>
      <c r="H5004" s="12" t="inlineStr">
        <is>
          <t>RICE engine-generator 5</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20</v>
      </c>
      <c r="O5004" s="12" t="n">
        <v>1</v>
      </c>
      <c r="P5004" s="12" t="n"/>
      <c r="Q5004" s="12" t="n"/>
      <c r="R5004" s="12" t="n"/>
      <c r="S5004" s="12" t="inlineStr">
        <is>
          <t>Tray / conduit</t>
        </is>
      </c>
      <c r="T5004" s="17" t="n">
        <v>72</v>
      </c>
      <c r="U5004" s="17" t="n">
        <v>10</v>
      </c>
      <c r="V5004" s="17">
        <f>ROUNDUP((T5004+U5004+2*'Read Me'!$B$13)*(1+'Read Me'!$B$12),-1)</f>
        <v/>
      </c>
      <c r="W5004" s="17">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I-I-0395</t>
        </is>
      </c>
      <c r="B5005" s="12" t="inlineStr">
        <is>
          <t>I</t>
        </is>
      </c>
      <c r="C5005" s="12" t="inlineStr">
        <is>
          <t>Modular / portable power</t>
        </is>
      </c>
      <c r="D5005" s="12" t="inlineStr">
        <is>
          <t>Home run JB-RICE-5-AI01 to the control / marshalling room</t>
        </is>
      </c>
      <c r="E5005" s="12" t="inlineStr"/>
      <c r="F5005" s="12" t="inlineStr">
        <is>
          <t>PCM: power control module</t>
        </is>
      </c>
      <c r="G5005" s="12" t="inlineStr">
        <is>
          <t>JB-RICE-5-AI01</t>
        </is>
      </c>
      <c r="H5005" s="12" t="inlineStr">
        <is>
          <t>RICE engine-generator 5</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7" t="n">
        <v>367</v>
      </c>
      <c r="U5005" s="17" t="n">
        <v>208</v>
      </c>
      <c r="V5005" s="17">
        <f>ROUNDUP((T5005+U5005+2*'Read Me'!$B$13)*(1+'Read Me'!$B$12),-1)</f>
        <v/>
      </c>
      <c r="W5005" s="17">
        <f>V5005*N5005*O5005</f>
        <v/>
      </c>
      <c r="X5005" s="12">
        <f>IF(LEFT(I5005,2)="MV",2*N5005*IF(L5005="1/C",O5005,1),0)</f>
        <v/>
      </c>
      <c r="Y5005" s="12">
        <f>IF(OR(LEFT(K5005,4)="LVAX",LEFT(K5005,6)="MV15AX",LEFT(K5005,4)="CTAX",LEFT(K5005,2)="W|"),2*N5005*O5005,0)</f>
        <v/>
      </c>
      <c r="Z5005" s="12" t="inlineStr"/>
      <c r="AA5005" s="12">
        <f>N5005*O5005</f>
        <v/>
      </c>
    </row>
    <row r="5006">
      <c r="A5006" s="12" t="inlineStr">
        <is>
          <t>I-I-0396</t>
        </is>
      </c>
      <c r="B5006" s="12" t="inlineStr">
        <is>
          <t>I</t>
        </is>
      </c>
      <c r="C5006" s="12" t="inlineStr">
        <is>
          <t>Modular / portable power</t>
        </is>
      </c>
      <c r="D5006" s="12" t="inlineStr">
        <is>
          <t>Analog instrument to JB JB-RICE-5-AI02: 20 x 1 pr (field cables)</t>
        </is>
      </c>
      <c r="E5006" s="12" t="inlineStr">
        <is>
          <t>RICE-5</t>
        </is>
      </c>
      <c r="F5006" s="12" t="inlineStr">
        <is>
          <t>RICE engine-generator 5</t>
        </is>
      </c>
      <c r="G5006" s="12" t="inlineStr">
        <is>
          <t>JB-RICE-5-AI02</t>
        </is>
      </c>
      <c r="H5006" s="12" t="inlineStr">
        <is>
          <t>RICE engine-generator 5</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20</v>
      </c>
      <c r="O5006" s="12" t="n">
        <v>1</v>
      </c>
      <c r="P5006" s="12" t="n"/>
      <c r="Q5006" s="12" t="n"/>
      <c r="R5006" s="12" t="n"/>
      <c r="S5006" s="12" t="inlineStr">
        <is>
          <t>Tray / conduit</t>
        </is>
      </c>
      <c r="T5006" s="17" t="n">
        <v>72</v>
      </c>
      <c r="U5006" s="17" t="n">
        <v>10</v>
      </c>
      <c r="V5006" s="17">
        <f>ROUNDUP((T5006+U5006+2*'Read Me'!$B$13)*(1+'Read Me'!$B$12),-1)</f>
        <v/>
      </c>
      <c r="W5006" s="17">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I-I-0397</t>
        </is>
      </c>
      <c r="B5007" s="12" t="inlineStr">
        <is>
          <t>I</t>
        </is>
      </c>
      <c r="C5007" s="12" t="inlineStr">
        <is>
          <t>Modular / portable power</t>
        </is>
      </c>
      <c r="D5007" s="12" t="inlineStr">
        <is>
          <t>Home run JB-RICE-5-AI02 to the control / marshalling room</t>
        </is>
      </c>
      <c r="E5007" s="12" t="inlineStr"/>
      <c r="F5007" s="12" t="inlineStr">
        <is>
          <t>PCM: power control module</t>
        </is>
      </c>
      <c r="G5007" s="12" t="inlineStr">
        <is>
          <t>JB-RICE-5-AI02</t>
        </is>
      </c>
      <c r="H5007" s="12" t="inlineStr">
        <is>
          <t>RICE engine-generator 5</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7" t="n">
        <v>367</v>
      </c>
      <c r="U5007" s="17" t="n">
        <v>208</v>
      </c>
      <c r="V5007" s="17">
        <f>ROUNDUP((T5007+U5007+2*'Read Me'!$B$13)*(1+'Read Me'!$B$12),-1)</f>
        <v/>
      </c>
      <c r="W5007" s="17">
        <f>V5007*N5007*O5007</f>
        <v/>
      </c>
      <c r="X5007" s="12">
        <f>IF(LEFT(I5007,2)="MV",2*N5007*IF(L5007="1/C",O5007,1),0)</f>
        <v/>
      </c>
      <c r="Y5007" s="12">
        <f>IF(OR(LEFT(K5007,4)="LVAX",LEFT(K5007,6)="MV15AX",LEFT(K5007,4)="CTAX",LEFT(K5007,2)="W|"),2*N5007*O5007,0)</f>
        <v/>
      </c>
      <c r="Z5007" s="12" t="inlineStr"/>
      <c r="AA5007" s="12">
        <f>N5007*O5007</f>
        <v/>
      </c>
    </row>
    <row r="5008">
      <c r="A5008" s="12" t="inlineStr">
        <is>
          <t>I-I-0398</t>
        </is>
      </c>
      <c r="B5008" s="12" t="inlineStr">
        <is>
          <t>I</t>
        </is>
      </c>
      <c r="C5008" s="12" t="inlineStr">
        <is>
          <t>Modular / portable power</t>
        </is>
      </c>
      <c r="D5008" s="12" t="inlineStr">
        <is>
          <t>Analog instrument to JB JB-RICE-5-AI03: 20 x 1 pr (field cables)</t>
        </is>
      </c>
      <c r="E5008" s="12" t="inlineStr">
        <is>
          <t>RICE-5</t>
        </is>
      </c>
      <c r="F5008" s="12" t="inlineStr">
        <is>
          <t>RICE engine-generator 5</t>
        </is>
      </c>
      <c r="G5008" s="12" t="inlineStr">
        <is>
          <t>JB-RICE-5-AI03</t>
        </is>
      </c>
      <c r="H5008" s="12" t="inlineStr">
        <is>
          <t>RICE engine-generator 5</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20</v>
      </c>
      <c r="O5008" s="12" t="n">
        <v>1</v>
      </c>
      <c r="P5008" s="12" t="n"/>
      <c r="Q5008" s="12" t="n"/>
      <c r="R5008" s="12" t="n"/>
      <c r="S5008" s="12" t="inlineStr">
        <is>
          <t>Tray / conduit</t>
        </is>
      </c>
      <c r="T5008" s="17" t="n">
        <v>72</v>
      </c>
      <c r="U5008" s="17" t="n">
        <v>10</v>
      </c>
      <c r="V5008" s="17">
        <f>ROUNDUP((T5008+U5008+2*'Read Me'!$B$13)*(1+'Read Me'!$B$12),-1)</f>
        <v/>
      </c>
      <c r="W5008" s="17">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I-I-0399</t>
        </is>
      </c>
      <c r="B5009" s="12" t="inlineStr">
        <is>
          <t>I</t>
        </is>
      </c>
      <c r="C5009" s="12" t="inlineStr">
        <is>
          <t>Modular / portable power</t>
        </is>
      </c>
      <c r="D5009" s="12" t="inlineStr">
        <is>
          <t>Home run JB-RICE-5-AI03 to the control / marshalling room</t>
        </is>
      </c>
      <c r="E5009" s="12" t="inlineStr"/>
      <c r="F5009" s="12" t="inlineStr">
        <is>
          <t>PCM: power control module</t>
        </is>
      </c>
      <c r="G5009" s="12" t="inlineStr">
        <is>
          <t>JB-RICE-5-AI03</t>
        </is>
      </c>
      <c r="H5009" s="12" t="inlineStr">
        <is>
          <t>RICE engine-generator 5</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7" t="n">
        <v>367</v>
      </c>
      <c r="U5009" s="17" t="n">
        <v>208</v>
      </c>
      <c r="V5009" s="17">
        <f>ROUNDUP((T5009+U5009+2*'Read Me'!$B$13)*(1+'Read Me'!$B$12),-1)</f>
        <v/>
      </c>
      <c r="W5009" s="17">
        <f>V5009*N5009*O5009</f>
        <v/>
      </c>
      <c r="X5009" s="12">
        <f>IF(LEFT(I5009,2)="MV",2*N5009*IF(L5009="1/C",O5009,1),0)</f>
        <v/>
      </c>
      <c r="Y5009" s="12">
        <f>IF(OR(LEFT(K5009,4)="LVAX",LEFT(K5009,6)="MV15AX",LEFT(K5009,4)="CTAX",LEFT(K5009,2)="W|"),2*N5009*O5009,0)</f>
        <v/>
      </c>
      <c r="Z5009" s="12" t="inlineStr"/>
      <c r="AA5009" s="12">
        <f>N5009*O5009</f>
        <v/>
      </c>
    </row>
    <row r="5010">
      <c r="A5010" s="12" t="inlineStr">
        <is>
          <t>I-I-0400</t>
        </is>
      </c>
      <c r="B5010" s="12" t="inlineStr">
        <is>
          <t>I</t>
        </is>
      </c>
      <c r="C5010" s="12" t="inlineStr">
        <is>
          <t>Modular / portable power</t>
        </is>
      </c>
      <c r="D5010" s="12" t="inlineStr">
        <is>
          <t>Analog instrument to JB JB-RICE-5-AI04: 20 x 1 pr (field cables)</t>
        </is>
      </c>
      <c r="E5010" s="12" t="inlineStr">
        <is>
          <t>RICE-5</t>
        </is>
      </c>
      <c r="F5010" s="12" t="inlineStr">
        <is>
          <t>RICE engine-generator 5</t>
        </is>
      </c>
      <c r="G5010" s="12" t="inlineStr">
        <is>
          <t>JB-RICE-5-AI04</t>
        </is>
      </c>
      <c r="H5010" s="12" t="inlineStr">
        <is>
          <t>RICE engine-generator 5</t>
        </is>
      </c>
      <c r="I5010" s="12" t="inlineStr">
        <is>
          <t>Instrumentation</t>
        </is>
      </c>
      <c r="J5010" s="12" t="inlineStr">
        <is>
          <t>Instrumentation PLTC / TC-ER 300 V, #18 twisted shielded pairs, overall shield</t>
        </is>
      </c>
      <c r="K5010" s="12" t="inlineStr">
        <is>
          <t>PLTC|1 pr|16</t>
        </is>
      </c>
      <c r="L5010" s="12" t="inlineStr">
        <is>
          <t>1 pr</t>
        </is>
      </c>
      <c r="M5010" s="12" t="inlineStr">
        <is>
          <t>16</t>
        </is>
      </c>
      <c r="N5010" s="12" t="n">
        <v>20</v>
      </c>
      <c r="O5010" s="12" t="n">
        <v>1</v>
      </c>
      <c r="P5010" s="12" t="n"/>
      <c r="Q5010" s="12" t="n"/>
      <c r="R5010" s="12" t="n"/>
      <c r="S5010" s="12" t="inlineStr">
        <is>
          <t>Tray / conduit</t>
        </is>
      </c>
      <c r="T5010" s="17" t="n">
        <v>72</v>
      </c>
      <c r="U5010" s="17" t="n">
        <v>10</v>
      </c>
      <c r="V5010" s="17">
        <f>ROUNDUP((T5010+U5010+2*'Read Me'!$B$13)*(1+'Read Me'!$B$12),-1)</f>
        <v/>
      </c>
      <c r="W5010" s="17">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I-I-0401</t>
        </is>
      </c>
      <c r="B5011" s="12" t="inlineStr">
        <is>
          <t>I</t>
        </is>
      </c>
      <c r="C5011" s="12" t="inlineStr">
        <is>
          <t>Modular / portable power</t>
        </is>
      </c>
      <c r="D5011" s="12" t="inlineStr">
        <is>
          <t>Home run JB-RICE-5-AI04 to the control / marshalling room</t>
        </is>
      </c>
      <c r="E5011" s="12" t="inlineStr"/>
      <c r="F5011" s="12" t="inlineStr">
        <is>
          <t>PCM: power control module</t>
        </is>
      </c>
      <c r="G5011" s="12" t="inlineStr">
        <is>
          <t>JB-RICE-5-AI04</t>
        </is>
      </c>
      <c r="H5011" s="12" t="inlineStr">
        <is>
          <t>RICE engine-generator 5</t>
        </is>
      </c>
      <c r="I5011" s="12" t="inlineStr">
        <is>
          <t>Instrumentation</t>
        </is>
      </c>
      <c r="J5011" s="12" t="inlineStr">
        <is>
          <t>Instrumentation PLTC / TC-ER 300 V, #18 twisted shielded pairs, overall shield</t>
        </is>
      </c>
      <c r="K5011" s="12" t="inlineStr">
        <is>
          <t>PLTC|24 pr|18</t>
        </is>
      </c>
      <c r="L5011" s="12" t="inlineStr">
        <is>
          <t>24 pr</t>
        </is>
      </c>
      <c r="M5011" s="12" t="inlineStr">
        <is>
          <t>18</t>
        </is>
      </c>
      <c r="N5011" s="12" t="n">
        <v>1</v>
      </c>
      <c r="O5011" s="12" t="n">
        <v>1</v>
      </c>
      <c r="P5011" s="12" t="n"/>
      <c r="Q5011" s="12" t="n"/>
      <c r="R5011" s="12" t="n"/>
      <c r="S5011" s="12" t="inlineStr">
        <is>
          <t>Duct bank</t>
        </is>
      </c>
      <c r="T5011" s="17" t="n">
        <v>367</v>
      </c>
      <c r="U5011" s="17" t="n">
        <v>208</v>
      </c>
      <c r="V5011" s="17">
        <f>ROUNDUP((T5011+U5011+2*'Read Me'!$B$13)*(1+'Read Me'!$B$12),-1)</f>
        <v/>
      </c>
      <c r="W5011" s="17">
        <f>V5011*N5011*O5011</f>
        <v/>
      </c>
      <c r="X5011" s="12">
        <f>IF(LEFT(I5011,2)="MV",2*N5011*IF(L5011="1/C",O5011,1),0)</f>
        <v/>
      </c>
      <c r="Y5011" s="12">
        <f>IF(OR(LEFT(K5011,4)="LVAX",LEFT(K5011,6)="MV15AX",LEFT(K5011,4)="CTAX",LEFT(K5011,2)="W|"),2*N5011*O5011,0)</f>
        <v/>
      </c>
      <c r="Z5011" s="12" t="inlineStr"/>
      <c r="AA5011" s="12">
        <f>N5011*O5011</f>
        <v/>
      </c>
    </row>
    <row r="5012">
      <c r="A5012" s="12" t="inlineStr">
        <is>
          <t>I-I-0402</t>
        </is>
      </c>
      <c r="B5012" s="12" t="inlineStr">
        <is>
          <t>I</t>
        </is>
      </c>
      <c r="C5012" s="12" t="inlineStr">
        <is>
          <t>Modular / portable power</t>
        </is>
      </c>
      <c r="D5012" s="12" t="inlineStr">
        <is>
          <t>Discrete device to JB JB-RICE-5-DI01: 20 x 1 pr (field cables)</t>
        </is>
      </c>
      <c r="E5012" s="12" t="inlineStr">
        <is>
          <t>RICE-5</t>
        </is>
      </c>
      <c r="F5012" s="12" t="inlineStr">
        <is>
          <t>RICE engine-generator 5</t>
        </is>
      </c>
      <c r="G5012" s="12" t="inlineStr">
        <is>
          <t>JB-RICE-5-DI01</t>
        </is>
      </c>
      <c r="H5012" s="12" t="inlineStr">
        <is>
          <t>RICE engine-generator 5</t>
        </is>
      </c>
      <c r="I5012" s="12" t="inlineStr">
        <is>
          <t>Instrumentation</t>
        </is>
      </c>
      <c r="J5012" s="12" t="inlineStr">
        <is>
          <t>Instrumentation PLTC / TC-ER 300 V, #18 twisted shielded pairs, overall shield</t>
        </is>
      </c>
      <c r="K5012" s="12" t="inlineStr">
        <is>
          <t>PLTC|1 pr|16</t>
        </is>
      </c>
      <c r="L5012" s="12" t="inlineStr">
        <is>
          <t>1 pr</t>
        </is>
      </c>
      <c r="M5012" s="12" t="inlineStr">
        <is>
          <t>16</t>
        </is>
      </c>
      <c r="N5012" s="12" t="n">
        <v>20</v>
      </c>
      <c r="O5012" s="12" t="n">
        <v>1</v>
      </c>
      <c r="P5012" s="12" t="n"/>
      <c r="Q5012" s="12" t="n"/>
      <c r="R5012" s="12" t="n"/>
      <c r="S5012" s="12" t="inlineStr">
        <is>
          <t>Tray / conduit</t>
        </is>
      </c>
      <c r="T5012" s="17" t="n">
        <v>72</v>
      </c>
      <c r="U5012" s="17" t="n">
        <v>10</v>
      </c>
      <c r="V5012" s="17">
        <f>ROUNDUP((T5012+U5012+2*'Read Me'!$B$13)*(1+'Read Me'!$B$12),-1)</f>
        <v/>
      </c>
      <c r="W5012" s="17">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I-I-0403</t>
        </is>
      </c>
      <c r="B5013" s="12" t="inlineStr">
        <is>
          <t>I</t>
        </is>
      </c>
      <c r="C5013" s="12" t="inlineStr">
        <is>
          <t>Modular / portable power</t>
        </is>
      </c>
      <c r="D5013" s="12" t="inlineStr">
        <is>
          <t>Home run JB-RICE-5-DI01 to the control / marshalling room</t>
        </is>
      </c>
      <c r="E5013" s="12" t="inlineStr"/>
      <c r="F5013" s="12" t="inlineStr">
        <is>
          <t>PCM: power control module</t>
        </is>
      </c>
      <c r="G5013" s="12" t="inlineStr">
        <is>
          <t>JB-RICE-5-DI01</t>
        </is>
      </c>
      <c r="H5013" s="12" t="inlineStr">
        <is>
          <t>RICE engine-generator 5</t>
        </is>
      </c>
      <c r="I5013" s="12" t="inlineStr">
        <is>
          <t>Instrumentation</t>
        </is>
      </c>
      <c r="J5013" s="12" t="inlineStr">
        <is>
          <t>Instrumentation PLTC / TC-ER 300 V, #18 twisted shielded pairs, overall shield</t>
        </is>
      </c>
      <c r="K5013" s="12" t="inlineStr">
        <is>
          <t>PLTC|24 pr|18</t>
        </is>
      </c>
      <c r="L5013" s="12" t="inlineStr">
        <is>
          <t>24 pr</t>
        </is>
      </c>
      <c r="M5013" s="12" t="inlineStr">
        <is>
          <t>18</t>
        </is>
      </c>
      <c r="N5013" s="12" t="n">
        <v>1</v>
      </c>
      <c r="O5013" s="12" t="n">
        <v>1</v>
      </c>
      <c r="P5013" s="12" t="n"/>
      <c r="Q5013" s="12" t="n"/>
      <c r="R5013" s="12" t="n"/>
      <c r="S5013" s="12" t="inlineStr">
        <is>
          <t>Duct bank</t>
        </is>
      </c>
      <c r="T5013" s="17" t="n">
        <v>367</v>
      </c>
      <c r="U5013" s="17" t="n">
        <v>208</v>
      </c>
      <c r="V5013" s="17">
        <f>ROUNDUP((T5013+U5013+2*'Read Me'!$B$13)*(1+'Read Me'!$B$12),-1)</f>
        <v/>
      </c>
      <c r="W5013" s="17">
        <f>V5013*N5013*O5013</f>
        <v/>
      </c>
      <c r="X5013" s="12">
        <f>IF(LEFT(I5013,2)="MV",2*N5013*IF(L5013="1/C",O5013,1),0)</f>
        <v/>
      </c>
      <c r="Y5013" s="12">
        <f>IF(OR(LEFT(K5013,4)="LVAX",LEFT(K5013,6)="MV15AX",LEFT(K5013,4)="CTAX",LEFT(K5013,2)="W|"),2*N5013*O5013,0)</f>
        <v/>
      </c>
      <c r="Z5013" s="12" t="inlineStr"/>
      <c r="AA5013" s="12">
        <f>N5013*O5013</f>
        <v/>
      </c>
    </row>
    <row r="5014">
      <c r="A5014" s="12" t="inlineStr">
        <is>
          <t>I-I-0404</t>
        </is>
      </c>
      <c r="B5014" s="12" t="inlineStr">
        <is>
          <t>I</t>
        </is>
      </c>
      <c r="C5014" s="12" t="inlineStr">
        <is>
          <t>Modular / portable power</t>
        </is>
      </c>
      <c r="D5014" s="12" t="inlineStr">
        <is>
          <t>Discrete device to JB JB-RICE-5-DI02: 20 x 1 pr (field cables)</t>
        </is>
      </c>
      <c r="E5014" s="12" t="inlineStr">
        <is>
          <t>RICE-5</t>
        </is>
      </c>
      <c r="F5014" s="12" t="inlineStr">
        <is>
          <t>RICE engine-generator 5</t>
        </is>
      </c>
      <c r="G5014" s="12" t="inlineStr">
        <is>
          <t>JB-RICE-5-DI02</t>
        </is>
      </c>
      <c r="H5014" s="12" t="inlineStr">
        <is>
          <t>RICE engine-generator 5</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20</v>
      </c>
      <c r="O5014" s="12" t="n">
        <v>1</v>
      </c>
      <c r="P5014" s="12" t="n"/>
      <c r="Q5014" s="12" t="n"/>
      <c r="R5014" s="12" t="n"/>
      <c r="S5014" s="12" t="inlineStr">
        <is>
          <t>Tray / conduit</t>
        </is>
      </c>
      <c r="T5014" s="17" t="n">
        <v>72</v>
      </c>
      <c r="U5014" s="17" t="n">
        <v>10</v>
      </c>
      <c r="V5014" s="17">
        <f>ROUNDUP((T5014+U5014+2*'Read Me'!$B$13)*(1+'Read Me'!$B$12),-1)</f>
        <v/>
      </c>
      <c r="W5014" s="17">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I-I-0405</t>
        </is>
      </c>
      <c r="B5015" s="12" t="inlineStr">
        <is>
          <t>I</t>
        </is>
      </c>
      <c r="C5015" s="12" t="inlineStr">
        <is>
          <t>Modular / portable power</t>
        </is>
      </c>
      <c r="D5015" s="12" t="inlineStr">
        <is>
          <t>Home run JB-RICE-5-DI02 to the control / marshalling room</t>
        </is>
      </c>
      <c r="E5015" s="12" t="inlineStr"/>
      <c r="F5015" s="12" t="inlineStr">
        <is>
          <t>PCM: power control module</t>
        </is>
      </c>
      <c r="G5015" s="12" t="inlineStr">
        <is>
          <t>JB-RICE-5-DI02</t>
        </is>
      </c>
      <c r="H5015" s="12" t="inlineStr">
        <is>
          <t>RICE engine-generator 5</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7" t="n">
        <v>367</v>
      </c>
      <c r="U5015" s="17" t="n">
        <v>208</v>
      </c>
      <c r="V5015" s="17">
        <f>ROUNDUP((T5015+U5015+2*'Read Me'!$B$13)*(1+'Read Me'!$B$12),-1)</f>
        <v/>
      </c>
      <c r="W5015" s="17">
        <f>V5015*N5015*O5015</f>
        <v/>
      </c>
      <c r="X5015" s="12">
        <f>IF(LEFT(I5015,2)="MV",2*N5015*IF(L5015="1/C",O5015,1),0)</f>
        <v/>
      </c>
      <c r="Y5015" s="12">
        <f>IF(OR(LEFT(K5015,4)="LVAX",LEFT(K5015,6)="MV15AX",LEFT(K5015,4)="CTAX",LEFT(K5015,2)="W|"),2*N5015*O5015,0)</f>
        <v/>
      </c>
      <c r="Z5015" s="12" t="inlineStr"/>
      <c r="AA5015" s="12">
        <f>N5015*O5015</f>
        <v/>
      </c>
    </row>
    <row r="5016">
      <c r="A5016" s="12" t="inlineStr">
        <is>
          <t>I-I-0406</t>
        </is>
      </c>
      <c r="B5016" s="12" t="inlineStr">
        <is>
          <t>I</t>
        </is>
      </c>
      <c r="C5016" s="12" t="inlineStr">
        <is>
          <t>Modular / portable power</t>
        </is>
      </c>
      <c r="D5016" s="12" t="inlineStr">
        <is>
          <t>Discrete device to JB JB-RICE-5-DI03: 20 x 1 pr (field cables)</t>
        </is>
      </c>
      <c r="E5016" s="12" t="inlineStr">
        <is>
          <t>RICE-5</t>
        </is>
      </c>
      <c r="F5016" s="12" t="inlineStr">
        <is>
          <t>RICE engine-generator 5</t>
        </is>
      </c>
      <c r="G5016" s="12" t="inlineStr">
        <is>
          <t>JB-RICE-5-DI03</t>
        </is>
      </c>
      <c r="H5016" s="12" t="inlineStr">
        <is>
          <t>RICE engine-generator 5</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20</v>
      </c>
      <c r="O5016" s="12" t="n">
        <v>1</v>
      </c>
      <c r="P5016" s="12" t="n"/>
      <c r="Q5016" s="12" t="n"/>
      <c r="R5016" s="12" t="n"/>
      <c r="S5016" s="12" t="inlineStr">
        <is>
          <t>Tray / conduit</t>
        </is>
      </c>
      <c r="T5016" s="17" t="n">
        <v>72</v>
      </c>
      <c r="U5016" s="17" t="n">
        <v>10</v>
      </c>
      <c r="V5016" s="17">
        <f>ROUNDUP((T5016+U5016+2*'Read Me'!$B$13)*(1+'Read Me'!$B$12),-1)</f>
        <v/>
      </c>
      <c r="W5016" s="17">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I-I-0407</t>
        </is>
      </c>
      <c r="B5017" s="12" t="inlineStr">
        <is>
          <t>I</t>
        </is>
      </c>
      <c r="C5017" s="12" t="inlineStr">
        <is>
          <t>Modular / portable power</t>
        </is>
      </c>
      <c r="D5017" s="12" t="inlineStr">
        <is>
          <t>Home run JB-RICE-5-DI03 to the control / marshalling room</t>
        </is>
      </c>
      <c r="E5017" s="12" t="inlineStr"/>
      <c r="F5017" s="12" t="inlineStr">
        <is>
          <t>PCM: power control module</t>
        </is>
      </c>
      <c r="G5017" s="12" t="inlineStr">
        <is>
          <t>JB-RICE-5-DI03</t>
        </is>
      </c>
      <c r="H5017" s="12" t="inlineStr">
        <is>
          <t>RICE engine-generator 5</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7" t="n">
        <v>367</v>
      </c>
      <c r="U5017" s="17" t="n">
        <v>208</v>
      </c>
      <c r="V5017" s="17">
        <f>ROUNDUP((T5017+U5017+2*'Read Me'!$B$13)*(1+'Read Me'!$B$12),-1)</f>
        <v/>
      </c>
      <c r="W5017" s="17">
        <f>V5017*N5017*O5017</f>
        <v/>
      </c>
      <c r="X5017" s="12">
        <f>IF(LEFT(I5017,2)="MV",2*N5017*IF(L5017="1/C",O5017,1),0)</f>
        <v/>
      </c>
      <c r="Y5017" s="12">
        <f>IF(OR(LEFT(K5017,4)="LVAX",LEFT(K5017,6)="MV15AX",LEFT(K5017,4)="CTAX",LEFT(K5017,2)="W|"),2*N5017*O5017,0)</f>
        <v/>
      </c>
      <c r="Z5017" s="12" t="inlineStr"/>
      <c r="AA5017" s="12">
        <f>N5017*O5017</f>
        <v/>
      </c>
    </row>
    <row r="5018">
      <c r="A5018" s="12" t="inlineStr">
        <is>
          <t>I-I-0408</t>
        </is>
      </c>
      <c r="B5018" s="12" t="inlineStr">
        <is>
          <t>I</t>
        </is>
      </c>
      <c r="C5018" s="12" t="inlineStr">
        <is>
          <t>Modular / portable power</t>
        </is>
      </c>
      <c r="D5018" s="12" t="inlineStr">
        <is>
          <t>Thermocouple to TC JB JB-RICE-5-TC01: 20 x 1 pr (field cables)</t>
        </is>
      </c>
      <c r="E5018" s="12" t="inlineStr">
        <is>
          <t>RICE-5</t>
        </is>
      </c>
      <c r="F5018" s="12" t="inlineStr">
        <is>
          <t>RICE engine-generator 5</t>
        </is>
      </c>
      <c r="G5018" s="12" t="inlineStr">
        <is>
          <t>JB-RICE-5-TC01</t>
        </is>
      </c>
      <c r="H5018" s="12" t="inlineStr">
        <is>
          <t>RICE engine-generator 5</t>
        </is>
      </c>
      <c r="I5018" s="12" t="inlineStr">
        <is>
          <t>Instrumentation</t>
        </is>
      </c>
      <c r="J5018" s="12" t="inlineStr">
        <is>
          <t>Thermocouple extension KX, #16 shielded pairs, PLTC</t>
        </is>
      </c>
      <c r="K5018" s="12" t="inlineStr">
        <is>
          <t>TCX|1 pr|16</t>
        </is>
      </c>
      <c r="L5018" s="12" t="inlineStr">
        <is>
          <t>1 pr</t>
        </is>
      </c>
      <c r="M5018" s="12" t="inlineStr">
        <is>
          <t>16</t>
        </is>
      </c>
      <c r="N5018" s="12" t="n">
        <v>20</v>
      </c>
      <c r="O5018" s="12" t="n">
        <v>1</v>
      </c>
      <c r="P5018" s="12" t="n"/>
      <c r="Q5018" s="12" t="n"/>
      <c r="R5018" s="12" t="n"/>
      <c r="S5018" s="12" t="inlineStr">
        <is>
          <t>Tray / conduit</t>
        </is>
      </c>
      <c r="T5018" s="17" t="n">
        <v>72</v>
      </c>
      <c r="U5018" s="17" t="n">
        <v>10</v>
      </c>
      <c r="V5018" s="17">
        <f>ROUNDUP((T5018+U5018+2*'Read Me'!$B$13)*(1+'Read Me'!$B$12),-1)</f>
        <v/>
      </c>
      <c r="W5018" s="17">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I-I-0409</t>
        </is>
      </c>
      <c r="B5019" s="12" t="inlineStr">
        <is>
          <t>I</t>
        </is>
      </c>
      <c r="C5019" s="12" t="inlineStr">
        <is>
          <t>Modular / portable power</t>
        </is>
      </c>
      <c r="D5019" s="12" t="inlineStr">
        <is>
          <t>Home run JB-RICE-5-TC01 to the control / marshalling room</t>
        </is>
      </c>
      <c r="E5019" s="12" t="inlineStr"/>
      <c r="F5019" s="12" t="inlineStr">
        <is>
          <t>PCM: power control module</t>
        </is>
      </c>
      <c r="G5019" s="12" t="inlineStr">
        <is>
          <t>JB-RICE-5-TC01</t>
        </is>
      </c>
      <c r="H5019" s="12" t="inlineStr">
        <is>
          <t>RICE engine-generator 5</t>
        </is>
      </c>
      <c r="I5019" s="12" t="inlineStr">
        <is>
          <t>Instrumentation</t>
        </is>
      </c>
      <c r="J5019" s="12" t="inlineStr">
        <is>
          <t>Thermocouple extension KX, #16 shielded pairs, PLTC</t>
        </is>
      </c>
      <c r="K5019" s="12" t="inlineStr">
        <is>
          <t>TCX|24 pr|16</t>
        </is>
      </c>
      <c r="L5019" s="12" t="inlineStr">
        <is>
          <t>24 pr</t>
        </is>
      </c>
      <c r="M5019" s="12" t="inlineStr">
        <is>
          <t>16</t>
        </is>
      </c>
      <c r="N5019" s="12" t="n">
        <v>1</v>
      </c>
      <c r="O5019" s="12" t="n">
        <v>1</v>
      </c>
      <c r="P5019" s="12" t="n"/>
      <c r="Q5019" s="12" t="n"/>
      <c r="R5019" s="12" t="n"/>
      <c r="S5019" s="12" t="inlineStr">
        <is>
          <t>Duct bank</t>
        </is>
      </c>
      <c r="T5019" s="17" t="n">
        <v>367</v>
      </c>
      <c r="U5019" s="17" t="n">
        <v>208</v>
      </c>
      <c r="V5019" s="17">
        <f>ROUNDUP((T5019+U5019+2*'Read Me'!$B$13)*(1+'Read Me'!$B$12),-1)</f>
        <v/>
      </c>
      <c r="W5019" s="17">
        <f>V5019*N5019*O5019</f>
        <v/>
      </c>
      <c r="X5019" s="12">
        <f>IF(LEFT(I5019,2)="MV",2*N5019*IF(L5019="1/C",O5019,1),0)</f>
        <v/>
      </c>
      <c r="Y5019" s="12">
        <f>IF(OR(LEFT(K5019,4)="LVAX",LEFT(K5019,6)="MV15AX",LEFT(K5019,4)="CTAX",LEFT(K5019,2)="W|"),2*N5019*O5019,0)</f>
        <v/>
      </c>
      <c r="Z5019" s="12" t="inlineStr"/>
      <c r="AA5019" s="12">
        <f>N5019*O5019</f>
        <v/>
      </c>
    </row>
    <row r="5020">
      <c r="A5020" s="12" t="inlineStr">
        <is>
          <t>I-I-0410</t>
        </is>
      </c>
      <c r="B5020" s="12" t="inlineStr">
        <is>
          <t>I</t>
        </is>
      </c>
      <c r="C5020" s="12" t="inlineStr">
        <is>
          <t>Modular / portable power</t>
        </is>
      </c>
      <c r="D5020" s="12" t="inlineStr">
        <is>
          <t>Thermocouple to TC JB JB-RICE-5-TC02: 10 x 1 pr (field cables)</t>
        </is>
      </c>
      <c r="E5020" s="12" t="inlineStr">
        <is>
          <t>RICE-5</t>
        </is>
      </c>
      <c r="F5020" s="12" t="inlineStr">
        <is>
          <t>RICE engine-generator 5</t>
        </is>
      </c>
      <c r="G5020" s="12" t="inlineStr">
        <is>
          <t>JB-RICE-5-TC02</t>
        </is>
      </c>
      <c r="H5020" s="12" t="inlineStr">
        <is>
          <t>RICE engine-generator 5</t>
        </is>
      </c>
      <c r="I5020" s="12" t="inlineStr">
        <is>
          <t>Instrumentation</t>
        </is>
      </c>
      <c r="J5020" s="12" t="inlineStr">
        <is>
          <t>Thermocouple extension KX, #16 shielded pairs, PLTC</t>
        </is>
      </c>
      <c r="K5020" s="12" t="inlineStr">
        <is>
          <t>TCX|1 pr|16</t>
        </is>
      </c>
      <c r="L5020" s="12" t="inlineStr">
        <is>
          <t>1 pr</t>
        </is>
      </c>
      <c r="M5020" s="12" t="inlineStr">
        <is>
          <t>16</t>
        </is>
      </c>
      <c r="N5020" s="12" t="n">
        <v>10</v>
      </c>
      <c r="O5020" s="12" t="n">
        <v>1</v>
      </c>
      <c r="P5020" s="12" t="n"/>
      <c r="Q5020" s="12" t="n"/>
      <c r="R5020" s="12" t="n"/>
      <c r="S5020" s="12" t="inlineStr">
        <is>
          <t>Tray / conduit</t>
        </is>
      </c>
      <c r="T5020" s="17" t="n">
        <v>72</v>
      </c>
      <c r="U5020" s="17" t="n">
        <v>10</v>
      </c>
      <c r="V5020" s="17">
        <f>ROUNDUP((T5020+U5020+2*'Read Me'!$B$13)*(1+'Read Me'!$B$12),-1)</f>
        <v/>
      </c>
      <c r="W5020" s="17">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I-I-0411</t>
        </is>
      </c>
      <c r="B5021" s="12" t="inlineStr">
        <is>
          <t>I</t>
        </is>
      </c>
      <c r="C5021" s="12" t="inlineStr">
        <is>
          <t>Modular / portable power</t>
        </is>
      </c>
      <c r="D5021" s="12" t="inlineStr">
        <is>
          <t>Home run JB-RICE-5-TC02 to the control / marshalling room</t>
        </is>
      </c>
      <c r="E5021" s="12" t="inlineStr"/>
      <c r="F5021" s="12" t="inlineStr">
        <is>
          <t>PCM: power control module</t>
        </is>
      </c>
      <c r="G5021" s="12" t="inlineStr">
        <is>
          <t>JB-RICE-5-TC02</t>
        </is>
      </c>
      <c r="H5021" s="12" t="inlineStr">
        <is>
          <t>RICE engine-generator 5</t>
        </is>
      </c>
      <c r="I5021" s="12" t="inlineStr">
        <is>
          <t>Instrumentation</t>
        </is>
      </c>
      <c r="J5021" s="12" t="inlineStr">
        <is>
          <t>Thermocouple extension KX, #16 shielded pairs, PLTC</t>
        </is>
      </c>
      <c r="K5021" s="12" t="inlineStr">
        <is>
          <t>TCX|24 pr|16</t>
        </is>
      </c>
      <c r="L5021" s="12" t="inlineStr">
        <is>
          <t>24 pr</t>
        </is>
      </c>
      <c r="M5021" s="12" t="inlineStr">
        <is>
          <t>16</t>
        </is>
      </c>
      <c r="N5021" s="12" t="n">
        <v>1</v>
      </c>
      <c r="O5021" s="12" t="n">
        <v>1</v>
      </c>
      <c r="P5021" s="12" t="n"/>
      <c r="Q5021" s="12" t="n"/>
      <c r="R5021" s="12" t="n"/>
      <c r="S5021" s="12" t="inlineStr">
        <is>
          <t>Duct bank</t>
        </is>
      </c>
      <c r="T5021" s="17" t="n">
        <v>367</v>
      </c>
      <c r="U5021" s="17" t="n">
        <v>208</v>
      </c>
      <c r="V5021" s="17">
        <f>ROUNDUP((T5021+U5021+2*'Read Me'!$B$13)*(1+'Read Me'!$B$12),-1)</f>
        <v/>
      </c>
      <c r="W5021" s="17">
        <f>V5021*N5021*O5021</f>
        <v/>
      </c>
      <c r="X5021" s="12">
        <f>IF(LEFT(I5021,2)="MV",2*N5021*IF(L5021="1/C",O5021,1),0)</f>
        <v/>
      </c>
      <c r="Y5021" s="12">
        <f>IF(OR(LEFT(K5021,4)="LVAX",LEFT(K5021,6)="MV15AX",LEFT(K5021,4)="CTAX",LEFT(K5021,2)="W|"),2*N5021*O5021,0)</f>
        <v/>
      </c>
      <c r="Z5021" s="12" t="inlineStr"/>
      <c r="AA5021" s="12">
        <f>N5021*O5021</f>
        <v/>
      </c>
    </row>
    <row r="5022">
      <c r="A5022" s="12" t="inlineStr">
        <is>
          <t>I-I-0412</t>
        </is>
      </c>
      <c r="B5022" s="12" t="inlineStr">
        <is>
          <t>I</t>
        </is>
      </c>
      <c r="C5022" s="12" t="inlineStr">
        <is>
          <t>Modular / portable power</t>
        </is>
      </c>
      <c r="D5022" s="12" t="inlineStr">
        <is>
          <t>RTD to JB JB-RICE-5-RTD01: 10 x 1 tri (field cables)</t>
        </is>
      </c>
      <c r="E5022" s="12" t="inlineStr">
        <is>
          <t>RICE-5</t>
        </is>
      </c>
      <c r="F5022" s="12" t="inlineStr">
        <is>
          <t>RICE engine-generator 5</t>
        </is>
      </c>
      <c r="G5022" s="12" t="inlineStr">
        <is>
          <t>JB-RICE-5-RTD01</t>
        </is>
      </c>
      <c r="H5022" s="12" t="inlineStr">
        <is>
          <t>RICE engine-generator 5</t>
        </is>
      </c>
      <c r="I5022" s="12" t="inlineStr">
        <is>
          <t>Instrumentation</t>
        </is>
      </c>
      <c r="J5022" s="12" t="inlineStr">
        <is>
          <t>RTD cable, #18 shielded triads, PLTC</t>
        </is>
      </c>
      <c r="K5022" s="12" t="inlineStr">
        <is>
          <t>RTD|1 tri|18</t>
        </is>
      </c>
      <c r="L5022" s="12" t="inlineStr">
        <is>
          <t>1 tri</t>
        </is>
      </c>
      <c r="M5022" s="12" t="inlineStr">
        <is>
          <t>18</t>
        </is>
      </c>
      <c r="N5022" s="12" t="n">
        <v>10</v>
      </c>
      <c r="O5022" s="12" t="n">
        <v>1</v>
      </c>
      <c r="P5022" s="12" t="n"/>
      <c r="Q5022" s="12" t="n"/>
      <c r="R5022" s="12" t="n"/>
      <c r="S5022" s="12" t="inlineStr">
        <is>
          <t>Tray / conduit</t>
        </is>
      </c>
      <c r="T5022" s="17" t="n">
        <v>72</v>
      </c>
      <c r="U5022" s="17" t="n">
        <v>10</v>
      </c>
      <c r="V5022" s="17">
        <f>ROUNDUP((T5022+U5022+2*'Read Me'!$B$13)*(1+'Read Me'!$B$12),-1)</f>
        <v/>
      </c>
      <c r="W5022" s="17">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I-I-0413</t>
        </is>
      </c>
      <c r="B5023" s="12" t="inlineStr">
        <is>
          <t>I</t>
        </is>
      </c>
      <c r="C5023" s="12" t="inlineStr">
        <is>
          <t>Modular / portable power</t>
        </is>
      </c>
      <c r="D5023" s="12" t="inlineStr">
        <is>
          <t>Home run JB-RICE-5-RTD01 to the control / marshalling room</t>
        </is>
      </c>
      <c r="E5023" s="12" t="inlineStr"/>
      <c r="F5023" s="12" t="inlineStr">
        <is>
          <t>PCM: power control module</t>
        </is>
      </c>
      <c r="G5023" s="12" t="inlineStr">
        <is>
          <t>JB-RICE-5-RTD01</t>
        </is>
      </c>
      <c r="H5023" s="12" t="inlineStr">
        <is>
          <t>RICE engine-generator 5</t>
        </is>
      </c>
      <c r="I5023" s="12" t="inlineStr">
        <is>
          <t>Instrumentation</t>
        </is>
      </c>
      <c r="J5023" s="12" t="inlineStr">
        <is>
          <t>RTD cable, #18 shielded triads, PLTC</t>
        </is>
      </c>
      <c r="K5023" s="12" t="inlineStr">
        <is>
          <t>RTD|12 tri|18</t>
        </is>
      </c>
      <c r="L5023" s="12" t="inlineStr">
        <is>
          <t>12 tri</t>
        </is>
      </c>
      <c r="M5023" s="12" t="inlineStr">
        <is>
          <t>18</t>
        </is>
      </c>
      <c r="N5023" s="12" t="n">
        <v>1</v>
      </c>
      <c r="O5023" s="12" t="n">
        <v>1</v>
      </c>
      <c r="P5023" s="12" t="n"/>
      <c r="Q5023" s="12" t="n"/>
      <c r="R5023" s="12" t="n"/>
      <c r="S5023" s="12" t="inlineStr">
        <is>
          <t>Duct bank</t>
        </is>
      </c>
      <c r="T5023" s="17" t="n">
        <v>367</v>
      </c>
      <c r="U5023" s="17" t="n">
        <v>208</v>
      </c>
      <c r="V5023" s="17">
        <f>ROUNDUP((T5023+U5023+2*'Read Me'!$B$13)*(1+'Read Me'!$B$12),-1)</f>
        <v/>
      </c>
      <c r="W5023" s="17">
        <f>V5023*N5023*O5023</f>
        <v/>
      </c>
      <c r="X5023" s="12">
        <f>IF(LEFT(I5023,2)="MV",2*N5023*IF(L5023="1/C",O5023,1),0)</f>
        <v/>
      </c>
      <c r="Y5023" s="12">
        <f>IF(OR(LEFT(K5023,4)="LVAX",LEFT(K5023,6)="MV15AX",LEFT(K5023,4)="CTAX",LEFT(K5023,2)="W|"),2*N5023*O5023,0)</f>
        <v/>
      </c>
      <c r="Z5023" s="12" t="inlineStr"/>
      <c r="AA5023" s="12">
        <f>N5023*O5023</f>
        <v/>
      </c>
    </row>
    <row r="5024">
      <c r="A5024" s="12" t="inlineStr">
        <is>
          <t>I-I-0414</t>
        </is>
      </c>
      <c r="B5024" s="12" t="inlineStr">
        <is>
          <t>I</t>
        </is>
      </c>
      <c r="C5024" s="12" t="inlineStr">
        <is>
          <t>Modular / portable power</t>
        </is>
      </c>
      <c r="D5024" s="12" t="inlineStr">
        <is>
          <t>RTD to JB JB-RICE-5-RTD02: 2 x 1 tri (field cables)</t>
        </is>
      </c>
      <c r="E5024" s="12" t="inlineStr">
        <is>
          <t>RICE-5</t>
        </is>
      </c>
      <c r="F5024" s="12" t="inlineStr">
        <is>
          <t>RICE engine-generator 5</t>
        </is>
      </c>
      <c r="G5024" s="12" t="inlineStr">
        <is>
          <t>JB-RICE-5-RTD02</t>
        </is>
      </c>
      <c r="H5024" s="12" t="inlineStr">
        <is>
          <t>RICE engine-generator 5</t>
        </is>
      </c>
      <c r="I5024" s="12" t="inlineStr">
        <is>
          <t>Instrumentation</t>
        </is>
      </c>
      <c r="J5024" s="12" t="inlineStr">
        <is>
          <t>RTD cable, #18 shielded triads, PLTC</t>
        </is>
      </c>
      <c r="K5024" s="12" t="inlineStr">
        <is>
          <t>RTD|1 tri|18</t>
        </is>
      </c>
      <c r="L5024" s="12" t="inlineStr">
        <is>
          <t>1 tri</t>
        </is>
      </c>
      <c r="M5024" s="12" t="inlineStr">
        <is>
          <t>18</t>
        </is>
      </c>
      <c r="N5024" s="12" t="n">
        <v>2</v>
      </c>
      <c r="O5024" s="12" t="n">
        <v>1</v>
      </c>
      <c r="P5024" s="12" t="n"/>
      <c r="Q5024" s="12" t="n"/>
      <c r="R5024" s="12" t="n"/>
      <c r="S5024" s="12" t="inlineStr">
        <is>
          <t>Tray / conduit</t>
        </is>
      </c>
      <c r="T5024" s="17" t="n">
        <v>72</v>
      </c>
      <c r="U5024" s="17" t="n">
        <v>10</v>
      </c>
      <c r="V5024" s="17">
        <f>ROUNDUP((T5024+U5024+2*'Read Me'!$B$13)*(1+'Read Me'!$B$12),-1)</f>
        <v/>
      </c>
      <c r="W5024" s="17">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I-I-0415</t>
        </is>
      </c>
      <c r="B5025" s="12" t="inlineStr">
        <is>
          <t>I</t>
        </is>
      </c>
      <c r="C5025" s="12" t="inlineStr">
        <is>
          <t>Modular / portable power</t>
        </is>
      </c>
      <c r="D5025" s="12" t="inlineStr">
        <is>
          <t>Home run JB-RICE-5-RTD02 to the control / marshalling room</t>
        </is>
      </c>
      <c r="E5025" s="12" t="inlineStr"/>
      <c r="F5025" s="12" t="inlineStr">
        <is>
          <t>PCM: power control module</t>
        </is>
      </c>
      <c r="G5025" s="12" t="inlineStr">
        <is>
          <t>JB-RICE-5-RTD02</t>
        </is>
      </c>
      <c r="H5025" s="12" t="inlineStr">
        <is>
          <t>RICE engine-generator 5</t>
        </is>
      </c>
      <c r="I5025" s="12" t="inlineStr">
        <is>
          <t>Instrumentation</t>
        </is>
      </c>
      <c r="J5025" s="12" t="inlineStr">
        <is>
          <t>RTD cable, #18 shielded triads, PLTC</t>
        </is>
      </c>
      <c r="K5025" s="12" t="inlineStr">
        <is>
          <t>RTD|12 tri|18</t>
        </is>
      </c>
      <c r="L5025" s="12" t="inlineStr">
        <is>
          <t>12 tri</t>
        </is>
      </c>
      <c r="M5025" s="12" t="inlineStr">
        <is>
          <t>18</t>
        </is>
      </c>
      <c r="N5025" s="12" t="n">
        <v>1</v>
      </c>
      <c r="O5025" s="12" t="n">
        <v>1</v>
      </c>
      <c r="P5025" s="12" t="n"/>
      <c r="Q5025" s="12" t="n"/>
      <c r="R5025" s="12" t="n"/>
      <c r="S5025" s="12" t="inlineStr">
        <is>
          <t>Duct bank</t>
        </is>
      </c>
      <c r="T5025" s="17" t="n">
        <v>367</v>
      </c>
      <c r="U5025" s="17" t="n">
        <v>208</v>
      </c>
      <c r="V5025" s="17">
        <f>ROUNDUP((T5025+U5025+2*'Read Me'!$B$13)*(1+'Read Me'!$B$12),-1)</f>
        <v/>
      </c>
      <c r="W5025" s="17">
        <f>V5025*N5025*O5025</f>
        <v/>
      </c>
      <c r="X5025" s="12">
        <f>IF(LEFT(I5025,2)="MV",2*N5025*IF(L5025="1/C",O5025,1),0)</f>
        <v/>
      </c>
      <c r="Y5025" s="12">
        <f>IF(OR(LEFT(K5025,4)="LVAX",LEFT(K5025,6)="MV15AX",LEFT(K5025,4)="CTAX",LEFT(K5025,2)="W|"),2*N5025*O5025,0)</f>
        <v/>
      </c>
      <c r="Z5025" s="12" t="inlineStr"/>
      <c r="AA5025" s="12">
        <f>N5025*O5025</f>
        <v/>
      </c>
    </row>
    <row r="5026">
      <c r="A5026" s="12" t="inlineStr">
        <is>
          <t>I-I-0416</t>
        </is>
      </c>
      <c r="B5026" s="12" t="inlineStr">
        <is>
          <t>I</t>
        </is>
      </c>
      <c r="C5026" s="12" t="inlineStr">
        <is>
          <t>Modular / portable power</t>
        </is>
      </c>
      <c r="D5026" s="12" t="inlineStr">
        <is>
          <t>Analog instrument to JB JB-RICE-6-AI01: 20 x 1 pr (field cables)</t>
        </is>
      </c>
      <c r="E5026" s="12" t="inlineStr">
        <is>
          <t>RICE-6</t>
        </is>
      </c>
      <c r="F5026" s="12" t="inlineStr">
        <is>
          <t>RICE engine-generator 6</t>
        </is>
      </c>
      <c r="G5026" s="12" t="inlineStr">
        <is>
          <t>JB-RICE-6-AI01</t>
        </is>
      </c>
      <c r="H5026" s="12" t="inlineStr">
        <is>
          <t>RICE engine-generator 6</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7" t="n">
        <v>72</v>
      </c>
      <c r="U5026" s="17" t="n">
        <v>10</v>
      </c>
      <c r="V5026" s="17">
        <f>ROUNDUP((T5026+U5026+2*'Read Me'!$B$13)*(1+'Read Me'!$B$12),-1)</f>
        <v/>
      </c>
      <c r="W5026" s="17">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I-I-0417</t>
        </is>
      </c>
      <c r="B5027" s="12" t="inlineStr">
        <is>
          <t>I</t>
        </is>
      </c>
      <c r="C5027" s="12" t="inlineStr">
        <is>
          <t>Modular / portable power</t>
        </is>
      </c>
      <c r="D5027" s="12" t="inlineStr">
        <is>
          <t>Home run JB-RICE-6-AI01 to the control / marshalling room</t>
        </is>
      </c>
      <c r="E5027" s="12" t="inlineStr"/>
      <c r="F5027" s="12" t="inlineStr">
        <is>
          <t>PCM: power control module</t>
        </is>
      </c>
      <c r="G5027" s="12" t="inlineStr">
        <is>
          <t>JB-RICE-6-AI01</t>
        </is>
      </c>
      <c r="H5027" s="12" t="inlineStr">
        <is>
          <t>RICE engine-generator 6</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Duct bank</t>
        </is>
      </c>
      <c r="T5027" s="17" t="n">
        <v>367</v>
      </c>
      <c r="U5027" s="17" t="n">
        <v>180</v>
      </c>
      <c r="V5027" s="17">
        <f>ROUNDUP((T5027+U5027+2*'Read Me'!$B$13)*(1+'Read Me'!$B$12),-1)</f>
        <v/>
      </c>
      <c r="W5027" s="17">
        <f>V5027*N5027*O5027</f>
        <v/>
      </c>
      <c r="X5027" s="12">
        <f>IF(LEFT(I5027,2)="MV",2*N5027*IF(L5027="1/C",O5027,1),0)</f>
        <v/>
      </c>
      <c r="Y5027" s="12">
        <f>IF(OR(LEFT(K5027,4)="LVAX",LEFT(K5027,6)="MV15AX",LEFT(K5027,4)="CTAX",LEFT(K5027,2)="W|"),2*N5027*O5027,0)</f>
        <v/>
      </c>
      <c r="Z5027" s="12" t="inlineStr"/>
      <c r="AA5027" s="12">
        <f>N5027*O5027</f>
        <v/>
      </c>
    </row>
    <row r="5028">
      <c r="A5028" s="12" t="inlineStr">
        <is>
          <t>I-I-0418</t>
        </is>
      </c>
      <c r="B5028" s="12" t="inlineStr">
        <is>
          <t>I</t>
        </is>
      </c>
      <c r="C5028" s="12" t="inlineStr">
        <is>
          <t>Modular / portable power</t>
        </is>
      </c>
      <c r="D5028" s="12" t="inlineStr">
        <is>
          <t>Analog instrument to JB JB-RICE-6-AI02: 20 x 1 pr (field cables)</t>
        </is>
      </c>
      <c r="E5028" s="12" t="inlineStr">
        <is>
          <t>RICE-6</t>
        </is>
      </c>
      <c r="F5028" s="12" t="inlineStr">
        <is>
          <t>RICE engine-generator 6</t>
        </is>
      </c>
      <c r="G5028" s="12" t="inlineStr">
        <is>
          <t>JB-RICE-6-AI02</t>
        </is>
      </c>
      <c r="H5028" s="12" t="inlineStr">
        <is>
          <t>RICE engine-generator 6</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7" t="n">
        <v>72</v>
      </c>
      <c r="U5028" s="17" t="n">
        <v>10</v>
      </c>
      <c r="V5028" s="17">
        <f>ROUNDUP((T5028+U5028+2*'Read Me'!$B$13)*(1+'Read Me'!$B$12),-1)</f>
        <v/>
      </c>
      <c r="W5028" s="17">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I-I-0419</t>
        </is>
      </c>
      <c r="B5029" s="12" t="inlineStr">
        <is>
          <t>I</t>
        </is>
      </c>
      <c r="C5029" s="12" t="inlineStr">
        <is>
          <t>Modular / portable power</t>
        </is>
      </c>
      <c r="D5029" s="12" t="inlineStr">
        <is>
          <t>Home run JB-RICE-6-AI02 to the control / marshalling room</t>
        </is>
      </c>
      <c r="E5029" s="12" t="inlineStr"/>
      <c r="F5029" s="12" t="inlineStr">
        <is>
          <t>PCM: power control module</t>
        </is>
      </c>
      <c r="G5029" s="12" t="inlineStr">
        <is>
          <t>JB-RICE-6-AI02</t>
        </is>
      </c>
      <c r="H5029" s="12" t="inlineStr">
        <is>
          <t>RICE engine-generator 6</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Duct bank</t>
        </is>
      </c>
      <c r="T5029" s="17" t="n">
        <v>367</v>
      </c>
      <c r="U5029" s="17" t="n">
        <v>180</v>
      </c>
      <c r="V5029" s="17">
        <f>ROUNDUP((T5029+U5029+2*'Read Me'!$B$13)*(1+'Read Me'!$B$12),-1)</f>
        <v/>
      </c>
      <c r="W5029" s="17">
        <f>V5029*N5029*O5029</f>
        <v/>
      </c>
      <c r="X5029" s="12">
        <f>IF(LEFT(I5029,2)="MV",2*N5029*IF(L5029="1/C",O5029,1),0)</f>
        <v/>
      </c>
      <c r="Y5029" s="12">
        <f>IF(OR(LEFT(K5029,4)="LVAX",LEFT(K5029,6)="MV15AX",LEFT(K5029,4)="CTAX",LEFT(K5029,2)="W|"),2*N5029*O5029,0)</f>
        <v/>
      </c>
      <c r="Z5029" s="12" t="inlineStr"/>
      <c r="AA5029" s="12">
        <f>N5029*O5029</f>
        <v/>
      </c>
    </row>
    <row r="5030">
      <c r="A5030" s="12" t="inlineStr">
        <is>
          <t>I-I-0420</t>
        </is>
      </c>
      <c r="B5030" s="12" t="inlineStr">
        <is>
          <t>I</t>
        </is>
      </c>
      <c r="C5030" s="12" t="inlineStr">
        <is>
          <t>Modular / portable power</t>
        </is>
      </c>
      <c r="D5030" s="12" t="inlineStr">
        <is>
          <t>Analog instrument to JB JB-RICE-6-AI03: 20 x 1 pr (field cables)</t>
        </is>
      </c>
      <c r="E5030" s="12" t="inlineStr">
        <is>
          <t>RICE-6</t>
        </is>
      </c>
      <c r="F5030" s="12" t="inlineStr">
        <is>
          <t>RICE engine-generator 6</t>
        </is>
      </c>
      <c r="G5030" s="12" t="inlineStr">
        <is>
          <t>JB-RICE-6-AI03</t>
        </is>
      </c>
      <c r="H5030" s="12" t="inlineStr">
        <is>
          <t>RICE engine-generator 6</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7" t="n">
        <v>72</v>
      </c>
      <c r="U5030" s="17" t="n">
        <v>10</v>
      </c>
      <c r="V5030" s="17">
        <f>ROUNDUP((T5030+U5030+2*'Read Me'!$B$13)*(1+'Read Me'!$B$12),-1)</f>
        <v/>
      </c>
      <c r="W5030" s="17">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I-I-0421</t>
        </is>
      </c>
      <c r="B5031" s="12" t="inlineStr">
        <is>
          <t>I</t>
        </is>
      </c>
      <c r="C5031" s="12" t="inlineStr">
        <is>
          <t>Modular / portable power</t>
        </is>
      </c>
      <c r="D5031" s="12" t="inlineStr">
        <is>
          <t>Home run JB-RICE-6-AI03 to the control / marshalling room</t>
        </is>
      </c>
      <c r="E5031" s="12" t="inlineStr"/>
      <c r="F5031" s="12" t="inlineStr">
        <is>
          <t>PCM: power control module</t>
        </is>
      </c>
      <c r="G5031" s="12" t="inlineStr">
        <is>
          <t>JB-RICE-6-AI03</t>
        </is>
      </c>
      <c r="H5031" s="12" t="inlineStr">
        <is>
          <t>RICE engine-generator 6</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Duct bank</t>
        </is>
      </c>
      <c r="T5031" s="17" t="n">
        <v>367</v>
      </c>
      <c r="U5031" s="17" t="n">
        <v>180</v>
      </c>
      <c r="V5031" s="17">
        <f>ROUNDUP((T5031+U5031+2*'Read Me'!$B$13)*(1+'Read Me'!$B$12),-1)</f>
        <v/>
      </c>
      <c r="W5031" s="17">
        <f>V5031*N5031*O5031</f>
        <v/>
      </c>
      <c r="X5031" s="12">
        <f>IF(LEFT(I5031,2)="MV",2*N5031*IF(L5031="1/C",O5031,1),0)</f>
        <v/>
      </c>
      <c r="Y5031" s="12">
        <f>IF(OR(LEFT(K5031,4)="LVAX",LEFT(K5031,6)="MV15AX",LEFT(K5031,4)="CTAX",LEFT(K5031,2)="W|"),2*N5031*O5031,0)</f>
        <v/>
      </c>
      <c r="Z5031" s="12" t="inlineStr"/>
      <c r="AA5031" s="12">
        <f>N5031*O5031</f>
        <v/>
      </c>
    </row>
    <row r="5032">
      <c r="A5032" s="12" t="inlineStr">
        <is>
          <t>I-I-0422</t>
        </is>
      </c>
      <c r="B5032" s="12" t="inlineStr">
        <is>
          <t>I</t>
        </is>
      </c>
      <c r="C5032" s="12" t="inlineStr">
        <is>
          <t>Modular / portable power</t>
        </is>
      </c>
      <c r="D5032" s="12" t="inlineStr">
        <is>
          <t>Analog instrument to JB JB-RICE-6-AI04: 20 x 1 pr (field cables)</t>
        </is>
      </c>
      <c r="E5032" s="12" t="inlineStr">
        <is>
          <t>RICE-6</t>
        </is>
      </c>
      <c r="F5032" s="12" t="inlineStr">
        <is>
          <t>RICE engine-generator 6</t>
        </is>
      </c>
      <c r="G5032" s="12" t="inlineStr">
        <is>
          <t>JB-RICE-6-AI04</t>
        </is>
      </c>
      <c r="H5032" s="12" t="inlineStr">
        <is>
          <t>RICE engine-generator 6</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7" t="n">
        <v>72</v>
      </c>
      <c r="U5032" s="17" t="n">
        <v>10</v>
      </c>
      <c r="V5032" s="17">
        <f>ROUNDUP((T5032+U5032+2*'Read Me'!$B$13)*(1+'Read Me'!$B$12),-1)</f>
        <v/>
      </c>
      <c r="W5032" s="17">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I-I-0423</t>
        </is>
      </c>
      <c r="B5033" s="12" t="inlineStr">
        <is>
          <t>I</t>
        </is>
      </c>
      <c r="C5033" s="12" t="inlineStr">
        <is>
          <t>Modular / portable power</t>
        </is>
      </c>
      <c r="D5033" s="12" t="inlineStr">
        <is>
          <t>Home run JB-RICE-6-AI04 to the control / marshalling room</t>
        </is>
      </c>
      <c r="E5033" s="12" t="inlineStr"/>
      <c r="F5033" s="12" t="inlineStr">
        <is>
          <t>PCM: power control module</t>
        </is>
      </c>
      <c r="G5033" s="12" t="inlineStr">
        <is>
          <t>JB-RICE-6-AI04</t>
        </is>
      </c>
      <c r="H5033" s="12" t="inlineStr">
        <is>
          <t>RICE engine-generator 6</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Duct bank</t>
        </is>
      </c>
      <c r="T5033" s="17" t="n">
        <v>367</v>
      </c>
      <c r="U5033" s="17" t="n">
        <v>180</v>
      </c>
      <c r="V5033" s="17">
        <f>ROUNDUP((T5033+U5033+2*'Read Me'!$B$13)*(1+'Read Me'!$B$12),-1)</f>
        <v/>
      </c>
      <c r="W5033" s="17">
        <f>V5033*N5033*O5033</f>
        <v/>
      </c>
      <c r="X5033" s="12">
        <f>IF(LEFT(I5033,2)="MV",2*N5033*IF(L5033="1/C",O5033,1),0)</f>
        <v/>
      </c>
      <c r="Y5033" s="12">
        <f>IF(OR(LEFT(K5033,4)="LVAX",LEFT(K5033,6)="MV15AX",LEFT(K5033,4)="CTAX",LEFT(K5033,2)="W|"),2*N5033*O5033,0)</f>
        <v/>
      </c>
      <c r="Z5033" s="12" t="inlineStr"/>
      <c r="AA5033" s="12">
        <f>N5033*O5033</f>
        <v/>
      </c>
    </row>
    <row r="5034">
      <c r="A5034" s="12" t="inlineStr">
        <is>
          <t>I-I-0424</t>
        </is>
      </c>
      <c r="B5034" s="12" t="inlineStr">
        <is>
          <t>I</t>
        </is>
      </c>
      <c r="C5034" s="12" t="inlineStr">
        <is>
          <t>Modular / portable power</t>
        </is>
      </c>
      <c r="D5034" s="12" t="inlineStr">
        <is>
          <t>Discrete device to JB JB-RICE-6-DI01: 20 x 1 pr (field cables)</t>
        </is>
      </c>
      <c r="E5034" s="12" t="inlineStr">
        <is>
          <t>RICE-6</t>
        </is>
      </c>
      <c r="F5034" s="12" t="inlineStr">
        <is>
          <t>RICE engine-generator 6</t>
        </is>
      </c>
      <c r="G5034" s="12" t="inlineStr">
        <is>
          <t>JB-RICE-6-DI01</t>
        </is>
      </c>
      <c r="H5034" s="12" t="inlineStr">
        <is>
          <t>RICE engine-generator 6</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7" t="n">
        <v>72</v>
      </c>
      <c r="U5034" s="17" t="n">
        <v>10</v>
      </c>
      <c r="V5034" s="17">
        <f>ROUNDUP((T5034+U5034+2*'Read Me'!$B$13)*(1+'Read Me'!$B$12),-1)</f>
        <v/>
      </c>
      <c r="W5034" s="17">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I-I-0425</t>
        </is>
      </c>
      <c r="B5035" s="12" t="inlineStr">
        <is>
          <t>I</t>
        </is>
      </c>
      <c r="C5035" s="12" t="inlineStr">
        <is>
          <t>Modular / portable power</t>
        </is>
      </c>
      <c r="D5035" s="12" t="inlineStr">
        <is>
          <t>Home run JB-RICE-6-DI01 to the control / marshalling room</t>
        </is>
      </c>
      <c r="E5035" s="12" t="inlineStr"/>
      <c r="F5035" s="12" t="inlineStr">
        <is>
          <t>PCM: power control module</t>
        </is>
      </c>
      <c r="G5035" s="12" t="inlineStr">
        <is>
          <t>JB-RICE-6-DI01</t>
        </is>
      </c>
      <c r="H5035" s="12" t="inlineStr">
        <is>
          <t>RICE engine-generator 6</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7" t="n">
        <v>367</v>
      </c>
      <c r="U5035" s="17" t="n">
        <v>180</v>
      </c>
      <c r="V5035" s="17">
        <f>ROUNDUP((T5035+U5035+2*'Read Me'!$B$13)*(1+'Read Me'!$B$12),-1)</f>
        <v/>
      </c>
      <c r="W5035" s="17">
        <f>V5035*N5035*O5035</f>
        <v/>
      </c>
      <c r="X5035" s="12">
        <f>IF(LEFT(I5035,2)="MV",2*N5035*IF(L5035="1/C",O5035,1),0)</f>
        <v/>
      </c>
      <c r="Y5035" s="12">
        <f>IF(OR(LEFT(K5035,4)="LVAX",LEFT(K5035,6)="MV15AX",LEFT(K5035,4)="CTAX",LEFT(K5035,2)="W|"),2*N5035*O5035,0)</f>
        <v/>
      </c>
      <c r="Z5035" s="12" t="inlineStr"/>
      <c r="AA5035" s="12">
        <f>N5035*O5035</f>
        <v/>
      </c>
    </row>
    <row r="5036">
      <c r="A5036" s="12" t="inlineStr">
        <is>
          <t>I-I-0426</t>
        </is>
      </c>
      <c r="B5036" s="12" t="inlineStr">
        <is>
          <t>I</t>
        </is>
      </c>
      <c r="C5036" s="12" t="inlineStr">
        <is>
          <t>Modular / portable power</t>
        </is>
      </c>
      <c r="D5036" s="12" t="inlineStr">
        <is>
          <t>Discrete device to JB JB-RICE-6-DI02: 20 x 1 pr (field cables)</t>
        </is>
      </c>
      <c r="E5036" s="12" t="inlineStr">
        <is>
          <t>RICE-6</t>
        </is>
      </c>
      <c r="F5036" s="12" t="inlineStr">
        <is>
          <t>RICE engine-generator 6</t>
        </is>
      </c>
      <c r="G5036" s="12" t="inlineStr">
        <is>
          <t>JB-RICE-6-DI02</t>
        </is>
      </c>
      <c r="H5036" s="12" t="inlineStr">
        <is>
          <t>RICE engine-generator 6</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20</v>
      </c>
      <c r="O5036" s="12" t="n">
        <v>1</v>
      </c>
      <c r="P5036" s="12" t="n"/>
      <c r="Q5036" s="12" t="n"/>
      <c r="R5036" s="12" t="n"/>
      <c r="S5036" s="12" t="inlineStr">
        <is>
          <t>Tray / conduit</t>
        </is>
      </c>
      <c r="T5036" s="17" t="n">
        <v>72</v>
      </c>
      <c r="U5036" s="17" t="n">
        <v>10</v>
      </c>
      <c r="V5036" s="17">
        <f>ROUNDUP((T5036+U5036+2*'Read Me'!$B$13)*(1+'Read Me'!$B$12),-1)</f>
        <v/>
      </c>
      <c r="W5036" s="17">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I-I-0427</t>
        </is>
      </c>
      <c r="B5037" s="12" t="inlineStr">
        <is>
          <t>I</t>
        </is>
      </c>
      <c r="C5037" s="12" t="inlineStr">
        <is>
          <t>Modular / portable power</t>
        </is>
      </c>
      <c r="D5037" s="12" t="inlineStr">
        <is>
          <t>Home run JB-RICE-6-DI02 to the control / marshalling room</t>
        </is>
      </c>
      <c r="E5037" s="12" t="inlineStr"/>
      <c r="F5037" s="12" t="inlineStr">
        <is>
          <t>PCM: power control module</t>
        </is>
      </c>
      <c r="G5037" s="12" t="inlineStr">
        <is>
          <t>JB-RICE-6-DI02</t>
        </is>
      </c>
      <c r="H5037" s="12" t="inlineStr">
        <is>
          <t>RICE engine-generator 6</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7" t="n">
        <v>367</v>
      </c>
      <c r="U5037" s="17" t="n">
        <v>180</v>
      </c>
      <c r="V5037" s="17">
        <f>ROUNDUP((T5037+U5037+2*'Read Me'!$B$13)*(1+'Read Me'!$B$12),-1)</f>
        <v/>
      </c>
      <c r="W5037" s="17">
        <f>V5037*N5037*O5037</f>
        <v/>
      </c>
      <c r="X5037" s="12">
        <f>IF(LEFT(I5037,2)="MV",2*N5037*IF(L5037="1/C",O5037,1),0)</f>
        <v/>
      </c>
      <c r="Y5037" s="12">
        <f>IF(OR(LEFT(K5037,4)="LVAX",LEFT(K5037,6)="MV15AX",LEFT(K5037,4)="CTAX",LEFT(K5037,2)="W|"),2*N5037*O5037,0)</f>
        <v/>
      </c>
      <c r="Z5037" s="12" t="inlineStr"/>
      <c r="AA5037" s="12">
        <f>N5037*O5037</f>
        <v/>
      </c>
    </row>
    <row r="5038">
      <c r="A5038" s="12" t="inlineStr">
        <is>
          <t>I-I-0428</t>
        </is>
      </c>
      <c r="B5038" s="12" t="inlineStr">
        <is>
          <t>I</t>
        </is>
      </c>
      <c r="C5038" s="12" t="inlineStr">
        <is>
          <t>Modular / portable power</t>
        </is>
      </c>
      <c r="D5038" s="12" t="inlineStr">
        <is>
          <t>Discrete device to JB JB-RICE-6-DI03: 20 x 1 pr (field cables)</t>
        </is>
      </c>
      <c r="E5038" s="12" t="inlineStr">
        <is>
          <t>RICE-6</t>
        </is>
      </c>
      <c r="F5038" s="12" t="inlineStr">
        <is>
          <t>RICE engine-generator 6</t>
        </is>
      </c>
      <c r="G5038" s="12" t="inlineStr">
        <is>
          <t>JB-RICE-6-DI03</t>
        </is>
      </c>
      <c r="H5038" s="12" t="inlineStr">
        <is>
          <t>RICE engine-generator 6</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7" t="n">
        <v>72</v>
      </c>
      <c r="U5038" s="17" t="n">
        <v>10</v>
      </c>
      <c r="V5038" s="17">
        <f>ROUNDUP((T5038+U5038+2*'Read Me'!$B$13)*(1+'Read Me'!$B$12),-1)</f>
        <v/>
      </c>
      <c r="W5038" s="17">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I-I-0429</t>
        </is>
      </c>
      <c r="B5039" s="12" t="inlineStr">
        <is>
          <t>I</t>
        </is>
      </c>
      <c r="C5039" s="12" t="inlineStr">
        <is>
          <t>Modular / portable power</t>
        </is>
      </c>
      <c r="D5039" s="12" t="inlineStr">
        <is>
          <t>Home run JB-RICE-6-DI03 to the control / marshalling room</t>
        </is>
      </c>
      <c r="E5039" s="12" t="inlineStr"/>
      <c r="F5039" s="12" t="inlineStr">
        <is>
          <t>PCM: power control module</t>
        </is>
      </c>
      <c r="G5039" s="12" t="inlineStr">
        <is>
          <t>JB-RICE-6-DI03</t>
        </is>
      </c>
      <c r="H5039" s="12" t="inlineStr">
        <is>
          <t>RICE engine-generator 6</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Duct bank</t>
        </is>
      </c>
      <c r="T5039" s="17" t="n">
        <v>367</v>
      </c>
      <c r="U5039" s="17" t="n">
        <v>180</v>
      </c>
      <c r="V5039" s="17">
        <f>ROUNDUP((T5039+U5039+2*'Read Me'!$B$13)*(1+'Read Me'!$B$12),-1)</f>
        <v/>
      </c>
      <c r="W5039" s="17">
        <f>V5039*N5039*O5039</f>
        <v/>
      </c>
      <c r="X5039" s="12">
        <f>IF(LEFT(I5039,2)="MV",2*N5039*IF(L5039="1/C",O5039,1),0)</f>
        <v/>
      </c>
      <c r="Y5039" s="12">
        <f>IF(OR(LEFT(K5039,4)="LVAX",LEFT(K5039,6)="MV15AX",LEFT(K5039,4)="CTAX",LEFT(K5039,2)="W|"),2*N5039*O5039,0)</f>
        <v/>
      </c>
      <c r="Z5039" s="12" t="inlineStr"/>
      <c r="AA5039" s="12">
        <f>N5039*O5039</f>
        <v/>
      </c>
    </row>
    <row r="5040">
      <c r="A5040" s="12" t="inlineStr">
        <is>
          <t>I-I-0430</t>
        </is>
      </c>
      <c r="B5040" s="12" t="inlineStr">
        <is>
          <t>I</t>
        </is>
      </c>
      <c r="C5040" s="12" t="inlineStr">
        <is>
          <t>Modular / portable power</t>
        </is>
      </c>
      <c r="D5040" s="12" t="inlineStr">
        <is>
          <t>Thermocouple to TC JB JB-RICE-6-TC01: 20 x 1 pr (field cables)</t>
        </is>
      </c>
      <c r="E5040" s="12" t="inlineStr">
        <is>
          <t>RICE-6</t>
        </is>
      </c>
      <c r="F5040" s="12" t="inlineStr">
        <is>
          <t>RICE engine-generator 6</t>
        </is>
      </c>
      <c r="G5040" s="12" t="inlineStr">
        <is>
          <t>JB-RICE-6-TC01</t>
        </is>
      </c>
      <c r="H5040" s="12" t="inlineStr">
        <is>
          <t>RICE engine-generator 6</t>
        </is>
      </c>
      <c r="I5040" s="12" t="inlineStr">
        <is>
          <t>Instrumentation</t>
        </is>
      </c>
      <c r="J5040" s="12" t="inlineStr">
        <is>
          <t>Thermocouple extension KX, #16 shielded pairs, PLTC</t>
        </is>
      </c>
      <c r="K5040" s="12" t="inlineStr">
        <is>
          <t>TCX|1 pr|16</t>
        </is>
      </c>
      <c r="L5040" s="12" t="inlineStr">
        <is>
          <t>1 pr</t>
        </is>
      </c>
      <c r="M5040" s="12" t="inlineStr">
        <is>
          <t>16</t>
        </is>
      </c>
      <c r="N5040" s="12" t="n">
        <v>20</v>
      </c>
      <c r="O5040" s="12" t="n">
        <v>1</v>
      </c>
      <c r="P5040" s="12" t="n"/>
      <c r="Q5040" s="12" t="n"/>
      <c r="R5040" s="12" t="n"/>
      <c r="S5040" s="12" t="inlineStr">
        <is>
          <t>Tray / conduit</t>
        </is>
      </c>
      <c r="T5040" s="17" t="n">
        <v>72</v>
      </c>
      <c r="U5040" s="17" t="n">
        <v>10</v>
      </c>
      <c r="V5040" s="17">
        <f>ROUNDUP((T5040+U5040+2*'Read Me'!$B$13)*(1+'Read Me'!$B$12),-1)</f>
        <v/>
      </c>
      <c r="W5040" s="17">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I-I-0431</t>
        </is>
      </c>
      <c r="B5041" s="12" t="inlineStr">
        <is>
          <t>I</t>
        </is>
      </c>
      <c r="C5041" s="12" t="inlineStr">
        <is>
          <t>Modular / portable power</t>
        </is>
      </c>
      <c r="D5041" s="12" t="inlineStr">
        <is>
          <t>Home run JB-RICE-6-TC01 to the control / marshalling room</t>
        </is>
      </c>
      <c r="E5041" s="12" t="inlineStr"/>
      <c r="F5041" s="12" t="inlineStr">
        <is>
          <t>PCM: power control module</t>
        </is>
      </c>
      <c r="G5041" s="12" t="inlineStr">
        <is>
          <t>JB-RICE-6-TC01</t>
        </is>
      </c>
      <c r="H5041" s="12" t="inlineStr">
        <is>
          <t>RICE engine-generator 6</t>
        </is>
      </c>
      <c r="I5041" s="12" t="inlineStr">
        <is>
          <t>Instrumentation</t>
        </is>
      </c>
      <c r="J5041" s="12" t="inlineStr">
        <is>
          <t>Thermocouple extension KX, #16 shielded pairs, PLTC</t>
        </is>
      </c>
      <c r="K5041" s="12" t="inlineStr">
        <is>
          <t>TCX|24 pr|16</t>
        </is>
      </c>
      <c r="L5041" s="12" t="inlineStr">
        <is>
          <t>24 pr</t>
        </is>
      </c>
      <c r="M5041" s="12" t="inlineStr">
        <is>
          <t>16</t>
        </is>
      </c>
      <c r="N5041" s="12" t="n">
        <v>1</v>
      </c>
      <c r="O5041" s="12" t="n">
        <v>1</v>
      </c>
      <c r="P5041" s="12" t="n"/>
      <c r="Q5041" s="12" t="n"/>
      <c r="R5041" s="12" t="n"/>
      <c r="S5041" s="12" t="inlineStr">
        <is>
          <t>Duct bank</t>
        </is>
      </c>
      <c r="T5041" s="17" t="n">
        <v>367</v>
      </c>
      <c r="U5041" s="17" t="n">
        <v>180</v>
      </c>
      <c r="V5041" s="17">
        <f>ROUNDUP((T5041+U5041+2*'Read Me'!$B$13)*(1+'Read Me'!$B$12),-1)</f>
        <v/>
      </c>
      <c r="W5041" s="17">
        <f>V5041*N5041*O5041</f>
        <v/>
      </c>
      <c r="X5041" s="12">
        <f>IF(LEFT(I5041,2)="MV",2*N5041*IF(L5041="1/C",O5041,1),0)</f>
        <v/>
      </c>
      <c r="Y5041" s="12">
        <f>IF(OR(LEFT(K5041,4)="LVAX",LEFT(K5041,6)="MV15AX",LEFT(K5041,4)="CTAX",LEFT(K5041,2)="W|"),2*N5041*O5041,0)</f>
        <v/>
      </c>
      <c r="Z5041" s="12" t="inlineStr"/>
      <c r="AA5041" s="12">
        <f>N5041*O5041</f>
        <v/>
      </c>
    </row>
    <row r="5042">
      <c r="A5042" s="12" t="inlineStr">
        <is>
          <t>I-I-0432</t>
        </is>
      </c>
      <c r="B5042" s="12" t="inlineStr">
        <is>
          <t>I</t>
        </is>
      </c>
      <c r="C5042" s="12" t="inlineStr">
        <is>
          <t>Modular / portable power</t>
        </is>
      </c>
      <c r="D5042" s="12" t="inlineStr">
        <is>
          <t>Thermocouple to TC JB JB-RICE-6-TC02: 10 x 1 pr (field cables)</t>
        </is>
      </c>
      <c r="E5042" s="12" t="inlineStr">
        <is>
          <t>RICE-6</t>
        </is>
      </c>
      <c r="F5042" s="12" t="inlineStr">
        <is>
          <t>RICE engine-generator 6</t>
        </is>
      </c>
      <c r="G5042" s="12" t="inlineStr">
        <is>
          <t>JB-RICE-6-TC02</t>
        </is>
      </c>
      <c r="H5042" s="12" t="inlineStr">
        <is>
          <t>RICE engine-generator 6</t>
        </is>
      </c>
      <c r="I5042" s="12" t="inlineStr">
        <is>
          <t>Instrumentation</t>
        </is>
      </c>
      <c r="J5042" s="12" t="inlineStr">
        <is>
          <t>Thermocouple extension KX, #16 shielded pairs, PLTC</t>
        </is>
      </c>
      <c r="K5042" s="12" t="inlineStr">
        <is>
          <t>TCX|1 pr|16</t>
        </is>
      </c>
      <c r="L5042" s="12" t="inlineStr">
        <is>
          <t>1 pr</t>
        </is>
      </c>
      <c r="M5042" s="12" t="inlineStr">
        <is>
          <t>16</t>
        </is>
      </c>
      <c r="N5042" s="12" t="n">
        <v>10</v>
      </c>
      <c r="O5042" s="12" t="n">
        <v>1</v>
      </c>
      <c r="P5042" s="12" t="n"/>
      <c r="Q5042" s="12" t="n"/>
      <c r="R5042" s="12" t="n"/>
      <c r="S5042" s="12" t="inlineStr">
        <is>
          <t>Tray / conduit</t>
        </is>
      </c>
      <c r="T5042" s="17" t="n">
        <v>72</v>
      </c>
      <c r="U5042" s="17" t="n">
        <v>10</v>
      </c>
      <c r="V5042" s="17">
        <f>ROUNDUP((T5042+U5042+2*'Read Me'!$B$13)*(1+'Read Me'!$B$12),-1)</f>
        <v/>
      </c>
      <c r="W5042" s="17">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I-I-0433</t>
        </is>
      </c>
      <c r="B5043" s="12" t="inlineStr">
        <is>
          <t>I</t>
        </is>
      </c>
      <c r="C5043" s="12" t="inlineStr">
        <is>
          <t>Modular / portable power</t>
        </is>
      </c>
      <c r="D5043" s="12" t="inlineStr">
        <is>
          <t>Home run JB-RICE-6-TC02 to the control / marshalling room</t>
        </is>
      </c>
      <c r="E5043" s="12" t="inlineStr"/>
      <c r="F5043" s="12" t="inlineStr">
        <is>
          <t>PCM: power control module</t>
        </is>
      </c>
      <c r="G5043" s="12" t="inlineStr">
        <is>
          <t>JB-RICE-6-TC02</t>
        </is>
      </c>
      <c r="H5043" s="12" t="inlineStr">
        <is>
          <t>RICE engine-generator 6</t>
        </is>
      </c>
      <c r="I5043" s="12" t="inlineStr">
        <is>
          <t>Instrumentation</t>
        </is>
      </c>
      <c r="J5043" s="12" t="inlineStr">
        <is>
          <t>Thermocouple extension KX, #16 shielded pairs, PLTC</t>
        </is>
      </c>
      <c r="K5043" s="12" t="inlineStr">
        <is>
          <t>TCX|24 pr|16</t>
        </is>
      </c>
      <c r="L5043" s="12" t="inlineStr">
        <is>
          <t>24 pr</t>
        </is>
      </c>
      <c r="M5043" s="12" t="inlineStr">
        <is>
          <t>16</t>
        </is>
      </c>
      <c r="N5043" s="12" t="n">
        <v>1</v>
      </c>
      <c r="O5043" s="12" t="n">
        <v>1</v>
      </c>
      <c r="P5043" s="12" t="n"/>
      <c r="Q5043" s="12" t="n"/>
      <c r="R5043" s="12" t="n"/>
      <c r="S5043" s="12" t="inlineStr">
        <is>
          <t>Duct bank</t>
        </is>
      </c>
      <c r="T5043" s="17" t="n">
        <v>367</v>
      </c>
      <c r="U5043" s="17" t="n">
        <v>180</v>
      </c>
      <c r="V5043" s="17">
        <f>ROUNDUP((T5043+U5043+2*'Read Me'!$B$13)*(1+'Read Me'!$B$12),-1)</f>
        <v/>
      </c>
      <c r="W5043" s="17">
        <f>V5043*N5043*O5043</f>
        <v/>
      </c>
      <c r="X5043" s="12">
        <f>IF(LEFT(I5043,2)="MV",2*N5043*IF(L5043="1/C",O5043,1),0)</f>
        <v/>
      </c>
      <c r="Y5043" s="12">
        <f>IF(OR(LEFT(K5043,4)="LVAX",LEFT(K5043,6)="MV15AX",LEFT(K5043,4)="CTAX",LEFT(K5043,2)="W|"),2*N5043*O5043,0)</f>
        <v/>
      </c>
      <c r="Z5043" s="12" t="inlineStr"/>
      <c r="AA5043" s="12">
        <f>N5043*O5043</f>
        <v/>
      </c>
    </row>
    <row r="5044">
      <c r="A5044" s="12" t="inlineStr">
        <is>
          <t>I-I-0434</t>
        </is>
      </c>
      <c r="B5044" s="12" t="inlineStr">
        <is>
          <t>I</t>
        </is>
      </c>
      <c r="C5044" s="12" t="inlineStr">
        <is>
          <t>Modular / portable power</t>
        </is>
      </c>
      <c r="D5044" s="12" t="inlineStr">
        <is>
          <t>RTD to JB JB-RICE-6-RTD01: 10 x 1 tri (field cables)</t>
        </is>
      </c>
      <c r="E5044" s="12" t="inlineStr">
        <is>
          <t>RICE-6</t>
        </is>
      </c>
      <c r="F5044" s="12" t="inlineStr">
        <is>
          <t>RICE engine-generator 6</t>
        </is>
      </c>
      <c r="G5044" s="12" t="inlineStr">
        <is>
          <t>JB-RICE-6-RTD01</t>
        </is>
      </c>
      <c r="H5044" s="12" t="inlineStr">
        <is>
          <t>RICE engine-generator 6</t>
        </is>
      </c>
      <c r="I5044" s="12" t="inlineStr">
        <is>
          <t>Instrumentation</t>
        </is>
      </c>
      <c r="J5044" s="12" t="inlineStr">
        <is>
          <t>RTD cable, #18 shielded triads, PLTC</t>
        </is>
      </c>
      <c r="K5044" s="12" t="inlineStr">
        <is>
          <t>RTD|1 tri|18</t>
        </is>
      </c>
      <c r="L5044" s="12" t="inlineStr">
        <is>
          <t>1 tri</t>
        </is>
      </c>
      <c r="M5044" s="12" t="inlineStr">
        <is>
          <t>18</t>
        </is>
      </c>
      <c r="N5044" s="12" t="n">
        <v>10</v>
      </c>
      <c r="O5044" s="12" t="n">
        <v>1</v>
      </c>
      <c r="P5044" s="12" t="n"/>
      <c r="Q5044" s="12" t="n"/>
      <c r="R5044" s="12" t="n"/>
      <c r="S5044" s="12" t="inlineStr">
        <is>
          <t>Tray / conduit</t>
        </is>
      </c>
      <c r="T5044" s="17" t="n">
        <v>72</v>
      </c>
      <c r="U5044" s="17" t="n">
        <v>10</v>
      </c>
      <c r="V5044" s="17">
        <f>ROUNDUP((T5044+U5044+2*'Read Me'!$B$13)*(1+'Read Me'!$B$12),-1)</f>
        <v/>
      </c>
      <c r="W5044" s="17">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I-I-0435</t>
        </is>
      </c>
      <c r="B5045" s="12" t="inlineStr">
        <is>
          <t>I</t>
        </is>
      </c>
      <c r="C5045" s="12" t="inlineStr">
        <is>
          <t>Modular / portable power</t>
        </is>
      </c>
      <c r="D5045" s="12" t="inlineStr">
        <is>
          <t>Home run JB-RICE-6-RTD01 to the control / marshalling room</t>
        </is>
      </c>
      <c r="E5045" s="12" t="inlineStr"/>
      <c r="F5045" s="12" t="inlineStr">
        <is>
          <t>PCM: power control module</t>
        </is>
      </c>
      <c r="G5045" s="12" t="inlineStr">
        <is>
          <t>JB-RICE-6-RTD01</t>
        </is>
      </c>
      <c r="H5045" s="12" t="inlineStr">
        <is>
          <t>RICE engine-generator 6</t>
        </is>
      </c>
      <c r="I5045" s="12" t="inlineStr">
        <is>
          <t>Instrumentation</t>
        </is>
      </c>
      <c r="J5045" s="12" t="inlineStr">
        <is>
          <t>RTD cable, #18 shielded triads, PLTC</t>
        </is>
      </c>
      <c r="K5045" s="12" t="inlineStr">
        <is>
          <t>RTD|12 tri|18</t>
        </is>
      </c>
      <c r="L5045" s="12" t="inlineStr">
        <is>
          <t>12 tri</t>
        </is>
      </c>
      <c r="M5045" s="12" t="inlineStr">
        <is>
          <t>18</t>
        </is>
      </c>
      <c r="N5045" s="12" t="n">
        <v>1</v>
      </c>
      <c r="O5045" s="12" t="n">
        <v>1</v>
      </c>
      <c r="P5045" s="12" t="n"/>
      <c r="Q5045" s="12" t="n"/>
      <c r="R5045" s="12" t="n"/>
      <c r="S5045" s="12" t="inlineStr">
        <is>
          <t>Duct bank</t>
        </is>
      </c>
      <c r="T5045" s="17" t="n">
        <v>367</v>
      </c>
      <c r="U5045" s="17" t="n">
        <v>180</v>
      </c>
      <c r="V5045" s="17">
        <f>ROUNDUP((T5045+U5045+2*'Read Me'!$B$13)*(1+'Read Me'!$B$12),-1)</f>
        <v/>
      </c>
      <c r="W5045" s="17">
        <f>V5045*N5045*O5045</f>
        <v/>
      </c>
      <c r="X5045" s="12">
        <f>IF(LEFT(I5045,2)="MV",2*N5045*IF(L5045="1/C",O5045,1),0)</f>
        <v/>
      </c>
      <c r="Y5045" s="12">
        <f>IF(OR(LEFT(K5045,4)="LVAX",LEFT(K5045,6)="MV15AX",LEFT(K5045,4)="CTAX",LEFT(K5045,2)="W|"),2*N5045*O5045,0)</f>
        <v/>
      </c>
      <c r="Z5045" s="12" t="inlineStr"/>
      <c r="AA5045" s="12">
        <f>N5045*O5045</f>
        <v/>
      </c>
    </row>
    <row r="5046">
      <c r="A5046" s="12" t="inlineStr">
        <is>
          <t>I-I-0436</t>
        </is>
      </c>
      <c r="B5046" s="12" t="inlineStr">
        <is>
          <t>I</t>
        </is>
      </c>
      <c r="C5046" s="12" t="inlineStr">
        <is>
          <t>Modular / portable power</t>
        </is>
      </c>
      <c r="D5046" s="12" t="inlineStr">
        <is>
          <t>RTD to JB JB-RICE-6-RTD02: 2 x 1 tri (field cables)</t>
        </is>
      </c>
      <c r="E5046" s="12" t="inlineStr">
        <is>
          <t>RICE-6</t>
        </is>
      </c>
      <c r="F5046" s="12" t="inlineStr">
        <is>
          <t>RICE engine-generator 6</t>
        </is>
      </c>
      <c r="G5046" s="12" t="inlineStr">
        <is>
          <t>JB-RICE-6-RTD02</t>
        </is>
      </c>
      <c r="H5046" s="12" t="inlineStr">
        <is>
          <t>RICE engine-generator 6</t>
        </is>
      </c>
      <c r="I5046" s="12" t="inlineStr">
        <is>
          <t>Instrumentation</t>
        </is>
      </c>
      <c r="J5046" s="12" t="inlineStr">
        <is>
          <t>RTD cable, #18 shielded triads, PLTC</t>
        </is>
      </c>
      <c r="K5046" s="12" t="inlineStr">
        <is>
          <t>RTD|1 tri|18</t>
        </is>
      </c>
      <c r="L5046" s="12" t="inlineStr">
        <is>
          <t>1 tri</t>
        </is>
      </c>
      <c r="M5046" s="12" t="inlineStr">
        <is>
          <t>18</t>
        </is>
      </c>
      <c r="N5046" s="12" t="n">
        <v>2</v>
      </c>
      <c r="O5046" s="12" t="n">
        <v>1</v>
      </c>
      <c r="P5046" s="12" t="n"/>
      <c r="Q5046" s="12" t="n"/>
      <c r="R5046" s="12" t="n"/>
      <c r="S5046" s="12" t="inlineStr">
        <is>
          <t>Tray / conduit</t>
        </is>
      </c>
      <c r="T5046" s="17" t="n">
        <v>72</v>
      </c>
      <c r="U5046" s="17" t="n">
        <v>10</v>
      </c>
      <c r="V5046" s="17">
        <f>ROUNDUP((T5046+U5046+2*'Read Me'!$B$13)*(1+'Read Me'!$B$12),-1)</f>
        <v/>
      </c>
      <c r="W5046" s="17">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I-I-0437</t>
        </is>
      </c>
      <c r="B5047" s="12" t="inlineStr">
        <is>
          <t>I</t>
        </is>
      </c>
      <c r="C5047" s="12" t="inlineStr">
        <is>
          <t>Modular / portable power</t>
        </is>
      </c>
      <c r="D5047" s="12" t="inlineStr">
        <is>
          <t>Home run JB-RICE-6-RTD02 to the control / marshalling room</t>
        </is>
      </c>
      <c r="E5047" s="12" t="inlineStr"/>
      <c r="F5047" s="12" t="inlineStr">
        <is>
          <t>PCM: power control module</t>
        </is>
      </c>
      <c r="G5047" s="12" t="inlineStr">
        <is>
          <t>JB-RICE-6-RTD02</t>
        </is>
      </c>
      <c r="H5047" s="12" t="inlineStr">
        <is>
          <t>RICE engine-generator 6</t>
        </is>
      </c>
      <c r="I5047" s="12" t="inlineStr">
        <is>
          <t>Instrumentation</t>
        </is>
      </c>
      <c r="J5047" s="12" t="inlineStr">
        <is>
          <t>RTD cable, #18 shielded triads, PLTC</t>
        </is>
      </c>
      <c r="K5047" s="12" t="inlineStr">
        <is>
          <t>RTD|12 tri|18</t>
        </is>
      </c>
      <c r="L5047" s="12" t="inlineStr">
        <is>
          <t>12 tri</t>
        </is>
      </c>
      <c r="M5047" s="12" t="inlineStr">
        <is>
          <t>18</t>
        </is>
      </c>
      <c r="N5047" s="12" t="n">
        <v>1</v>
      </c>
      <c r="O5047" s="12" t="n">
        <v>1</v>
      </c>
      <c r="P5047" s="12" t="n"/>
      <c r="Q5047" s="12" t="n"/>
      <c r="R5047" s="12" t="n"/>
      <c r="S5047" s="12" t="inlineStr">
        <is>
          <t>Duct bank</t>
        </is>
      </c>
      <c r="T5047" s="17" t="n">
        <v>367</v>
      </c>
      <c r="U5047" s="17" t="n">
        <v>180</v>
      </c>
      <c r="V5047" s="17">
        <f>ROUNDUP((T5047+U5047+2*'Read Me'!$B$13)*(1+'Read Me'!$B$12),-1)</f>
        <v/>
      </c>
      <c r="W5047" s="17">
        <f>V5047*N5047*O5047</f>
        <v/>
      </c>
      <c r="X5047" s="12">
        <f>IF(LEFT(I5047,2)="MV",2*N5047*IF(L5047="1/C",O5047,1),0)</f>
        <v/>
      </c>
      <c r="Y5047" s="12">
        <f>IF(OR(LEFT(K5047,4)="LVAX",LEFT(K5047,6)="MV15AX",LEFT(K5047,4)="CTAX",LEFT(K5047,2)="W|"),2*N5047*O5047,0)</f>
        <v/>
      </c>
      <c r="Z5047" s="12" t="inlineStr"/>
      <c r="AA5047" s="12">
        <f>N5047*O5047</f>
        <v/>
      </c>
    </row>
    <row r="5048">
      <c r="A5048" s="12" t="inlineStr">
        <is>
          <t>I-I-0438</t>
        </is>
      </c>
      <c r="B5048" s="12" t="inlineStr">
        <is>
          <t>I</t>
        </is>
      </c>
      <c r="C5048" s="12" t="inlineStr">
        <is>
          <t>Modular / portable power</t>
        </is>
      </c>
      <c r="D5048" s="12" t="inlineStr">
        <is>
          <t>Analog instrument to JB JB-RICE-7-AI01: 20 x 1 pr (field cables)</t>
        </is>
      </c>
      <c r="E5048" s="12" t="inlineStr">
        <is>
          <t>RICE-7</t>
        </is>
      </c>
      <c r="F5048" s="12" t="inlineStr">
        <is>
          <t>RICE engine-generator 7</t>
        </is>
      </c>
      <c r="G5048" s="12" t="inlineStr">
        <is>
          <t>JB-RICE-7-AI01</t>
        </is>
      </c>
      <c r="H5048" s="12" t="inlineStr">
        <is>
          <t>RICE engine-generator 7</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20</v>
      </c>
      <c r="O5048" s="12" t="n">
        <v>1</v>
      </c>
      <c r="P5048" s="12" t="n"/>
      <c r="Q5048" s="12" t="n"/>
      <c r="R5048" s="12" t="n"/>
      <c r="S5048" s="12" t="inlineStr">
        <is>
          <t>Tray / conduit</t>
        </is>
      </c>
      <c r="T5048" s="17" t="n">
        <v>72</v>
      </c>
      <c r="U5048" s="17" t="n">
        <v>10</v>
      </c>
      <c r="V5048" s="17">
        <f>ROUNDUP((T5048+U5048+2*'Read Me'!$B$13)*(1+'Read Me'!$B$12),-1)</f>
        <v/>
      </c>
      <c r="W5048" s="17">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I-I-0439</t>
        </is>
      </c>
      <c r="B5049" s="12" t="inlineStr">
        <is>
          <t>I</t>
        </is>
      </c>
      <c r="C5049" s="12" t="inlineStr">
        <is>
          <t>Modular / portable power</t>
        </is>
      </c>
      <c r="D5049" s="12" t="inlineStr">
        <is>
          <t>Home run JB-RICE-7-AI01 to the control / marshalling room</t>
        </is>
      </c>
      <c r="E5049" s="12" t="inlineStr"/>
      <c r="F5049" s="12" t="inlineStr">
        <is>
          <t>PCM: power control module</t>
        </is>
      </c>
      <c r="G5049" s="12" t="inlineStr">
        <is>
          <t>JB-RICE-7-AI01</t>
        </is>
      </c>
      <c r="H5049" s="12" t="inlineStr">
        <is>
          <t>RICE engine-generator 7</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Tray</t>
        </is>
      </c>
      <c r="T5049" s="17" t="n">
        <v>0</v>
      </c>
      <c r="U5049" s="17" t="n">
        <v>189</v>
      </c>
      <c r="V5049" s="17">
        <f>ROUNDUP((T5049+U5049+2*'Read Me'!$B$13)*(1+'Read Me'!$B$12),-1)</f>
        <v/>
      </c>
      <c r="W5049" s="17">
        <f>V5049*N5049*O5049</f>
        <v/>
      </c>
      <c r="X5049" s="12">
        <f>IF(LEFT(I5049,2)="MV",2*N5049*IF(L5049="1/C",O5049,1),0)</f>
        <v/>
      </c>
      <c r="Y5049" s="12">
        <f>IF(OR(LEFT(K5049,4)="LVAX",LEFT(K5049,6)="MV15AX",LEFT(K5049,4)="CTAX",LEFT(K5049,2)="W|"),2*N5049*O5049,0)</f>
        <v/>
      </c>
      <c r="Z5049" s="12" t="inlineStr"/>
      <c r="AA5049" s="12">
        <f>N5049*O5049</f>
        <v/>
      </c>
    </row>
    <row r="5050">
      <c r="A5050" s="12" t="inlineStr">
        <is>
          <t>I-I-0440</t>
        </is>
      </c>
      <c r="B5050" s="12" t="inlineStr">
        <is>
          <t>I</t>
        </is>
      </c>
      <c r="C5050" s="12" t="inlineStr">
        <is>
          <t>Modular / portable power</t>
        </is>
      </c>
      <c r="D5050" s="12" t="inlineStr">
        <is>
          <t>Analog instrument to JB JB-RICE-7-AI02: 20 x 1 pr (field cables)</t>
        </is>
      </c>
      <c r="E5050" s="12" t="inlineStr">
        <is>
          <t>RICE-7</t>
        </is>
      </c>
      <c r="F5050" s="12" t="inlineStr">
        <is>
          <t>RICE engine-generator 7</t>
        </is>
      </c>
      <c r="G5050" s="12" t="inlineStr">
        <is>
          <t>JB-RICE-7-AI02</t>
        </is>
      </c>
      <c r="H5050" s="12" t="inlineStr">
        <is>
          <t>RICE engine-generator 7</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7" t="n">
        <v>72</v>
      </c>
      <c r="U5050" s="17" t="n">
        <v>10</v>
      </c>
      <c r="V5050" s="17">
        <f>ROUNDUP((T5050+U5050+2*'Read Me'!$B$13)*(1+'Read Me'!$B$12),-1)</f>
        <v/>
      </c>
      <c r="W5050" s="17">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I-I-0441</t>
        </is>
      </c>
      <c r="B5051" s="12" t="inlineStr">
        <is>
          <t>I</t>
        </is>
      </c>
      <c r="C5051" s="12" t="inlineStr">
        <is>
          <t>Modular / portable power</t>
        </is>
      </c>
      <c r="D5051" s="12" t="inlineStr">
        <is>
          <t>Home run JB-RICE-7-AI02 to the control / marshalling room</t>
        </is>
      </c>
      <c r="E5051" s="12" t="inlineStr"/>
      <c r="F5051" s="12" t="inlineStr">
        <is>
          <t>PCM: power control module</t>
        </is>
      </c>
      <c r="G5051" s="12" t="inlineStr">
        <is>
          <t>JB-RICE-7-AI02</t>
        </is>
      </c>
      <c r="H5051" s="12" t="inlineStr">
        <is>
          <t>RICE engine-generator 7</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Tray</t>
        </is>
      </c>
      <c r="T5051" s="17" t="n">
        <v>0</v>
      </c>
      <c r="U5051" s="17" t="n">
        <v>189</v>
      </c>
      <c r="V5051" s="17">
        <f>ROUNDUP((T5051+U5051+2*'Read Me'!$B$13)*(1+'Read Me'!$B$12),-1)</f>
        <v/>
      </c>
      <c r="W5051" s="17">
        <f>V5051*N5051*O5051</f>
        <v/>
      </c>
      <c r="X5051" s="12">
        <f>IF(LEFT(I5051,2)="MV",2*N5051*IF(L5051="1/C",O5051,1),0)</f>
        <v/>
      </c>
      <c r="Y5051" s="12">
        <f>IF(OR(LEFT(K5051,4)="LVAX",LEFT(K5051,6)="MV15AX",LEFT(K5051,4)="CTAX",LEFT(K5051,2)="W|"),2*N5051*O5051,0)</f>
        <v/>
      </c>
      <c r="Z5051" s="12" t="inlineStr"/>
      <c r="AA5051" s="12">
        <f>N5051*O5051</f>
        <v/>
      </c>
    </row>
    <row r="5052">
      <c r="A5052" s="12" t="inlineStr">
        <is>
          <t>I-I-0442</t>
        </is>
      </c>
      <c r="B5052" s="12" t="inlineStr">
        <is>
          <t>I</t>
        </is>
      </c>
      <c r="C5052" s="12" t="inlineStr">
        <is>
          <t>Modular / portable power</t>
        </is>
      </c>
      <c r="D5052" s="12" t="inlineStr">
        <is>
          <t>Analog instrument to JB JB-RICE-7-AI03: 20 x 1 pr (field cables)</t>
        </is>
      </c>
      <c r="E5052" s="12" t="inlineStr">
        <is>
          <t>RICE-7</t>
        </is>
      </c>
      <c r="F5052" s="12" t="inlineStr">
        <is>
          <t>RICE engine-generator 7</t>
        </is>
      </c>
      <c r="G5052" s="12" t="inlineStr">
        <is>
          <t>JB-RICE-7-AI03</t>
        </is>
      </c>
      <c r="H5052" s="12" t="inlineStr">
        <is>
          <t>RICE engine-generator 7</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20</v>
      </c>
      <c r="O5052" s="12" t="n">
        <v>1</v>
      </c>
      <c r="P5052" s="12" t="n"/>
      <c r="Q5052" s="12" t="n"/>
      <c r="R5052" s="12" t="n"/>
      <c r="S5052" s="12" t="inlineStr">
        <is>
          <t>Tray / conduit</t>
        </is>
      </c>
      <c r="T5052" s="17" t="n">
        <v>72</v>
      </c>
      <c r="U5052" s="17" t="n">
        <v>10</v>
      </c>
      <c r="V5052" s="17">
        <f>ROUNDUP((T5052+U5052+2*'Read Me'!$B$13)*(1+'Read Me'!$B$12),-1)</f>
        <v/>
      </c>
      <c r="W5052" s="17">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I-I-0443</t>
        </is>
      </c>
      <c r="B5053" s="12" t="inlineStr">
        <is>
          <t>I</t>
        </is>
      </c>
      <c r="C5053" s="12" t="inlineStr">
        <is>
          <t>Modular / portable power</t>
        </is>
      </c>
      <c r="D5053" s="12" t="inlineStr">
        <is>
          <t>Home run JB-RICE-7-AI03 to the control / marshalling room</t>
        </is>
      </c>
      <c r="E5053" s="12" t="inlineStr"/>
      <c r="F5053" s="12" t="inlineStr">
        <is>
          <t>PCM: power control module</t>
        </is>
      </c>
      <c r="G5053" s="12" t="inlineStr">
        <is>
          <t>JB-RICE-7-AI03</t>
        </is>
      </c>
      <c r="H5053" s="12" t="inlineStr">
        <is>
          <t>RICE engine-generator 7</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Tray</t>
        </is>
      </c>
      <c r="T5053" s="17" t="n">
        <v>0</v>
      </c>
      <c r="U5053" s="17" t="n">
        <v>189</v>
      </c>
      <c r="V5053" s="17">
        <f>ROUNDUP((T5053+U5053+2*'Read Me'!$B$13)*(1+'Read Me'!$B$12),-1)</f>
        <v/>
      </c>
      <c r="W5053" s="17">
        <f>V5053*N5053*O5053</f>
        <v/>
      </c>
      <c r="X5053" s="12">
        <f>IF(LEFT(I5053,2)="MV",2*N5053*IF(L5053="1/C",O5053,1),0)</f>
        <v/>
      </c>
      <c r="Y5053" s="12">
        <f>IF(OR(LEFT(K5053,4)="LVAX",LEFT(K5053,6)="MV15AX",LEFT(K5053,4)="CTAX",LEFT(K5053,2)="W|"),2*N5053*O5053,0)</f>
        <v/>
      </c>
      <c r="Z5053" s="12" t="inlineStr"/>
      <c r="AA5053" s="12">
        <f>N5053*O5053</f>
        <v/>
      </c>
    </row>
    <row r="5054">
      <c r="A5054" s="12" t="inlineStr">
        <is>
          <t>I-I-0444</t>
        </is>
      </c>
      <c r="B5054" s="12" t="inlineStr">
        <is>
          <t>I</t>
        </is>
      </c>
      <c r="C5054" s="12" t="inlineStr">
        <is>
          <t>Modular / portable power</t>
        </is>
      </c>
      <c r="D5054" s="12" t="inlineStr">
        <is>
          <t>Analog instrument to JB JB-RICE-7-AI04: 20 x 1 pr (field cables)</t>
        </is>
      </c>
      <c r="E5054" s="12" t="inlineStr">
        <is>
          <t>RICE-7</t>
        </is>
      </c>
      <c r="F5054" s="12" t="inlineStr">
        <is>
          <t>RICE engine-generator 7</t>
        </is>
      </c>
      <c r="G5054" s="12" t="inlineStr">
        <is>
          <t>JB-RICE-7-AI04</t>
        </is>
      </c>
      <c r="H5054" s="12" t="inlineStr">
        <is>
          <t>RICE engine-generator 7</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7" t="n">
        <v>72</v>
      </c>
      <c r="U5054" s="17" t="n">
        <v>10</v>
      </c>
      <c r="V5054" s="17">
        <f>ROUNDUP((T5054+U5054+2*'Read Me'!$B$13)*(1+'Read Me'!$B$12),-1)</f>
        <v/>
      </c>
      <c r="W5054" s="17">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I-I-0445</t>
        </is>
      </c>
      <c r="B5055" s="12" t="inlineStr">
        <is>
          <t>I</t>
        </is>
      </c>
      <c r="C5055" s="12" t="inlineStr">
        <is>
          <t>Modular / portable power</t>
        </is>
      </c>
      <c r="D5055" s="12" t="inlineStr">
        <is>
          <t>Home run JB-RICE-7-AI04 to the control / marshalling room</t>
        </is>
      </c>
      <c r="E5055" s="12" t="inlineStr"/>
      <c r="F5055" s="12" t="inlineStr">
        <is>
          <t>PCM: power control module</t>
        </is>
      </c>
      <c r="G5055" s="12" t="inlineStr">
        <is>
          <t>JB-RICE-7-AI04</t>
        </is>
      </c>
      <c r="H5055" s="12" t="inlineStr">
        <is>
          <t>RICE engine-generator 7</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Tray</t>
        </is>
      </c>
      <c r="T5055" s="17" t="n">
        <v>0</v>
      </c>
      <c r="U5055" s="17" t="n">
        <v>189</v>
      </c>
      <c r="V5055" s="17">
        <f>ROUNDUP((T5055+U5055+2*'Read Me'!$B$13)*(1+'Read Me'!$B$12),-1)</f>
        <v/>
      </c>
      <c r="W5055" s="17">
        <f>V5055*N5055*O5055</f>
        <v/>
      </c>
      <c r="X5055" s="12">
        <f>IF(LEFT(I5055,2)="MV",2*N5055*IF(L5055="1/C",O5055,1),0)</f>
        <v/>
      </c>
      <c r="Y5055" s="12">
        <f>IF(OR(LEFT(K5055,4)="LVAX",LEFT(K5055,6)="MV15AX",LEFT(K5055,4)="CTAX",LEFT(K5055,2)="W|"),2*N5055*O5055,0)</f>
        <v/>
      </c>
      <c r="Z5055" s="12" t="inlineStr"/>
      <c r="AA5055" s="12">
        <f>N5055*O5055</f>
        <v/>
      </c>
    </row>
    <row r="5056">
      <c r="A5056" s="12" t="inlineStr">
        <is>
          <t>I-I-0446</t>
        </is>
      </c>
      <c r="B5056" s="12" t="inlineStr">
        <is>
          <t>I</t>
        </is>
      </c>
      <c r="C5056" s="12" t="inlineStr">
        <is>
          <t>Modular / portable power</t>
        </is>
      </c>
      <c r="D5056" s="12" t="inlineStr">
        <is>
          <t>Discrete device to JB JB-RICE-7-DI01: 20 x 1 pr (field cables)</t>
        </is>
      </c>
      <c r="E5056" s="12" t="inlineStr">
        <is>
          <t>RICE-7</t>
        </is>
      </c>
      <c r="F5056" s="12" t="inlineStr">
        <is>
          <t>RICE engine-generator 7</t>
        </is>
      </c>
      <c r="G5056" s="12" t="inlineStr">
        <is>
          <t>JB-RICE-7-DI01</t>
        </is>
      </c>
      <c r="H5056" s="12" t="inlineStr">
        <is>
          <t>RICE engine-generator 7</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7" t="n">
        <v>72</v>
      </c>
      <c r="U5056" s="17" t="n">
        <v>10</v>
      </c>
      <c r="V5056" s="17">
        <f>ROUNDUP((T5056+U5056+2*'Read Me'!$B$13)*(1+'Read Me'!$B$12),-1)</f>
        <v/>
      </c>
      <c r="W5056" s="17">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I-I-0447</t>
        </is>
      </c>
      <c r="B5057" s="12" t="inlineStr">
        <is>
          <t>I</t>
        </is>
      </c>
      <c r="C5057" s="12" t="inlineStr">
        <is>
          <t>Modular / portable power</t>
        </is>
      </c>
      <c r="D5057" s="12" t="inlineStr">
        <is>
          <t>Home run JB-RICE-7-DI01 to the control / marshalling room</t>
        </is>
      </c>
      <c r="E5057" s="12" t="inlineStr"/>
      <c r="F5057" s="12" t="inlineStr">
        <is>
          <t>PCM: power control module</t>
        </is>
      </c>
      <c r="G5057" s="12" t="inlineStr">
        <is>
          <t>JB-RICE-7-DI01</t>
        </is>
      </c>
      <c r="H5057" s="12" t="inlineStr">
        <is>
          <t>RICE engine-generator 7</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Tray</t>
        </is>
      </c>
      <c r="T5057" s="17" t="n">
        <v>0</v>
      </c>
      <c r="U5057" s="17" t="n">
        <v>189</v>
      </c>
      <c r="V5057" s="17">
        <f>ROUNDUP((T5057+U5057+2*'Read Me'!$B$13)*(1+'Read Me'!$B$12),-1)</f>
        <v/>
      </c>
      <c r="W5057" s="17">
        <f>V5057*N5057*O5057</f>
        <v/>
      </c>
      <c r="X5057" s="12">
        <f>IF(LEFT(I5057,2)="MV",2*N5057*IF(L5057="1/C",O5057,1),0)</f>
        <v/>
      </c>
      <c r="Y5057" s="12">
        <f>IF(OR(LEFT(K5057,4)="LVAX",LEFT(K5057,6)="MV15AX",LEFT(K5057,4)="CTAX",LEFT(K5057,2)="W|"),2*N5057*O5057,0)</f>
        <v/>
      </c>
      <c r="Z5057" s="12" t="inlineStr"/>
      <c r="AA5057" s="12">
        <f>N5057*O5057</f>
        <v/>
      </c>
    </row>
    <row r="5058">
      <c r="A5058" s="12" t="inlineStr">
        <is>
          <t>I-I-0448</t>
        </is>
      </c>
      <c r="B5058" s="12" t="inlineStr">
        <is>
          <t>I</t>
        </is>
      </c>
      <c r="C5058" s="12" t="inlineStr">
        <is>
          <t>Modular / portable power</t>
        </is>
      </c>
      <c r="D5058" s="12" t="inlineStr">
        <is>
          <t>Discrete device to JB JB-RICE-7-DI02: 20 x 1 pr (field cables)</t>
        </is>
      </c>
      <c r="E5058" s="12" t="inlineStr">
        <is>
          <t>RICE-7</t>
        </is>
      </c>
      <c r="F5058" s="12" t="inlineStr">
        <is>
          <t>RICE engine-generator 7</t>
        </is>
      </c>
      <c r="G5058" s="12" t="inlineStr">
        <is>
          <t>JB-RICE-7-DI02</t>
        </is>
      </c>
      <c r="H5058" s="12" t="inlineStr">
        <is>
          <t>RICE engine-generator 7</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7" t="n">
        <v>72</v>
      </c>
      <c r="U5058" s="17" t="n">
        <v>10</v>
      </c>
      <c r="V5058" s="17">
        <f>ROUNDUP((T5058+U5058+2*'Read Me'!$B$13)*(1+'Read Me'!$B$12),-1)</f>
        <v/>
      </c>
      <c r="W5058" s="17">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I-I-0449</t>
        </is>
      </c>
      <c r="B5059" s="12" t="inlineStr">
        <is>
          <t>I</t>
        </is>
      </c>
      <c r="C5059" s="12" t="inlineStr">
        <is>
          <t>Modular / portable power</t>
        </is>
      </c>
      <c r="D5059" s="12" t="inlineStr">
        <is>
          <t>Home run JB-RICE-7-DI02 to the control / marshalling room</t>
        </is>
      </c>
      <c r="E5059" s="12" t="inlineStr"/>
      <c r="F5059" s="12" t="inlineStr">
        <is>
          <t>PCM: power control module</t>
        </is>
      </c>
      <c r="G5059" s="12" t="inlineStr">
        <is>
          <t>JB-RICE-7-DI02</t>
        </is>
      </c>
      <c r="H5059" s="12" t="inlineStr">
        <is>
          <t>RICE engine-generator 7</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Tray</t>
        </is>
      </c>
      <c r="T5059" s="17" t="n">
        <v>0</v>
      </c>
      <c r="U5059" s="17" t="n">
        <v>189</v>
      </c>
      <c r="V5059" s="17">
        <f>ROUNDUP((T5059+U5059+2*'Read Me'!$B$13)*(1+'Read Me'!$B$12),-1)</f>
        <v/>
      </c>
      <c r="W5059" s="17">
        <f>V5059*N5059*O5059</f>
        <v/>
      </c>
      <c r="X5059" s="12">
        <f>IF(LEFT(I5059,2)="MV",2*N5059*IF(L5059="1/C",O5059,1),0)</f>
        <v/>
      </c>
      <c r="Y5059" s="12">
        <f>IF(OR(LEFT(K5059,4)="LVAX",LEFT(K5059,6)="MV15AX",LEFT(K5059,4)="CTAX",LEFT(K5059,2)="W|"),2*N5059*O5059,0)</f>
        <v/>
      </c>
      <c r="Z5059" s="12" t="inlineStr"/>
      <c r="AA5059" s="12">
        <f>N5059*O5059</f>
        <v/>
      </c>
    </row>
    <row r="5060">
      <c r="A5060" s="12" t="inlineStr">
        <is>
          <t>I-I-0450</t>
        </is>
      </c>
      <c r="B5060" s="12" t="inlineStr">
        <is>
          <t>I</t>
        </is>
      </c>
      <c r="C5060" s="12" t="inlineStr">
        <is>
          <t>Modular / portable power</t>
        </is>
      </c>
      <c r="D5060" s="12" t="inlineStr">
        <is>
          <t>Discrete device to JB JB-RICE-7-DI03: 20 x 1 pr (field cables)</t>
        </is>
      </c>
      <c r="E5060" s="12" t="inlineStr">
        <is>
          <t>RICE-7</t>
        </is>
      </c>
      <c r="F5060" s="12" t="inlineStr">
        <is>
          <t>RICE engine-generator 7</t>
        </is>
      </c>
      <c r="G5060" s="12" t="inlineStr">
        <is>
          <t>JB-RICE-7-DI03</t>
        </is>
      </c>
      <c r="H5060" s="12" t="inlineStr">
        <is>
          <t>RICE engine-generator 7</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20</v>
      </c>
      <c r="O5060" s="12" t="n">
        <v>1</v>
      </c>
      <c r="P5060" s="12" t="n"/>
      <c r="Q5060" s="12" t="n"/>
      <c r="R5060" s="12" t="n"/>
      <c r="S5060" s="12" t="inlineStr">
        <is>
          <t>Tray / conduit</t>
        </is>
      </c>
      <c r="T5060" s="17" t="n">
        <v>72</v>
      </c>
      <c r="U5060" s="17" t="n">
        <v>10</v>
      </c>
      <c r="V5060" s="17">
        <f>ROUNDUP((T5060+U5060+2*'Read Me'!$B$13)*(1+'Read Me'!$B$12),-1)</f>
        <v/>
      </c>
      <c r="W5060" s="17">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I-I-0451</t>
        </is>
      </c>
      <c r="B5061" s="12" t="inlineStr">
        <is>
          <t>I</t>
        </is>
      </c>
      <c r="C5061" s="12" t="inlineStr">
        <is>
          <t>Modular / portable power</t>
        </is>
      </c>
      <c r="D5061" s="12" t="inlineStr">
        <is>
          <t>Home run JB-RICE-7-DI03 to the control / marshalling room</t>
        </is>
      </c>
      <c r="E5061" s="12" t="inlineStr"/>
      <c r="F5061" s="12" t="inlineStr">
        <is>
          <t>PCM: power control module</t>
        </is>
      </c>
      <c r="G5061" s="12" t="inlineStr">
        <is>
          <t>JB-RICE-7-DI03</t>
        </is>
      </c>
      <c r="H5061" s="12" t="inlineStr">
        <is>
          <t>RICE engine-generator 7</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Tray</t>
        </is>
      </c>
      <c r="T5061" s="17" t="n">
        <v>0</v>
      </c>
      <c r="U5061" s="17" t="n">
        <v>189</v>
      </c>
      <c r="V5061" s="17">
        <f>ROUNDUP((T5061+U5061+2*'Read Me'!$B$13)*(1+'Read Me'!$B$12),-1)</f>
        <v/>
      </c>
      <c r="W5061" s="17">
        <f>V5061*N5061*O5061</f>
        <v/>
      </c>
      <c r="X5061" s="12">
        <f>IF(LEFT(I5061,2)="MV",2*N5061*IF(L5061="1/C",O5061,1),0)</f>
        <v/>
      </c>
      <c r="Y5061" s="12">
        <f>IF(OR(LEFT(K5061,4)="LVAX",LEFT(K5061,6)="MV15AX",LEFT(K5061,4)="CTAX",LEFT(K5061,2)="W|"),2*N5061*O5061,0)</f>
        <v/>
      </c>
      <c r="Z5061" s="12" t="inlineStr"/>
      <c r="AA5061" s="12">
        <f>N5061*O5061</f>
        <v/>
      </c>
    </row>
    <row r="5062">
      <c r="A5062" s="12" t="inlineStr">
        <is>
          <t>I-I-0452</t>
        </is>
      </c>
      <c r="B5062" s="12" t="inlineStr">
        <is>
          <t>I</t>
        </is>
      </c>
      <c r="C5062" s="12" t="inlineStr">
        <is>
          <t>Modular / portable power</t>
        </is>
      </c>
      <c r="D5062" s="12" t="inlineStr">
        <is>
          <t>Thermocouple to TC JB JB-RICE-7-TC01: 20 x 1 pr (field cables)</t>
        </is>
      </c>
      <c r="E5062" s="12" t="inlineStr">
        <is>
          <t>RICE-7</t>
        </is>
      </c>
      <c r="F5062" s="12" t="inlineStr">
        <is>
          <t>RICE engine-generator 7</t>
        </is>
      </c>
      <c r="G5062" s="12" t="inlineStr">
        <is>
          <t>JB-RICE-7-TC01</t>
        </is>
      </c>
      <c r="H5062" s="12" t="inlineStr">
        <is>
          <t>RICE engine-generator 7</t>
        </is>
      </c>
      <c r="I5062" s="12" t="inlineStr">
        <is>
          <t>Instrumentation</t>
        </is>
      </c>
      <c r="J5062" s="12" t="inlineStr">
        <is>
          <t>Thermocouple extension KX, #16 shielded pairs, PLTC</t>
        </is>
      </c>
      <c r="K5062" s="12" t="inlineStr">
        <is>
          <t>TCX|1 pr|16</t>
        </is>
      </c>
      <c r="L5062" s="12" t="inlineStr">
        <is>
          <t>1 pr</t>
        </is>
      </c>
      <c r="M5062" s="12" t="inlineStr">
        <is>
          <t>16</t>
        </is>
      </c>
      <c r="N5062" s="12" t="n">
        <v>20</v>
      </c>
      <c r="O5062" s="12" t="n">
        <v>1</v>
      </c>
      <c r="P5062" s="12" t="n"/>
      <c r="Q5062" s="12" t="n"/>
      <c r="R5062" s="12" t="n"/>
      <c r="S5062" s="12" t="inlineStr">
        <is>
          <t>Tray / conduit</t>
        </is>
      </c>
      <c r="T5062" s="17" t="n">
        <v>72</v>
      </c>
      <c r="U5062" s="17" t="n">
        <v>10</v>
      </c>
      <c r="V5062" s="17">
        <f>ROUNDUP((T5062+U5062+2*'Read Me'!$B$13)*(1+'Read Me'!$B$12),-1)</f>
        <v/>
      </c>
      <c r="W5062" s="17">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I-I-0453</t>
        </is>
      </c>
      <c r="B5063" s="12" t="inlineStr">
        <is>
          <t>I</t>
        </is>
      </c>
      <c r="C5063" s="12" t="inlineStr">
        <is>
          <t>Modular / portable power</t>
        </is>
      </c>
      <c r="D5063" s="12" t="inlineStr">
        <is>
          <t>Home run JB-RICE-7-TC01 to the control / marshalling room</t>
        </is>
      </c>
      <c r="E5063" s="12" t="inlineStr"/>
      <c r="F5063" s="12" t="inlineStr">
        <is>
          <t>PCM: power control module</t>
        </is>
      </c>
      <c r="G5063" s="12" t="inlineStr">
        <is>
          <t>JB-RICE-7-TC01</t>
        </is>
      </c>
      <c r="H5063" s="12" t="inlineStr">
        <is>
          <t>RICE engine-generator 7</t>
        </is>
      </c>
      <c r="I5063" s="12" t="inlineStr">
        <is>
          <t>Instrumentation</t>
        </is>
      </c>
      <c r="J5063" s="12" t="inlineStr">
        <is>
          <t>Thermocouple extension KX, #16 shielded pairs, PLTC</t>
        </is>
      </c>
      <c r="K5063" s="12" t="inlineStr">
        <is>
          <t>TCX|24 pr|16</t>
        </is>
      </c>
      <c r="L5063" s="12" t="inlineStr">
        <is>
          <t>24 pr</t>
        </is>
      </c>
      <c r="M5063" s="12" t="inlineStr">
        <is>
          <t>16</t>
        </is>
      </c>
      <c r="N5063" s="12" t="n">
        <v>1</v>
      </c>
      <c r="O5063" s="12" t="n">
        <v>1</v>
      </c>
      <c r="P5063" s="12" t="n"/>
      <c r="Q5063" s="12" t="n"/>
      <c r="R5063" s="12" t="n"/>
      <c r="S5063" s="12" t="inlineStr">
        <is>
          <t>Tray</t>
        </is>
      </c>
      <c r="T5063" s="17" t="n">
        <v>0</v>
      </c>
      <c r="U5063" s="17" t="n">
        <v>189</v>
      </c>
      <c r="V5063" s="17">
        <f>ROUNDUP((T5063+U5063+2*'Read Me'!$B$13)*(1+'Read Me'!$B$12),-1)</f>
        <v/>
      </c>
      <c r="W5063" s="17">
        <f>V5063*N5063*O5063</f>
        <v/>
      </c>
      <c r="X5063" s="12">
        <f>IF(LEFT(I5063,2)="MV",2*N5063*IF(L5063="1/C",O5063,1),0)</f>
        <v/>
      </c>
      <c r="Y5063" s="12">
        <f>IF(OR(LEFT(K5063,4)="LVAX",LEFT(K5063,6)="MV15AX",LEFT(K5063,4)="CTAX",LEFT(K5063,2)="W|"),2*N5063*O5063,0)</f>
        <v/>
      </c>
      <c r="Z5063" s="12" t="inlineStr"/>
      <c r="AA5063" s="12">
        <f>N5063*O5063</f>
        <v/>
      </c>
    </row>
    <row r="5064">
      <c r="A5064" s="12" t="inlineStr">
        <is>
          <t>I-I-0454</t>
        </is>
      </c>
      <c r="B5064" s="12" t="inlineStr">
        <is>
          <t>I</t>
        </is>
      </c>
      <c r="C5064" s="12" t="inlineStr">
        <is>
          <t>Modular / portable power</t>
        </is>
      </c>
      <c r="D5064" s="12" t="inlineStr">
        <is>
          <t>Thermocouple to TC JB JB-RICE-7-TC02: 10 x 1 pr (field cables)</t>
        </is>
      </c>
      <c r="E5064" s="12" t="inlineStr">
        <is>
          <t>RICE-7</t>
        </is>
      </c>
      <c r="F5064" s="12" t="inlineStr">
        <is>
          <t>RICE engine-generator 7</t>
        </is>
      </c>
      <c r="G5064" s="12" t="inlineStr">
        <is>
          <t>JB-RICE-7-TC02</t>
        </is>
      </c>
      <c r="H5064" s="12" t="inlineStr">
        <is>
          <t>RICE engine-generator 7</t>
        </is>
      </c>
      <c r="I5064" s="12" t="inlineStr">
        <is>
          <t>Instrumentation</t>
        </is>
      </c>
      <c r="J5064" s="12" t="inlineStr">
        <is>
          <t>Thermocouple extension KX, #16 shielded pairs, PLTC</t>
        </is>
      </c>
      <c r="K5064" s="12" t="inlineStr">
        <is>
          <t>TCX|1 pr|16</t>
        </is>
      </c>
      <c r="L5064" s="12" t="inlineStr">
        <is>
          <t>1 pr</t>
        </is>
      </c>
      <c r="M5064" s="12" t="inlineStr">
        <is>
          <t>16</t>
        </is>
      </c>
      <c r="N5064" s="12" t="n">
        <v>10</v>
      </c>
      <c r="O5064" s="12" t="n">
        <v>1</v>
      </c>
      <c r="P5064" s="12" t="n"/>
      <c r="Q5064" s="12" t="n"/>
      <c r="R5064" s="12" t="n"/>
      <c r="S5064" s="12" t="inlineStr">
        <is>
          <t>Tray / conduit</t>
        </is>
      </c>
      <c r="T5064" s="17" t="n">
        <v>72</v>
      </c>
      <c r="U5064" s="17" t="n">
        <v>10</v>
      </c>
      <c r="V5064" s="17">
        <f>ROUNDUP((T5064+U5064+2*'Read Me'!$B$13)*(1+'Read Me'!$B$12),-1)</f>
        <v/>
      </c>
      <c r="W5064" s="17">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I-I-0455</t>
        </is>
      </c>
      <c r="B5065" s="12" t="inlineStr">
        <is>
          <t>I</t>
        </is>
      </c>
      <c r="C5065" s="12" t="inlineStr">
        <is>
          <t>Modular / portable power</t>
        </is>
      </c>
      <c r="D5065" s="12" t="inlineStr">
        <is>
          <t>Home run JB-RICE-7-TC02 to the control / marshalling room</t>
        </is>
      </c>
      <c r="E5065" s="12" t="inlineStr"/>
      <c r="F5065" s="12" t="inlineStr">
        <is>
          <t>PCM: power control module</t>
        </is>
      </c>
      <c r="G5065" s="12" t="inlineStr">
        <is>
          <t>JB-RICE-7-TC02</t>
        </is>
      </c>
      <c r="H5065" s="12" t="inlineStr">
        <is>
          <t>RICE engine-generator 7</t>
        </is>
      </c>
      <c r="I5065" s="12" t="inlineStr">
        <is>
          <t>Instrumentation</t>
        </is>
      </c>
      <c r="J5065" s="12" t="inlineStr">
        <is>
          <t>Thermocouple extension KX, #16 shielded pairs, PLTC</t>
        </is>
      </c>
      <c r="K5065" s="12" t="inlineStr">
        <is>
          <t>TCX|24 pr|16</t>
        </is>
      </c>
      <c r="L5065" s="12" t="inlineStr">
        <is>
          <t>24 pr</t>
        </is>
      </c>
      <c r="M5065" s="12" t="inlineStr">
        <is>
          <t>16</t>
        </is>
      </c>
      <c r="N5065" s="12" t="n">
        <v>1</v>
      </c>
      <c r="O5065" s="12" t="n">
        <v>1</v>
      </c>
      <c r="P5065" s="12" t="n"/>
      <c r="Q5065" s="12" t="n"/>
      <c r="R5065" s="12" t="n"/>
      <c r="S5065" s="12" t="inlineStr">
        <is>
          <t>Tray</t>
        </is>
      </c>
      <c r="T5065" s="17" t="n">
        <v>0</v>
      </c>
      <c r="U5065" s="17" t="n">
        <v>189</v>
      </c>
      <c r="V5065" s="17">
        <f>ROUNDUP((T5065+U5065+2*'Read Me'!$B$13)*(1+'Read Me'!$B$12),-1)</f>
        <v/>
      </c>
      <c r="W5065" s="17">
        <f>V5065*N5065*O5065</f>
        <v/>
      </c>
      <c r="X5065" s="12">
        <f>IF(LEFT(I5065,2)="MV",2*N5065*IF(L5065="1/C",O5065,1),0)</f>
        <v/>
      </c>
      <c r="Y5065" s="12">
        <f>IF(OR(LEFT(K5065,4)="LVAX",LEFT(K5065,6)="MV15AX",LEFT(K5065,4)="CTAX",LEFT(K5065,2)="W|"),2*N5065*O5065,0)</f>
        <v/>
      </c>
      <c r="Z5065" s="12" t="inlineStr"/>
      <c r="AA5065" s="12">
        <f>N5065*O5065</f>
        <v/>
      </c>
    </row>
    <row r="5066">
      <c r="A5066" s="12" t="inlineStr">
        <is>
          <t>I-I-0456</t>
        </is>
      </c>
      <c r="B5066" s="12" t="inlineStr">
        <is>
          <t>I</t>
        </is>
      </c>
      <c r="C5066" s="12" t="inlineStr">
        <is>
          <t>Modular / portable power</t>
        </is>
      </c>
      <c r="D5066" s="12" t="inlineStr">
        <is>
          <t>RTD to JB JB-RICE-7-RTD01: 10 x 1 tri (field cables)</t>
        </is>
      </c>
      <c r="E5066" s="12" t="inlineStr">
        <is>
          <t>RICE-7</t>
        </is>
      </c>
      <c r="F5066" s="12" t="inlineStr">
        <is>
          <t>RICE engine-generator 7</t>
        </is>
      </c>
      <c r="G5066" s="12" t="inlineStr">
        <is>
          <t>JB-RICE-7-RTD01</t>
        </is>
      </c>
      <c r="H5066" s="12" t="inlineStr">
        <is>
          <t>RICE engine-generator 7</t>
        </is>
      </c>
      <c r="I5066" s="12" t="inlineStr">
        <is>
          <t>Instrumentation</t>
        </is>
      </c>
      <c r="J5066" s="12" t="inlineStr">
        <is>
          <t>RTD cable, #18 shielded triads, PLTC</t>
        </is>
      </c>
      <c r="K5066" s="12" t="inlineStr">
        <is>
          <t>RTD|1 tri|18</t>
        </is>
      </c>
      <c r="L5066" s="12" t="inlineStr">
        <is>
          <t>1 tri</t>
        </is>
      </c>
      <c r="M5066" s="12" t="inlineStr">
        <is>
          <t>18</t>
        </is>
      </c>
      <c r="N5066" s="12" t="n">
        <v>10</v>
      </c>
      <c r="O5066" s="12" t="n">
        <v>1</v>
      </c>
      <c r="P5066" s="12" t="n"/>
      <c r="Q5066" s="12" t="n"/>
      <c r="R5066" s="12" t="n"/>
      <c r="S5066" s="12" t="inlineStr">
        <is>
          <t>Tray / conduit</t>
        </is>
      </c>
      <c r="T5066" s="17" t="n">
        <v>72</v>
      </c>
      <c r="U5066" s="17" t="n">
        <v>10</v>
      </c>
      <c r="V5066" s="17">
        <f>ROUNDUP((T5066+U5066+2*'Read Me'!$B$13)*(1+'Read Me'!$B$12),-1)</f>
        <v/>
      </c>
      <c r="W5066" s="17">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I-I-0457</t>
        </is>
      </c>
      <c r="B5067" s="12" t="inlineStr">
        <is>
          <t>I</t>
        </is>
      </c>
      <c r="C5067" s="12" t="inlineStr">
        <is>
          <t>Modular / portable power</t>
        </is>
      </c>
      <c r="D5067" s="12" t="inlineStr">
        <is>
          <t>Home run JB-RICE-7-RTD01 to the control / marshalling room</t>
        </is>
      </c>
      <c r="E5067" s="12" t="inlineStr"/>
      <c r="F5067" s="12" t="inlineStr">
        <is>
          <t>PCM: power control module</t>
        </is>
      </c>
      <c r="G5067" s="12" t="inlineStr">
        <is>
          <t>JB-RICE-7-RTD01</t>
        </is>
      </c>
      <c r="H5067" s="12" t="inlineStr">
        <is>
          <t>RICE engine-generator 7</t>
        </is>
      </c>
      <c r="I5067" s="12" t="inlineStr">
        <is>
          <t>Instrumentation</t>
        </is>
      </c>
      <c r="J5067" s="12" t="inlineStr">
        <is>
          <t>RTD cable, #18 shielded triads, PLTC</t>
        </is>
      </c>
      <c r="K5067" s="12" t="inlineStr">
        <is>
          <t>RTD|12 tri|18</t>
        </is>
      </c>
      <c r="L5067" s="12" t="inlineStr">
        <is>
          <t>12 tri</t>
        </is>
      </c>
      <c r="M5067" s="12" t="inlineStr">
        <is>
          <t>18</t>
        </is>
      </c>
      <c r="N5067" s="12" t="n">
        <v>1</v>
      </c>
      <c r="O5067" s="12" t="n">
        <v>1</v>
      </c>
      <c r="P5067" s="12" t="n"/>
      <c r="Q5067" s="12" t="n"/>
      <c r="R5067" s="12" t="n"/>
      <c r="S5067" s="12" t="inlineStr">
        <is>
          <t>Tray</t>
        </is>
      </c>
      <c r="T5067" s="17" t="n">
        <v>0</v>
      </c>
      <c r="U5067" s="17" t="n">
        <v>189</v>
      </c>
      <c r="V5067" s="17">
        <f>ROUNDUP((T5067+U5067+2*'Read Me'!$B$13)*(1+'Read Me'!$B$12),-1)</f>
        <v/>
      </c>
      <c r="W5067" s="17">
        <f>V5067*N5067*O5067</f>
        <v/>
      </c>
      <c r="X5067" s="12">
        <f>IF(LEFT(I5067,2)="MV",2*N5067*IF(L5067="1/C",O5067,1),0)</f>
        <v/>
      </c>
      <c r="Y5067" s="12">
        <f>IF(OR(LEFT(K5067,4)="LVAX",LEFT(K5067,6)="MV15AX",LEFT(K5067,4)="CTAX",LEFT(K5067,2)="W|"),2*N5067*O5067,0)</f>
        <v/>
      </c>
      <c r="Z5067" s="12" t="inlineStr"/>
      <c r="AA5067" s="12">
        <f>N5067*O5067</f>
        <v/>
      </c>
    </row>
    <row r="5068">
      <c r="A5068" s="12" t="inlineStr">
        <is>
          <t>I-I-0458</t>
        </is>
      </c>
      <c r="B5068" s="12" t="inlineStr">
        <is>
          <t>I</t>
        </is>
      </c>
      <c r="C5068" s="12" t="inlineStr">
        <is>
          <t>Modular / portable power</t>
        </is>
      </c>
      <c r="D5068" s="12" t="inlineStr">
        <is>
          <t>RTD to JB JB-RICE-7-RTD02: 2 x 1 tri (field cables)</t>
        </is>
      </c>
      <c r="E5068" s="12" t="inlineStr">
        <is>
          <t>RICE-7</t>
        </is>
      </c>
      <c r="F5068" s="12" t="inlineStr">
        <is>
          <t>RICE engine-generator 7</t>
        </is>
      </c>
      <c r="G5068" s="12" t="inlineStr">
        <is>
          <t>JB-RICE-7-RTD02</t>
        </is>
      </c>
      <c r="H5068" s="12" t="inlineStr">
        <is>
          <t>RICE engine-generator 7</t>
        </is>
      </c>
      <c r="I5068" s="12" t="inlineStr">
        <is>
          <t>Instrumentation</t>
        </is>
      </c>
      <c r="J5068" s="12" t="inlineStr">
        <is>
          <t>RTD cable, #18 shielded triads, PLTC</t>
        </is>
      </c>
      <c r="K5068" s="12" t="inlineStr">
        <is>
          <t>RTD|1 tri|18</t>
        </is>
      </c>
      <c r="L5068" s="12" t="inlineStr">
        <is>
          <t>1 tri</t>
        </is>
      </c>
      <c r="M5068" s="12" t="inlineStr">
        <is>
          <t>18</t>
        </is>
      </c>
      <c r="N5068" s="12" t="n">
        <v>2</v>
      </c>
      <c r="O5068" s="12" t="n">
        <v>1</v>
      </c>
      <c r="P5068" s="12" t="n"/>
      <c r="Q5068" s="12" t="n"/>
      <c r="R5068" s="12" t="n"/>
      <c r="S5068" s="12" t="inlineStr">
        <is>
          <t>Tray / conduit</t>
        </is>
      </c>
      <c r="T5068" s="17" t="n">
        <v>72</v>
      </c>
      <c r="U5068" s="17" t="n">
        <v>10</v>
      </c>
      <c r="V5068" s="17">
        <f>ROUNDUP((T5068+U5068+2*'Read Me'!$B$13)*(1+'Read Me'!$B$12),-1)</f>
        <v/>
      </c>
      <c r="W5068" s="17">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I-I-0459</t>
        </is>
      </c>
      <c r="B5069" s="12" t="inlineStr">
        <is>
          <t>I</t>
        </is>
      </c>
      <c r="C5069" s="12" t="inlineStr">
        <is>
          <t>Modular / portable power</t>
        </is>
      </c>
      <c r="D5069" s="12" t="inlineStr">
        <is>
          <t>Home run JB-RICE-7-RTD02 to the control / marshalling room</t>
        </is>
      </c>
      <c r="E5069" s="12" t="inlineStr"/>
      <c r="F5069" s="12" t="inlineStr">
        <is>
          <t>PCM: power control module</t>
        </is>
      </c>
      <c r="G5069" s="12" t="inlineStr">
        <is>
          <t>JB-RICE-7-RTD02</t>
        </is>
      </c>
      <c r="H5069" s="12" t="inlineStr">
        <is>
          <t>RICE engine-generator 7</t>
        </is>
      </c>
      <c r="I5069" s="12" t="inlineStr">
        <is>
          <t>Instrumentation</t>
        </is>
      </c>
      <c r="J5069" s="12" t="inlineStr">
        <is>
          <t>RTD cable, #18 shielded triads, PLTC</t>
        </is>
      </c>
      <c r="K5069" s="12" t="inlineStr">
        <is>
          <t>RTD|12 tri|18</t>
        </is>
      </c>
      <c r="L5069" s="12" t="inlineStr">
        <is>
          <t>12 tri</t>
        </is>
      </c>
      <c r="M5069" s="12" t="inlineStr">
        <is>
          <t>18</t>
        </is>
      </c>
      <c r="N5069" s="12" t="n">
        <v>1</v>
      </c>
      <c r="O5069" s="12" t="n">
        <v>1</v>
      </c>
      <c r="P5069" s="12" t="n"/>
      <c r="Q5069" s="12" t="n"/>
      <c r="R5069" s="12" t="n"/>
      <c r="S5069" s="12" t="inlineStr">
        <is>
          <t>Tray</t>
        </is>
      </c>
      <c r="T5069" s="17" t="n">
        <v>0</v>
      </c>
      <c r="U5069" s="17" t="n">
        <v>189</v>
      </c>
      <c r="V5069" s="17">
        <f>ROUNDUP((T5069+U5069+2*'Read Me'!$B$13)*(1+'Read Me'!$B$12),-1)</f>
        <v/>
      </c>
      <c r="W5069" s="17">
        <f>V5069*N5069*O5069</f>
        <v/>
      </c>
      <c r="X5069" s="12">
        <f>IF(LEFT(I5069,2)="MV",2*N5069*IF(L5069="1/C",O5069,1),0)</f>
        <v/>
      </c>
      <c r="Y5069" s="12">
        <f>IF(OR(LEFT(K5069,4)="LVAX",LEFT(K5069,6)="MV15AX",LEFT(K5069,4)="CTAX",LEFT(K5069,2)="W|"),2*N5069*O5069,0)</f>
        <v/>
      </c>
      <c r="Z5069" s="12" t="inlineStr"/>
      <c r="AA5069" s="12">
        <f>N5069*O5069</f>
        <v/>
      </c>
    </row>
    <row r="5070">
      <c r="A5070" s="12" t="inlineStr">
        <is>
          <t>I-I-0460</t>
        </is>
      </c>
      <c r="B5070" s="12" t="inlineStr">
        <is>
          <t>I</t>
        </is>
      </c>
      <c r="C5070" s="12" t="inlineStr">
        <is>
          <t>Modular / portable power</t>
        </is>
      </c>
      <c r="D5070" s="12" t="inlineStr">
        <is>
          <t>Analog instrument to JB JB-RICE-8-AI01: 20 x 1 pr (field cables)</t>
        </is>
      </c>
      <c r="E5070" s="12" t="inlineStr">
        <is>
          <t>RICE-8</t>
        </is>
      </c>
      <c r="F5070" s="12" t="inlineStr">
        <is>
          <t>RICE engine-generator 8</t>
        </is>
      </c>
      <c r="G5070" s="12" t="inlineStr">
        <is>
          <t>JB-RICE-8-AI01</t>
        </is>
      </c>
      <c r="H5070" s="12" t="inlineStr">
        <is>
          <t>RICE engine-generator 8</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20</v>
      </c>
      <c r="O5070" s="12" t="n">
        <v>1</v>
      </c>
      <c r="P5070" s="12" t="n"/>
      <c r="Q5070" s="12" t="n"/>
      <c r="R5070" s="12" t="n"/>
      <c r="S5070" s="12" t="inlineStr">
        <is>
          <t>Tray / conduit</t>
        </is>
      </c>
      <c r="T5070" s="17" t="n">
        <v>72</v>
      </c>
      <c r="U5070" s="17" t="n">
        <v>10</v>
      </c>
      <c r="V5070" s="17">
        <f>ROUNDUP((T5070+U5070+2*'Read Me'!$B$13)*(1+'Read Me'!$B$12),-1)</f>
        <v/>
      </c>
      <c r="W5070" s="17">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I-I-0461</t>
        </is>
      </c>
      <c r="B5071" s="12" t="inlineStr">
        <is>
          <t>I</t>
        </is>
      </c>
      <c r="C5071" s="12" t="inlineStr">
        <is>
          <t>Modular / portable power</t>
        </is>
      </c>
      <c r="D5071" s="12" t="inlineStr">
        <is>
          <t>Home run JB-RICE-8-AI01 to the control / marshalling room</t>
        </is>
      </c>
      <c r="E5071" s="12" t="inlineStr"/>
      <c r="F5071" s="12" t="inlineStr">
        <is>
          <t>PCM: power control module</t>
        </is>
      </c>
      <c r="G5071" s="12" t="inlineStr">
        <is>
          <t>JB-RICE-8-AI01</t>
        </is>
      </c>
      <c r="H5071" s="12" t="inlineStr">
        <is>
          <t>RICE engine-generator 8</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Tray</t>
        </is>
      </c>
      <c r="T5071" s="17" t="n">
        <v>0</v>
      </c>
      <c r="U5071" s="17" t="n">
        <v>161</v>
      </c>
      <c r="V5071" s="17">
        <f>ROUNDUP((T5071+U5071+2*'Read Me'!$B$13)*(1+'Read Me'!$B$12),-1)</f>
        <v/>
      </c>
      <c r="W5071" s="17">
        <f>V5071*N5071*O5071</f>
        <v/>
      </c>
      <c r="X5071" s="12">
        <f>IF(LEFT(I5071,2)="MV",2*N5071*IF(L5071="1/C",O5071,1),0)</f>
        <v/>
      </c>
      <c r="Y5071" s="12">
        <f>IF(OR(LEFT(K5071,4)="LVAX",LEFT(K5071,6)="MV15AX",LEFT(K5071,4)="CTAX",LEFT(K5071,2)="W|"),2*N5071*O5071,0)</f>
        <v/>
      </c>
      <c r="Z5071" s="12" t="inlineStr"/>
      <c r="AA5071" s="12">
        <f>N5071*O5071</f>
        <v/>
      </c>
    </row>
    <row r="5072">
      <c r="A5072" s="12" t="inlineStr">
        <is>
          <t>I-I-0462</t>
        </is>
      </c>
      <c r="B5072" s="12" t="inlineStr">
        <is>
          <t>I</t>
        </is>
      </c>
      <c r="C5072" s="12" t="inlineStr">
        <is>
          <t>Modular / portable power</t>
        </is>
      </c>
      <c r="D5072" s="12" t="inlineStr">
        <is>
          <t>Analog instrument to JB JB-RICE-8-AI02: 20 x 1 pr (field cables)</t>
        </is>
      </c>
      <c r="E5072" s="12" t="inlineStr">
        <is>
          <t>RICE-8</t>
        </is>
      </c>
      <c r="F5072" s="12" t="inlineStr">
        <is>
          <t>RICE engine-generator 8</t>
        </is>
      </c>
      <c r="G5072" s="12" t="inlineStr">
        <is>
          <t>JB-RICE-8-AI02</t>
        </is>
      </c>
      <c r="H5072" s="12" t="inlineStr">
        <is>
          <t>RICE engine-generator 8</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20</v>
      </c>
      <c r="O5072" s="12" t="n">
        <v>1</v>
      </c>
      <c r="P5072" s="12" t="n"/>
      <c r="Q5072" s="12" t="n"/>
      <c r="R5072" s="12" t="n"/>
      <c r="S5072" s="12" t="inlineStr">
        <is>
          <t>Tray / conduit</t>
        </is>
      </c>
      <c r="T5072" s="17" t="n">
        <v>72</v>
      </c>
      <c r="U5072" s="17" t="n">
        <v>10</v>
      </c>
      <c r="V5072" s="17">
        <f>ROUNDUP((T5072+U5072+2*'Read Me'!$B$13)*(1+'Read Me'!$B$12),-1)</f>
        <v/>
      </c>
      <c r="W5072" s="17">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I-I-0463</t>
        </is>
      </c>
      <c r="B5073" s="12" t="inlineStr">
        <is>
          <t>I</t>
        </is>
      </c>
      <c r="C5073" s="12" t="inlineStr">
        <is>
          <t>Modular / portable power</t>
        </is>
      </c>
      <c r="D5073" s="12" t="inlineStr">
        <is>
          <t>Home run JB-RICE-8-AI02 to the control / marshalling room</t>
        </is>
      </c>
      <c r="E5073" s="12" t="inlineStr"/>
      <c r="F5073" s="12" t="inlineStr">
        <is>
          <t>PCM: power control module</t>
        </is>
      </c>
      <c r="G5073" s="12" t="inlineStr">
        <is>
          <t>JB-RICE-8-AI02</t>
        </is>
      </c>
      <c r="H5073" s="12" t="inlineStr">
        <is>
          <t>RICE engine-generator 8</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Tray</t>
        </is>
      </c>
      <c r="T5073" s="17" t="n">
        <v>0</v>
      </c>
      <c r="U5073" s="17" t="n">
        <v>161</v>
      </c>
      <c r="V5073" s="17">
        <f>ROUNDUP((T5073+U5073+2*'Read Me'!$B$13)*(1+'Read Me'!$B$12),-1)</f>
        <v/>
      </c>
      <c r="W5073" s="17">
        <f>V5073*N5073*O5073</f>
        <v/>
      </c>
      <c r="X5073" s="12">
        <f>IF(LEFT(I5073,2)="MV",2*N5073*IF(L5073="1/C",O5073,1),0)</f>
        <v/>
      </c>
      <c r="Y5073" s="12">
        <f>IF(OR(LEFT(K5073,4)="LVAX",LEFT(K5073,6)="MV15AX",LEFT(K5073,4)="CTAX",LEFT(K5073,2)="W|"),2*N5073*O5073,0)</f>
        <v/>
      </c>
      <c r="Z5073" s="12" t="inlineStr"/>
      <c r="AA5073" s="12">
        <f>N5073*O5073</f>
        <v/>
      </c>
    </row>
    <row r="5074">
      <c r="A5074" s="12" t="inlineStr">
        <is>
          <t>I-I-0464</t>
        </is>
      </c>
      <c r="B5074" s="12" t="inlineStr">
        <is>
          <t>I</t>
        </is>
      </c>
      <c r="C5074" s="12" t="inlineStr">
        <is>
          <t>Modular / portable power</t>
        </is>
      </c>
      <c r="D5074" s="12" t="inlineStr">
        <is>
          <t>Analog instrument to JB JB-RICE-8-AI03: 20 x 1 pr (field cables)</t>
        </is>
      </c>
      <c r="E5074" s="12" t="inlineStr">
        <is>
          <t>RICE-8</t>
        </is>
      </c>
      <c r="F5074" s="12" t="inlineStr">
        <is>
          <t>RICE engine-generator 8</t>
        </is>
      </c>
      <c r="G5074" s="12" t="inlineStr">
        <is>
          <t>JB-RICE-8-AI03</t>
        </is>
      </c>
      <c r="H5074" s="12" t="inlineStr">
        <is>
          <t>RICE engine-generator 8</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20</v>
      </c>
      <c r="O5074" s="12" t="n">
        <v>1</v>
      </c>
      <c r="P5074" s="12" t="n"/>
      <c r="Q5074" s="12" t="n"/>
      <c r="R5074" s="12" t="n"/>
      <c r="S5074" s="12" t="inlineStr">
        <is>
          <t>Tray / conduit</t>
        </is>
      </c>
      <c r="T5074" s="17" t="n">
        <v>72</v>
      </c>
      <c r="U5074" s="17" t="n">
        <v>10</v>
      </c>
      <c r="V5074" s="17">
        <f>ROUNDUP((T5074+U5074+2*'Read Me'!$B$13)*(1+'Read Me'!$B$12),-1)</f>
        <v/>
      </c>
      <c r="W5074" s="17">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I-I-0465</t>
        </is>
      </c>
      <c r="B5075" s="12" t="inlineStr">
        <is>
          <t>I</t>
        </is>
      </c>
      <c r="C5075" s="12" t="inlineStr">
        <is>
          <t>Modular / portable power</t>
        </is>
      </c>
      <c r="D5075" s="12" t="inlineStr">
        <is>
          <t>Home run JB-RICE-8-AI03 to the control / marshalling room</t>
        </is>
      </c>
      <c r="E5075" s="12" t="inlineStr"/>
      <c r="F5075" s="12" t="inlineStr">
        <is>
          <t>PCM: power control module</t>
        </is>
      </c>
      <c r="G5075" s="12" t="inlineStr">
        <is>
          <t>JB-RICE-8-AI03</t>
        </is>
      </c>
      <c r="H5075" s="12" t="inlineStr">
        <is>
          <t>RICE engine-generator 8</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Tray</t>
        </is>
      </c>
      <c r="T5075" s="17" t="n">
        <v>0</v>
      </c>
      <c r="U5075" s="17" t="n">
        <v>161</v>
      </c>
      <c r="V5075" s="17">
        <f>ROUNDUP((T5075+U5075+2*'Read Me'!$B$13)*(1+'Read Me'!$B$12),-1)</f>
        <v/>
      </c>
      <c r="W5075" s="17">
        <f>V5075*N5075*O5075</f>
        <v/>
      </c>
      <c r="X5075" s="12">
        <f>IF(LEFT(I5075,2)="MV",2*N5075*IF(L5075="1/C",O5075,1),0)</f>
        <v/>
      </c>
      <c r="Y5075" s="12">
        <f>IF(OR(LEFT(K5075,4)="LVAX",LEFT(K5075,6)="MV15AX",LEFT(K5075,4)="CTAX",LEFT(K5075,2)="W|"),2*N5075*O5075,0)</f>
        <v/>
      </c>
      <c r="Z5075" s="12" t="inlineStr"/>
      <c r="AA5075" s="12">
        <f>N5075*O5075</f>
        <v/>
      </c>
    </row>
    <row r="5076">
      <c r="A5076" s="12" t="inlineStr">
        <is>
          <t>I-I-0466</t>
        </is>
      </c>
      <c r="B5076" s="12" t="inlineStr">
        <is>
          <t>I</t>
        </is>
      </c>
      <c r="C5076" s="12" t="inlineStr">
        <is>
          <t>Modular / portable power</t>
        </is>
      </c>
      <c r="D5076" s="12" t="inlineStr">
        <is>
          <t>Analog instrument to JB JB-RICE-8-AI04: 20 x 1 pr (field cables)</t>
        </is>
      </c>
      <c r="E5076" s="12" t="inlineStr">
        <is>
          <t>RICE-8</t>
        </is>
      </c>
      <c r="F5076" s="12" t="inlineStr">
        <is>
          <t>RICE engine-generator 8</t>
        </is>
      </c>
      <c r="G5076" s="12" t="inlineStr">
        <is>
          <t>JB-RICE-8-AI04</t>
        </is>
      </c>
      <c r="H5076" s="12" t="inlineStr">
        <is>
          <t>RICE engine-generator 8</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7" t="n">
        <v>72</v>
      </c>
      <c r="U5076" s="17" t="n">
        <v>10</v>
      </c>
      <c r="V5076" s="17">
        <f>ROUNDUP((T5076+U5076+2*'Read Me'!$B$13)*(1+'Read Me'!$B$12),-1)</f>
        <v/>
      </c>
      <c r="W5076" s="17">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I-I-0467</t>
        </is>
      </c>
      <c r="B5077" s="12" t="inlineStr">
        <is>
          <t>I</t>
        </is>
      </c>
      <c r="C5077" s="12" t="inlineStr">
        <is>
          <t>Modular / portable power</t>
        </is>
      </c>
      <c r="D5077" s="12" t="inlineStr">
        <is>
          <t>Home run JB-RICE-8-AI04 to the control / marshalling room</t>
        </is>
      </c>
      <c r="E5077" s="12" t="inlineStr"/>
      <c r="F5077" s="12" t="inlineStr">
        <is>
          <t>PCM: power control module</t>
        </is>
      </c>
      <c r="G5077" s="12" t="inlineStr">
        <is>
          <t>JB-RICE-8-AI04</t>
        </is>
      </c>
      <c r="H5077" s="12" t="inlineStr">
        <is>
          <t>RICE engine-generator 8</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Tray</t>
        </is>
      </c>
      <c r="T5077" s="17" t="n">
        <v>0</v>
      </c>
      <c r="U5077" s="17" t="n">
        <v>161</v>
      </c>
      <c r="V5077" s="17">
        <f>ROUNDUP((T5077+U5077+2*'Read Me'!$B$13)*(1+'Read Me'!$B$12),-1)</f>
        <v/>
      </c>
      <c r="W5077" s="17">
        <f>V5077*N5077*O5077</f>
        <v/>
      </c>
      <c r="X5077" s="12">
        <f>IF(LEFT(I5077,2)="MV",2*N5077*IF(L5077="1/C",O5077,1),0)</f>
        <v/>
      </c>
      <c r="Y5077" s="12">
        <f>IF(OR(LEFT(K5077,4)="LVAX",LEFT(K5077,6)="MV15AX",LEFT(K5077,4)="CTAX",LEFT(K5077,2)="W|"),2*N5077*O5077,0)</f>
        <v/>
      </c>
      <c r="Z5077" s="12" t="inlineStr"/>
      <c r="AA5077" s="12">
        <f>N5077*O5077</f>
        <v/>
      </c>
    </row>
    <row r="5078">
      <c r="A5078" s="12" t="inlineStr">
        <is>
          <t>I-I-0468</t>
        </is>
      </c>
      <c r="B5078" s="12" t="inlineStr">
        <is>
          <t>I</t>
        </is>
      </c>
      <c r="C5078" s="12" t="inlineStr">
        <is>
          <t>Modular / portable power</t>
        </is>
      </c>
      <c r="D5078" s="12" t="inlineStr">
        <is>
          <t>Discrete device to JB JB-RICE-8-DI01: 20 x 1 pr (field cables)</t>
        </is>
      </c>
      <c r="E5078" s="12" t="inlineStr">
        <is>
          <t>RICE-8</t>
        </is>
      </c>
      <c r="F5078" s="12" t="inlineStr">
        <is>
          <t>RICE engine-generator 8</t>
        </is>
      </c>
      <c r="G5078" s="12" t="inlineStr">
        <is>
          <t>JB-RICE-8-DI01</t>
        </is>
      </c>
      <c r="H5078" s="12" t="inlineStr">
        <is>
          <t>RICE engine-generator 8</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7" t="n">
        <v>72</v>
      </c>
      <c r="U5078" s="17" t="n">
        <v>10</v>
      </c>
      <c r="V5078" s="17">
        <f>ROUNDUP((T5078+U5078+2*'Read Me'!$B$13)*(1+'Read Me'!$B$12),-1)</f>
        <v/>
      </c>
      <c r="W5078" s="17">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I-I-0469</t>
        </is>
      </c>
      <c r="B5079" s="12" t="inlineStr">
        <is>
          <t>I</t>
        </is>
      </c>
      <c r="C5079" s="12" t="inlineStr">
        <is>
          <t>Modular / portable power</t>
        </is>
      </c>
      <c r="D5079" s="12" t="inlineStr">
        <is>
          <t>Home run JB-RICE-8-DI01 to the control / marshalling room</t>
        </is>
      </c>
      <c r="E5079" s="12" t="inlineStr"/>
      <c r="F5079" s="12" t="inlineStr">
        <is>
          <t>PCM: power control module</t>
        </is>
      </c>
      <c r="G5079" s="12" t="inlineStr">
        <is>
          <t>JB-RICE-8-DI01</t>
        </is>
      </c>
      <c r="H5079" s="12" t="inlineStr">
        <is>
          <t>RICE engine-generator 8</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Tray</t>
        </is>
      </c>
      <c r="T5079" s="17" t="n">
        <v>0</v>
      </c>
      <c r="U5079" s="17" t="n">
        <v>161</v>
      </c>
      <c r="V5079" s="17">
        <f>ROUNDUP((T5079+U5079+2*'Read Me'!$B$13)*(1+'Read Me'!$B$12),-1)</f>
        <v/>
      </c>
      <c r="W5079" s="17">
        <f>V5079*N5079*O5079</f>
        <v/>
      </c>
      <c r="X5079" s="12">
        <f>IF(LEFT(I5079,2)="MV",2*N5079*IF(L5079="1/C",O5079,1),0)</f>
        <v/>
      </c>
      <c r="Y5079" s="12">
        <f>IF(OR(LEFT(K5079,4)="LVAX",LEFT(K5079,6)="MV15AX",LEFT(K5079,4)="CTAX",LEFT(K5079,2)="W|"),2*N5079*O5079,0)</f>
        <v/>
      </c>
      <c r="Z5079" s="12" t="inlineStr"/>
      <c r="AA5079" s="12">
        <f>N5079*O5079</f>
        <v/>
      </c>
    </row>
    <row r="5080">
      <c r="A5080" s="12" t="inlineStr">
        <is>
          <t>I-I-0470</t>
        </is>
      </c>
      <c r="B5080" s="12" t="inlineStr">
        <is>
          <t>I</t>
        </is>
      </c>
      <c r="C5080" s="12" t="inlineStr">
        <is>
          <t>Modular / portable power</t>
        </is>
      </c>
      <c r="D5080" s="12" t="inlineStr">
        <is>
          <t>Discrete device to JB JB-RICE-8-DI02: 20 x 1 pr (field cables)</t>
        </is>
      </c>
      <c r="E5080" s="12" t="inlineStr">
        <is>
          <t>RICE-8</t>
        </is>
      </c>
      <c r="F5080" s="12" t="inlineStr">
        <is>
          <t>RICE engine-generator 8</t>
        </is>
      </c>
      <c r="G5080" s="12" t="inlineStr">
        <is>
          <t>JB-RICE-8-DI02</t>
        </is>
      </c>
      <c r="H5080" s="12" t="inlineStr">
        <is>
          <t>RICE engine-generator 8</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7" t="n">
        <v>72</v>
      </c>
      <c r="U5080" s="17" t="n">
        <v>10</v>
      </c>
      <c r="V5080" s="17">
        <f>ROUNDUP((T5080+U5080+2*'Read Me'!$B$13)*(1+'Read Me'!$B$12),-1)</f>
        <v/>
      </c>
      <c r="W5080" s="17">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I-I-0471</t>
        </is>
      </c>
      <c r="B5081" s="12" t="inlineStr">
        <is>
          <t>I</t>
        </is>
      </c>
      <c r="C5081" s="12" t="inlineStr">
        <is>
          <t>Modular / portable power</t>
        </is>
      </c>
      <c r="D5081" s="12" t="inlineStr">
        <is>
          <t>Home run JB-RICE-8-DI02 to the control / marshalling room</t>
        </is>
      </c>
      <c r="E5081" s="12" t="inlineStr"/>
      <c r="F5081" s="12" t="inlineStr">
        <is>
          <t>PCM: power control module</t>
        </is>
      </c>
      <c r="G5081" s="12" t="inlineStr">
        <is>
          <t>JB-RICE-8-DI02</t>
        </is>
      </c>
      <c r="H5081" s="12" t="inlineStr">
        <is>
          <t>RICE engine-generator 8</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Tray</t>
        </is>
      </c>
      <c r="T5081" s="17" t="n">
        <v>0</v>
      </c>
      <c r="U5081" s="17" t="n">
        <v>161</v>
      </c>
      <c r="V5081" s="17">
        <f>ROUNDUP((T5081+U5081+2*'Read Me'!$B$13)*(1+'Read Me'!$B$12),-1)</f>
        <v/>
      </c>
      <c r="W5081" s="17">
        <f>V5081*N5081*O5081</f>
        <v/>
      </c>
      <c r="X5081" s="12">
        <f>IF(LEFT(I5081,2)="MV",2*N5081*IF(L5081="1/C",O5081,1),0)</f>
        <v/>
      </c>
      <c r="Y5081" s="12">
        <f>IF(OR(LEFT(K5081,4)="LVAX",LEFT(K5081,6)="MV15AX",LEFT(K5081,4)="CTAX",LEFT(K5081,2)="W|"),2*N5081*O5081,0)</f>
        <v/>
      </c>
      <c r="Z5081" s="12" t="inlineStr"/>
      <c r="AA5081" s="12">
        <f>N5081*O5081</f>
        <v/>
      </c>
    </row>
    <row r="5082">
      <c r="A5082" s="12" t="inlineStr">
        <is>
          <t>I-I-0472</t>
        </is>
      </c>
      <c r="B5082" s="12" t="inlineStr">
        <is>
          <t>I</t>
        </is>
      </c>
      <c r="C5082" s="12" t="inlineStr">
        <is>
          <t>Modular / portable power</t>
        </is>
      </c>
      <c r="D5082" s="12" t="inlineStr">
        <is>
          <t>Discrete device to JB JB-RICE-8-DI03: 20 x 1 pr (field cables)</t>
        </is>
      </c>
      <c r="E5082" s="12" t="inlineStr">
        <is>
          <t>RICE-8</t>
        </is>
      </c>
      <c r="F5082" s="12" t="inlineStr">
        <is>
          <t>RICE engine-generator 8</t>
        </is>
      </c>
      <c r="G5082" s="12" t="inlineStr">
        <is>
          <t>JB-RICE-8-DI03</t>
        </is>
      </c>
      <c r="H5082" s="12" t="inlineStr">
        <is>
          <t>RICE engine-generator 8</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7" t="n">
        <v>72</v>
      </c>
      <c r="U5082" s="17" t="n">
        <v>10</v>
      </c>
      <c r="V5082" s="17">
        <f>ROUNDUP((T5082+U5082+2*'Read Me'!$B$13)*(1+'Read Me'!$B$12),-1)</f>
        <v/>
      </c>
      <c r="W5082" s="17">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I-I-0473</t>
        </is>
      </c>
      <c r="B5083" s="12" t="inlineStr">
        <is>
          <t>I</t>
        </is>
      </c>
      <c r="C5083" s="12" t="inlineStr">
        <is>
          <t>Modular / portable power</t>
        </is>
      </c>
      <c r="D5083" s="12" t="inlineStr">
        <is>
          <t>Home run JB-RICE-8-DI03 to the control / marshalling room</t>
        </is>
      </c>
      <c r="E5083" s="12" t="inlineStr"/>
      <c r="F5083" s="12" t="inlineStr">
        <is>
          <t>PCM: power control module</t>
        </is>
      </c>
      <c r="G5083" s="12" t="inlineStr">
        <is>
          <t>JB-RICE-8-DI03</t>
        </is>
      </c>
      <c r="H5083" s="12" t="inlineStr">
        <is>
          <t>RICE engine-generator 8</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Tray</t>
        </is>
      </c>
      <c r="T5083" s="17" t="n">
        <v>0</v>
      </c>
      <c r="U5083" s="17" t="n">
        <v>161</v>
      </c>
      <c r="V5083" s="17">
        <f>ROUNDUP((T5083+U5083+2*'Read Me'!$B$13)*(1+'Read Me'!$B$12),-1)</f>
        <v/>
      </c>
      <c r="W5083" s="17">
        <f>V5083*N5083*O5083</f>
        <v/>
      </c>
      <c r="X5083" s="12">
        <f>IF(LEFT(I5083,2)="MV",2*N5083*IF(L5083="1/C",O5083,1),0)</f>
        <v/>
      </c>
      <c r="Y5083" s="12">
        <f>IF(OR(LEFT(K5083,4)="LVAX",LEFT(K5083,6)="MV15AX",LEFT(K5083,4)="CTAX",LEFT(K5083,2)="W|"),2*N5083*O5083,0)</f>
        <v/>
      </c>
      <c r="Z5083" s="12" t="inlineStr"/>
      <c r="AA5083" s="12">
        <f>N5083*O5083</f>
        <v/>
      </c>
    </row>
    <row r="5084">
      <c r="A5084" s="12" t="inlineStr">
        <is>
          <t>I-I-0474</t>
        </is>
      </c>
      <c r="B5084" s="12" t="inlineStr">
        <is>
          <t>I</t>
        </is>
      </c>
      <c r="C5084" s="12" t="inlineStr">
        <is>
          <t>Modular / portable power</t>
        </is>
      </c>
      <c r="D5084" s="12" t="inlineStr">
        <is>
          <t>Thermocouple to TC JB JB-RICE-8-TC01: 20 x 1 pr (field cables)</t>
        </is>
      </c>
      <c r="E5084" s="12" t="inlineStr">
        <is>
          <t>RICE-8</t>
        </is>
      </c>
      <c r="F5084" s="12" t="inlineStr">
        <is>
          <t>RICE engine-generator 8</t>
        </is>
      </c>
      <c r="G5084" s="12" t="inlineStr">
        <is>
          <t>JB-RICE-8-TC01</t>
        </is>
      </c>
      <c r="H5084" s="12" t="inlineStr">
        <is>
          <t>RICE engine-generator 8</t>
        </is>
      </c>
      <c r="I5084" s="12" t="inlineStr">
        <is>
          <t>Instrumentation</t>
        </is>
      </c>
      <c r="J5084" s="12" t="inlineStr">
        <is>
          <t>Thermocouple extension KX, #16 shielded pairs, PLTC</t>
        </is>
      </c>
      <c r="K5084" s="12" t="inlineStr">
        <is>
          <t>TCX|1 pr|16</t>
        </is>
      </c>
      <c r="L5084" s="12" t="inlineStr">
        <is>
          <t>1 pr</t>
        </is>
      </c>
      <c r="M5084" s="12" t="inlineStr">
        <is>
          <t>16</t>
        </is>
      </c>
      <c r="N5084" s="12" t="n">
        <v>20</v>
      </c>
      <c r="O5084" s="12" t="n">
        <v>1</v>
      </c>
      <c r="P5084" s="12" t="n"/>
      <c r="Q5084" s="12" t="n"/>
      <c r="R5084" s="12" t="n"/>
      <c r="S5084" s="12" t="inlineStr">
        <is>
          <t>Tray / conduit</t>
        </is>
      </c>
      <c r="T5084" s="17" t="n">
        <v>72</v>
      </c>
      <c r="U5084" s="17" t="n">
        <v>10</v>
      </c>
      <c r="V5084" s="17">
        <f>ROUNDUP((T5084+U5084+2*'Read Me'!$B$13)*(1+'Read Me'!$B$12),-1)</f>
        <v/>
      </c>
      <c r="W5084" s="17">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I-I-0475</t>
        </is>
      </c>
      <c r="B5085" s="12" t="inlineStr">
        <is>
          <t>I</t>
        </is>
      </c>
      <c r="C5085" s="12" t="inlineStr">
        <is>
          <t>Modular / portable power</t>
        </is>
      </c>
      <c r="D5085" s="12" t="inlineStr">
        <is>
          <t>Home run JB-RICE-8-TC01 to the control / marshalling room</t>
        </is>
      </c>
      <c r="E5085" s="12" t="inlineStr"/>
      <c r="F5085" s="12" t="inlineStr">
        <is>
          <t>PCM: power control module</t>
        </is>
      </c>
      <c r="G5085" s="12" t="inlineStr">
        <is>
          <t>JB-RICE-8-TC01</t>
        </is>
      </c>
      <c r="H5085" s="12" t="inlineStr">
        <is>
          <t>RICE engine-generator 8</t>
        </is>
      </c>
      <c r="I5085" s="12" t="inlineStr">
        <is>
          <t>Instrumentation</t>
        </is>
      </c>
      <c r="J5085" s="12" t="inlineStr">
        <is>
          <t>Thermocouple extension KX, #16 shielded pairs, PLTC</t>
        </is>
      </c>
      <c r="K5085" s="12" t="inlineStr">
        <is>
          <t>TCX|24 pr|16</t>
        </is>
      </c>
      <c r="L5085" s="12" t="inlineStr">
        <is>
          <t>24 pr</t>
        </is>
      </c>
      <c r="M5085" s="12" t="inlineStr">
        <is>
          <t>16</t>
        </is>
      </c>
      <c r="N5085" s="12" t="n">
        <v>1</v>
      </c>
      <c r="O5085" s="12" t="n">
        <v>1</v>
      </c>
      <c r="P5085" s="12" t="n"/>
      <c r="Q5085" s="12" t="n"/>
      <c r="R5085" s="12" t="n"/>
      <c r="S5085" s="12" t="inlineStr">
        <is>
          <t>Tray</t>
        </is>
      </c>
      <c r="T5085" s="17" t="n">
        <v>0</v>
      </c>
      <c r="U5085" s="17" t="n">
        <v>161</v>
      </c>
      <c r="V5085" s="17">
        <f>ROUNDUP((T5085+U5085+2*'Read Me'!$B$13)*(1+'Read Me'!$B$12),-1)</f>
        <v/>
      </c>
      <c r="W5085" s="17">
        <f>V5085*N5085*O5085</f>
        <v/>
      </c>
      <c r="X5085" s="12">
        <f>IF(LEFT(I5085,2)="MV",2*N5085*IF(L5085="1/C",O5085,1),0)</f>
        <v/>
      </c>
      <c r="Y5085" s="12">
        <f>IF(OR(LEFT(K5085,4)="LVAX",LEFT(K5085,6)="MV15AX",LEFT(K5085,4)="CTAX",LEFT(K5085,2)="W|"),2*N5085*O5085,0)</f>
        <v/>
      </c>
      <c r="Z5085" s="12" t="inlineStr"/>
      <c r="AA5085" s="12">
        <f>N5085*O5085</f>
        <v/>
      </c>
    </row>
    <row r="5086">
      <c r="A5086" s="12" t="inlineStr">
        <is>
          <t>I-I-0476</t>
        </is>
      </c>
      <c r="B5086" s="12" t="inlineStr">
        <is>
          <t>I</t>
        </is>
      </c>
      <c r="C5086" s="12" t="inlineStr">
        <is>
          <t>Modular / portable power</t>
        </is>
      </c>
      <c r="D5086" s="12" t="inlineStr">
        <is>
          <t>Thermocouple to TC JB JB-RICE-8-TC02: 10 x 1 pr (field cables)</t>
        </is>
      </c>
      <c r="E5086" s="12" t="inlineStr">
        <is>
          <t>RICE-8</t>
        </is>
      </c>
      <c r="F5086" s="12" t="inlineStr">
        <is>
          <t>RICE engine-generator 8</t>
        </is>
      </c>
      <c r="G5086" s="12" t="inlineStr">
        <is>
          <t>JB-RICE-8-TC02</t>
        </is>
      </c>
      <c r="H5086" s="12" t="inlineStr">
        <is>
          <t>RICE engine-generator 8</t>
        </is>
      </c>
      <c r="I5086" s="12" t="inlineStr">
        <is>
          <t>Instrumentation</t>
        </is>
      </c>
      <c r="J5086" s="12" t="inlineStr">
        <is>
          <t>Thermocouple extension KX, #16 shielded pairs, PLTC</t>
        </is>
      </c>
      <c r="K5086" s="12" t="inlineStr">
        <is>
          <t>TCX|1 pr|16</t>
        </is>
      </c>
      <c r="L5086" s="12" t="inlineStr">
        <is>
          <t>1 pr</t>
        </is>
      </c>
      <c r="M5086" s="12" t="inlineStr">
        <is>
          <t>16</t>
        </is>
      </c>
      <c r="N5086" s="12" t="n">
        <v>10</v>
      </c>
      <c r="O5086" s="12" t="n">
        <v>1</v>
      </c>
      <c r="P5086" s="12" t="n"/>
      <c r="Q5086" s="12" t="n"/>
      <c r="R5086" s="12" t="n"/>
      <c r="S5086" s="12" t="inlineStr">
        <is>
          <t>Tray / conduit</t>
        </is>
      </c>
      <c r="T5086" s="17" t="n">
        <v>72</v>
      </c>
      <c r="U5086" s="17" t="n">
        <v>10</v>
      </c>
      <c r="V5086" s="17">
        <f>ROUNDUP((T5086+U5086+2*'Read Me'!$B$13)*(1+'Read Me'!$B$12),-1)</f>
        <v/>
      </c>
      <c r="W5086" s="17">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I-I-0477</t>
        </is>
      </c>
      <c r="B5087" s="12" t="inlineStr">
        <is>
          <t>I</t>
        </is>
      </c>
      <c r="C5087" s="12" t="inlineStr">
        <is>
          <t>Modular / portable power</t>
        </is>
      </c>
      <c r="D5087" s="12" t="inlineStr">
        <is>
          <t>Home run JB-RICE-8-TC02 to the control / marshalling room</t>
        </is>
      </c>
      <c r="E5087" s="12" t="inlineStr"/>
      <c r="F5087" s="12" t="inlineStr">
        <is>
          <t>PCM: power control module</t>
        </is>
      </c>
      <c r="G5087" s="12" t="inlineStr">
        <is>
          <t>JB-RICE-8-TC02</t>
        </is>
      </c>
      <c r="H5087" s="12" t="inlineStr">
        <is>
          <t>RICE engine-generator 8</t>
        </is>
      </c>
      <c r="I5087" s="12" t="inlineStr">
        <is>
          <t>Instrumentation</t>
        </is>
      </c>
      <c r="J5087" s="12" t="inlineStr">
        <is>
          <t>Thermocouple extension KX, #16 shielded pairs, PLTC</t>
        </is>
      </c>
      <c r="K5087" s="12" t="inlineStr">
        <is>
          <t>TCX|24 pr|16</t>
        </is>
      </c>
      <c r="L5087" s="12" t="inlineStr">
        <is>
          <t>24 pr</t>
        </is>
      </c>
      <c r="M5087" s="12" t="inlineStr">
        <is>
          <t>16</t>
        </is>
      </c>
      <c r="N5087" s="12" t="n">
        <v>1</v>
      </c>
      <c r="O5087" s="12" t="n">
        <v>1</v>
      </c>
      <c r="P5087" s="12" t="n"/>
      <c r="Q5087" s="12" t="n"/>
      <c r="R5087" s="12" t="n"/>
      <c r="S5087" s="12" t="inlineStr">
        <is>
          <t>Tray</t>
        </is>
      </c>
      <c r="T5087" s="17" t="n">
        <v>0</v>
      </c>
      <c r="U5087" s="17" t="n">
        <v>161</v>
      </c>
      <c r="V5087" s="17">
        <f>ROUNDUP((T5087+U5087+2*'Read Me'!$B$13)*(1+'Read Me'!$B$12),-1)</f>
        <v/>
      </c>
      <c r="W5087" s="17">
        <f>V5087*N5087*O5087</f>
        <v/>
      </c>
      <c r="X5087" s="12">
        <f>IF(LEFT(I5087,2)="MV",2*N5087*IF(L5087="1/C",O5087,1),0)</f>
        <v/>
      </c>
      <c r="Y5087" s="12">
        <f>IF(OR(LEFT(K5087,4)="LVAX",LEFT(K5087,6)="MV15AX",LEFT(K5087,4)="CTAX",LEFT(K5087,2)="W|"),2*N5087*O5087,0)</f>
        <v/>
      </c>
      <c r="Z5087" s="12" t="inlineStr"/>
      <c r="AA5087" s="12">
        <f>N5087*O5087</f>
        <v/>
      </c>
    </row>
    <row r="5088">
      <c r="A5088" s="12" t="inlineStr">
        <is>
          <t>I-I-0478</t>
        </is>
      </c>
      <c r="B5088" s="12" t="inlineStr">
        <is>
          <t>I</t>
        </is>
      </c>
      <c r="C5088" s="12" t="inlineStr">
        <is>
          <t>Modular / portable power</t>
        </is>
      </c>
      <c r="D5088" s="12" t="inlineStr">
        <is>
          <t>RTD to JB JB-RICE-8-RTD01: 10 x 1 tri (field cables)</t>
        </is>
      </c>
      <c r="E5088" s="12" t="inlineStr">
        <is>
          <t>RICE-8</t>
        </is>
      </c>
      <c r="F5088" s="12" t="inlineStr">
        <is>
          <t>RICE engine-generator 8</t>
        </is>
      </c>
      <c r="G5088" s="12" t="inlineStr">
        <is>
          <t>JB-RICE-8-RTD01</t>
        </is>
      </c>
      <c r="H5088" s="12" t="inlineStr">
        <is>
          <t>RICE engine-generator 8</t>
        </is>
      </c>
      <c r="I5088" s="12" t="inlineStr">
        <is>
          <t>Instrumentation</t>
        </is>
      </c>
      <c r="J5088" s="12" t="inlineStr">
        <is>
          <t>RTD cable, #18 shielded triads, PLTC</t>
        </is>
      </c>
      <c r="K5088" s="12" t="inlineStr">
        <is>
          <t>RTD|1 tri|18</t>
        </is>
      </c>
      <c r="L5088" s="12" t="inlineStr">
        <is>
          <t>1 tri</t>
        </is>
      </c>
      <c r="M5088" s="12" t="inlineStr">
        <is>
          <t>18</t>
        </is>
      </c>
      <c r="N5088" s="12" t="n">
        <v>10</v>
      </c>
      <c r="O5088" s="12" t="n">
        <v>1</v>
      </c>
      <c r="P5088" s="12" t="n"/>
      <c r="Q5088" s="12" t="n"/>
      <c r="R5088" s="12" t="n"/>
      <c r="S5088" s="12" t="inlineStr">
        <is>
          <t>Tray / conduit</t>
        </is>
      </c>
      <c r="T5088" s="17" t="n">
        <v>72</v>
      </c>
      <c r="U5088" s="17" t="n">
        <v>10</v>
      </c>
      <c r="V5088" s="17">
        <f>ROUNDUP((T5088+U5088+2*'Read Me'!$B$13)*(1+'Read Me'!$B$12),-1)</f>
        <v/>
      </c>
      <c r="W5088" s="17">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I-I-0479</t>
        </is>
      </c>
      <c r="B5089" s="12" t="inlineStr">
        <is>
          <t>I</t>
        </is>
      </c>
      <c r="C5089" s="12" t="inlineStr">
        <is>
          <t>Modular / portable power</t>
        </is>
      </c>
      <c r="D5089" s="12" t="inlineStr">
        <is>
          <t>Home run JB-RICE-8-RTD01 to the control / marshalling room</t>
        </is>
      </c>
      <c r="E5089" s="12" t="inlineStr"/>
      <c r="F5089" s="12" t="inlineStr">
        <is>
          <t>PCM: power control module</t>
        </is>
      </c>
      <c r="G5089" s="12" t="inlineStr">
        <is>
          <t>JB-RICE-8-RTD01</t>
        </is>
      </c>
      <c r="H5089" s="12" t="inlineStr">
        <is>
          <t>RICE engine-generator 8</t>
        </is>
      </c>
      <c r="I5089" s="12" t="inlineStr">
        <is>
          <t>Instrumentation</t>
        </is>
      </c>
      <c r="J5089" s="12" t="inlineStr">
        <is>
          <t>RTD cable, #18 shielded triads, PLTC</t>
        </is>
      </c>
      <c r="K5089" s="12" t="inlineStr">
        <is>
          <t>RTD|12 tri|18</t>
        </is>
      </c>
      <c r="L5089" s="12" t="inlineStr">
        <is>
          <t>12 tri</t>
        </is>
      </c>
      <c r="M5089" s="12" t="inlineStr">
        <is>
          <t>18</t>
        </is>
      </c>
      <c r="N5089" s="12" t="n">
        <v>1</v>
      </c>
      <c r="O5089" s="12" t="n">
        <v>1</v>
      </c>
      <c r="P5089" s="12" t="n"/>
      <c r="Q5089" s="12" t="n"/>
      <c r="R5089" s="12" t="n"/>
      <c r="S5089" s="12" t="inlineStr">
        <is>
          <t>Tray</t>
        </is>
      </c>
      <c r="T5089" s="17" t="n">
        <v>0</v>
      </c>
      <c r="U5089" s="17" t="n">
        <v>161</v>
      </c>
      <c r="V5089" s="17">
        <f>ROUNDUP((T5089+U5089+2*'Read Me'!$B$13)*(1+'Read Me'!$B$12),-1)</f>
        <v/>
      </c>
      <c r="W5089" s="17">
        <f>V5089*N5089*O5089</f>
        <v/>
      </c>
      <c r="X5089" s="12">
        <f>IF(LEFT(I5089,2)="MV",2*N5089*IF(L5089="1/C",O5089,1),0)</f>
        <v/>
      </c>
      <c r="Y5089" s="12">
        <f>IF(OR(LEFT(K5089,4)="LVAX",LEFT(K5089,6)="MV15AX",LEFT(K5089,4)="CTAX",LEFT(K5089,2)="W|"),2*N5089*O5089,0)</f>
        <v/>
      </c>
      <c r="Z5089" s="12" t="inlineStr"/>
      <c r="AA5089" s="12">
        <f>N5089*O5089</f>
        <v/>
      </c>
    </row>
    <row r="5090">
      <c r="A5090" s="12" t="inlineStr">
        <is>
          <t>I-I-0480</t>
        </is>
      </c>
      <c r="B5090" s="12" t="inlineStr">
        <is>
          <t>I</t>
        </is>
      </c>
      <c r="C5090" s="12" t="inlineStr">
        <is>
          <t>Modular / portable power</t>
        </is>
      </c>
      <c r="D5090" s="12" t="inlineStr">
        <is>
          <t>RTD to JB JB-RICE-8-RTD02: 2 x 1 tri (field cables)</t>
        </is>
      </c>
      <c r="E5090" s="12" t="inlineStr">
        <is>
          <t>RICE-8</t>
        </is>
      </c>
      <c r="F5090" s="12" t="inlineStr">
        <is>
          <t>RICE engine-generator 8</t>
        </is>
      </c>
      <c r="G5090" s="12" t="inlineStr">
        <is>
          <t>JB-RICE-8-RTD02</t>
        </is>
      </c>
      <c r="H5090" s="12" t="inlineStr">
        <is>
          <t>RICE engine-generator 8</t>
        </is>
      </c>
      <c r="I5090" s="12" t="inlineStr">
        <is>
          <t>Instrumentation</t>
        </is>
      </c>
      <c r="J5090" s="12" t="inlineStr">
        <is>
          <t>RTD cable, #18 shielded triads, PLTC</t>
        </is>
      </c>
      <c r="K5090" s="12" t="inlineStr">
        <is>
          <t>RTD|1 tri|18</t>
        </is>
      </c>
      <c r="L5090" s="12" t="inlineStr">
        <is>
          <t>1 tri</t>
        </is>
      </c>
      <c r="M5090" s="12" t="inlineStr">
        <is>
          <t>18</t>
        </is>
      </c>
      <c r="N5090" s="12" t="n">
        <v>2</v>
      </c>
      <c r="O5090" s="12" t="n">
        <v>1</v>
      </c>
      <c r="P5090" s="12" t="n"/>
      <c r="Q5090" s="12" t="n"/>
      <c r="R5090" s="12" t="n"/>
      <c r="S5090" s="12" t="inlineStr">
        <is>
          <t>Tray / conduit</t>
        </is>
      </c>
      <c r="T5090" s="17" t="n">
        <v>72</v>
      </c>
      <c r="U5090" s="17" t="n">
        <v>10</v>
      </c>
      <c r="V5090" s="17">
        <f>ROUNDUP((T5090+U5090+2*'Read Me'!$B$13)*(1+'Read Me'!$B$12),-1)</f>
        <v/>
      </c>
      <c r="W5090" s="17">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I-I-0481</t>
        </is>
      </c>
      <c r="B5091" s="12" t="inlineStr">
        <is>
          <t>I</t>
        </is>
      </c>
      <c r="C5091" s="12" t="inlineStr">
        <is>
          <t>Modular / portable power</t>
        </is>
      </c>
      <c r="D5091" s="12" t="inlineStr">
        <is>
          <t>Home run JB-RICE-8-RTD02 to the control / marshalling room</t>
        </is>
      </c>
      <c r="E5091" s="12" t="inlineStr"/>
      <c r="F5091" s="12" t="inlineStr">
        <is>
          <t>PCM: power control module</t>
        </is>
      </c>
      <c r="G5091" s="12" t="inlineStr">
        <is>
          <t>JB-RICE-8-RTD02</t>
        </is>
      </c>
      <c r="H5091" s="12" t="inlineStr">
        <is>
          <t>RICE engine-generator 8</t>
        </is>
      </c>
      <c r="I5091" s="12" t="inlineStr">
        <is>
          <t>Instrumentation</t>
        </is>
      </c>
      <c r="J5091" s="12" t="inlineStr">
        <is>
          <t>RTD cable, #18 shielded triads, PLTC</t>
        </is>
      </c>
      <c r="K5091" s="12" t="inlineStr">
        <is>
          <t>RTD|12 tri|18</t>
        </is>
      </c>
      <c r="L5091" s="12" t="inlineStr">
        <is>
          <t>12 tri</t>
        </is>
      </c>
      <c r="M5091" s="12" t="inlineStr">
        <is>
          <t>18</t>
        </is>
      </c>
      <c r="N5091" s="12" t="n">
        <v>1</v>
      </c>
      <c r="O5091" s="12" t="n">
        <v>1</v>
      </c>
      <c r="P5091" s="12" t="n"/>
      <c r="Q5091" s="12" t="n"/>
      <c r="R5091" s="12" t="n"/>
      <c r="S5091" s="12" t="inlineStr">
        <is>
          <t>Tray</t>
        </is>
      </c>
      <c r="T5091" s="17" t="n">
        <v>0</v>
      </c>
      <c r="U5091" s="17" t="n">
        <v>161</v>
      </c>
      <c r="V5091" s="17">
        <f>ROUNDUP((T5091+U5091+2*'Read Me'!$B$13)*(1+'Read Me'!$B$12),-1)</f>
        <v/>
      </c>
      <c r="W5091" s="17">
        <f>V5091*N5091*O5091</f>
        <v/>
      </c>
      <c r="X5091" s="12">
        <f>IF(LEFT(I5091,2)="MV",2*N5091*IF(L5091="1/C",O5091,1),0)</f>
        <v/>
      </c>
      <c r="Y5091" s="12">
        <f>IF(OR(LEFT(K5091,4)="LVAX",LEFT(K5091,6)="MV15AX",LEFT(K5091,4)="CTAX",LEFT(K5091,2)="W|"),2*N5091*O5091,0)</f>
        <v/>
      </c>
      <c r="Z5091" s="12" t="inlineStr"/>
      <c r="AA5091" s="12">
        <f>N5091*O5091</f>
        <v/>
      </c>
    </row>
    <row r="5092">
      <c r="A5092" s="12" t="inlineStr">
        <is>
          <t>I-I-0482</t>
        </is>
      </c>
      <c r="B5092" s="12" t="inlineStr">
        <is>
          <t>I</t>
        </is>
      </c>
      <c r="C5092" s="12" t="inlineStr">
        <is>
          <t>Modular / portable power</t>
        </is>
      </c>
      <c r="D5092" s="12" t="inlineStr">
        <is>
          <t>Instrumentation</t>
        </is>
      </c>
      <c r="E5092" s="12" t="inlineStr"/>
      <c r="F5092" s="12" t="inlineStr">
        <is>
          <t>PCM: power control module</t>
        </is>
      </c>
      <c r="G5092" s="12" t="inlineStr"/>
      <c r="H5092" s="12" t="inlineStr">
        <is>
          <t>Reagent storage</t>
        </is>
      </c>
      <c r="I5092" s="12" t="inlineStr">
        <is>
          <t>Instrumentation</t>
        </is>
      </c>
      <c r="J5092" s="12" t="inlineStr">
        <is>
          <t>Instrumentation PLTC / TC-ER 300 V, #18 twisted shielded pairs, overall shield</t>
        </is>
      </c>
      <c r="K5092" s="12" t="inlineStr">
        <is>
          <t>PLTC|4 pr|18</t>
        </is>
      </c>
      <c r="L5092" s="12" t="inlineStr">
        <is>
          <t>4 pr</t>
        </is>
      </c>
      <c r="M5092" s="12" t="inlineStr">
        <is>
          <t>18</t>
        </is>
      </c>
      <c r="N5092" s="12" t="n">
        <v>1</v>
      </c>
      <c r="O5092" s="12" t="n">
        <v>1</v>
      </c>
      <c r="P5092" s="12" t="n"/>
      <c r="Q5092" s="12" t="n"/>
      <c r="R5092" s="12" t="n"/>
      <c r="S5092" s="12" t="inlineStr">
        <is>
          <t>Tray</t>
        </is>
      </c>
      <c r="T5092" s="17" t="n">
        <v>40</v>
      </c>
      <c r="U5092" s="17" t="n">
        <v>32</v>
      </c>
      <c r="V5092" s="17">
        <f>ROUNDUP((T5092+U5092+2*'Read Me'!$B$13)*(1+'Read Me'!$B$12),-1)</f>
        <v/>
      </c>
      <c r="W5092" s="17">
        <f>V5092*N5092*O5092</f>
        <v/>
      </c>
      <c r="X5092" s="12">
        <f>IF(LEFT(I5092,2)="MV",2*N5092*IF(L5092="1/C",O5092,1),0)</f>
        <v/>
      </c>
      <c r="Y5092" s="12">
        <f>IF(OR(LEFT(K5092,4)="LVAX",LEFT(K5092,6)="MV15AX",LEFT(K5092,4)="CTAX",LEFT(K5092,2)="W|"),2*N5092*O5092,0)</f>
        <v/>
      </c>
      <c r="Z5092" s="12" t="inlineStr"/>
      <c r="AA5092" s="12">
        <f>N5092*O5092</f>
        <v/>
      </c>
    </row>
    <row r="5093">
      <c r="A5093" s="12" t="inlineStr">
        <is>
          <t>I-I-0483</t>
        </is>
      </c>
      <c r="B5093" s="12" t="inlineStr">
        <is>
          <t>I</t>
        </is>
      </c>
      <c r="C5093" s="12" t="inlineStr">
        <is>
          <t>Modular / portable power</t>
        </is>
      </c>
      <c r="D5093" s="12" t="inlineStr">
        <is>
          <t>Analog instrument to JB JB-SC-1 CEMS shelter-AI01: 12 x 1 pr (field cables)</t>
        </is>
      </c>
      <c r="E5093" s="12" t="inlineStr"/>
      <c r="F5093" s="12" t="inlineStr">
        <is>
          <t>SC-1 CEMS shelter</t>
        </is>
      </c>
      <c r="G5093" s="12" t="inlineStr">
        <is>
          <t>JB-SC-1 CEMS shelter-AI01</t>
        </is>
      </c>
      <c r="H5093" s="12" t="inlineStr">
        <is>
          <t>SC-1 CEMS shelter</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12</v>
      </c>
      <c r="O5093" s="12" t="n">
        <v>1</v>
      </c>
      <c r="P5093" s="12" t="n"/>
      <c r="Q5093" s="12" t="n"/>
      <c r="R5093" s="12" t="n"/>
      <c r="S5093" s="12" t="inlineStr">
        <is>
          <t>Tray / conduit</t>
        </is>
      </c>
      <c r="T5093" s="17" t="n">
        <v>57</v>
      </c>
      <c r="U5093" s="17" t="n">
        <v>10</v>
      </c>
      <c r="V5093" s="17">
        <f>ROUNDUP((T5093+U5093+2*'Read Me'!$B$13)*(1+'Read Me'!$B$12),-1)</f>
        <v/>
      </c>
      <c r="W5093" s="17">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I-I-0484</t>
        </is>
      </c>
      <c r="B5094" s="12" t="inlineStr">
        <is>
          <t>I</t>
        </is>
      </c>
      <c r="C5094" s="12" t="inlineStr">
        <is>
          <t>Modular / portable power</t>
        </is>
      </c>
      <c r="D5094" s="12" t="inlineStr">
        <is>
          <t>Home run JB-SC-1 CEMS shelter-AI01 to the control / marshalling room</t>
        </is>
      </c>
      <c r="E5094" s="12" t="inlineStr"/>
      <c r="F5094" s="12" t="inlineStr">
        <is>
          <t>SC-1 PCM + 15 kV GCB</t>
        </is>
      </c>
      <c r="G5094" s="12" t="inlineStr">
        <is>
          <t>JB-SC-1 CEMS shelter-AI01</t>
        </is>
      </c>
      <c r="H5094" s="12" t="inlineStr">
        <is>
          <t>SC-1 CEMS shelter</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Tray</t>
        </is>
      </c>
      <c r="T5094" s="17" t="n">
        <v>0</v>
      </c>
      <c r="U5094" s="17" t="n">
        <v>229</v>
      </c>
      <c r="V5094" s="17">
        <f>ROUNDUP((T5094+U5094+2*'Read Me'!$B$13)*(1+'Read Me'!$B$12),-1)</f>
        <v/>
      </c>
      <c r="W5094" s="17">
        <f>V5094*N5094*O5094</f>
        <v/>
      </c>
      <c r="X5094" s="12">
        <f>IF(LEFT(I5094,2)="MV",2*N5094*IF(L5094="1/C",O5094,1),0)</f>
        <v/>
      </c>
      <c r="Y5094" s="12">
        <f>IF(OR(LEFT(K5094,4)="LVAX",LEFT(K5094,6)="MV15AX",LEFT(K5094,4)="CTAX",LEFT(K5094,2)="W|"),2*N5094*O5094,0)</f>
        <v/>
      </c>
      <c r="Z5094" s="12" t="inlineStr"/>
      <c r="AA5094" s="12">
        <f>N5094*O5094</f>
        <v/>
      </c>
    </row>
    <row r="5095">
      <c r="A5095" s="12" t="inlineStr">
        <is>
          <t>I-I-0485</t>
        </is>
      </c>
      <c r="B5095" s="12" t="inlineStr">
        <is>
          <t>I</t>
        </is>
      </c>
      <c r="C5095" s="12" t="inlineStr">
        <is>
          <t>Modular / portable power</t>
        </is>
      </c>
      <c r="D5095" s="12" t="inlineStr">
        <is>
          <t>Discrete device to JB JB-SC-1 CEMS shelter-DI01: 10 x 1 pr (field cables)</t>
        </is>
      </c>
      <c r="E5095" s="12" t="inlineStr"/>
      <c r="F5095" s="12" t="inlineStr">
        <is>
          <t>SC-1 CEMS shelter</t>
        </is>
      </c>
      <c r="G5095" s="12" t="inlineStr">
        <is>
          <t>JB-SC-1 CEMS shelter-DI01</t>
        </is>
      </c>
      <c r="H5095" s="12" t="inlineStr">
        <is>
          <t>SC-1 CEMS shelter</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10</v>
      </c>
      <c r="O5095" s="12" t="n">
        <v>1</v>
      </c>
      <c r="P5095" s="12" t="n"/>
      <c r="Q5095" s="12" t="n"/>
      <c r="R5095" s="12" t="n"/>
      <c r="S5095" s="12" t="inlineStr">
        <is>
          <t>Tray / conduit</t>
        </is>
      </c>
      <c r="T5095" s="17" t="n">
        <v>57</v>
      </c>
      <c r="U5095" s="17" t="n">
        <v>10</v>
      </c>
      <c r="V5095" s="17">
        <f>ROUNDUP((T5095+U5095+2*'Read Me'!$B$13)*(1+'Read Me'!$B$12),-1)</f>
        <v/>
      </c>
      <c r="W5095" s="17">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I-I-0486</t>
        </is>
      </c>
      <c r="B5096" s="12" t="inlineStr">
        <is>
          <t>I</t>
        </is>
      </c>
      <c r="C5096" s="12" t="inlineStr">
        <is>
          <t>Modular / portable power</t>
        </is>
      </c>
      <c r="D5096" s="12" t="inlineStr">
        <is>
          <t>Home run JB-SC-1 CEMS shelter-DI01 to the control / marshalling room</t>
        </is>
      </c>
      <c r="E5096" s="12" t="inlineStr"/>
      <c r="F5096" s="12" t="inlineStr">
        <is>
          <t>SC-1 PCM + 15 kV GCB</t>
        </is>
      </c>
      <c r="G5096" s="12" t="inlineStr">
        <is>
          <t>JB-SC-1 CEMS shelter-DI01</t>
        </is>
      </c>
      <c r="H5096" s="12" t="inlineStr">
        <is>
          <t>SC-1 CEMS shelter</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Tray</t>
        </is>
      </c>
      <c r="T5096" s="17" t="n">
        <v>0</v>
      </c>
      <c r="U5096" s="17" t="n">
        <v>229</v>
      </c>
      <c r="V5096" s="17">
        <f>ROUNDUP((T5096+U5096+2*'Read Me'!$B$13)*(1+'Read Me'!$B$12),-1)</f>
        <v/>
      </c>
      <c r="W5096" s="17">
        <f>V5096*N5096*O5096</f>
        <v/>
      </c>
      <c r="X5096" s="12">
        <f>IF(LEFT(I5096,2)="MV",2*N5096*IF(L5096="1/C",O5096,1),0)</f>
        <v/>
      </c>
      <c r="Y5096" s="12">
        <f>IF(OR(LEFT(K5096,4)="LVAX",LEFT(K5096,6)="MV15AX",LEFT(K5096,4)="CTAX",LEFT(K5096,2)="W|"),2*N5096*O5096,0)</f>
        <v/>
      </c>
      <c r="Z5096" s="12" t="inlineStr"/>
      <c r="AA5096" s="12">
        <f>N5096*O5096</f>
        <v/>
      </c>
    </row>
    <row r="5097">
      <c r="A5097" s="12" t="inlineStr">
        <is>
          <t>I-I-0487</t>
        </is>
      </c>
      <c r="B5097" s="12" t="inlineStr">
        <is>
          <t>I</t>
        </is>
      </c>
      <c r="C5097" s="12" t="inlineStr">
        <is>
          <t>Modular / portable power</t>
        </is>
      </c>
      <c r="D5097" s="12" t="inlineStr">
        <is>
          <t>Analog instrument to JB JB-SC-1 SCR / CO cata-AI01: 16 x 1 pr (field cables)</t>
        </is>
      </c>
      <c r="E5097" s="12" t="inlineStr"/>
      <c r="F5097" s="12" t="inlineStr">
        <is>
          <t>SC-1 SCR / CO catalyst</t>
        </is>
      </c>
      <c r="G5097" s="12" t="inlineStr">
        <is>
          <t>JB-SC-1 SCR / CO cata-AI01</t>
        </is>
      </c>
      <c r="H5097" s="12" t="inlineStr">
        <is>
          <t>SC-1 SCR / CO catalyst</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16</v>
      </c>
      <c r="O5097" s="12" t="n">
        <v>1</v>
      </c>
      <c r="P5097" s="12" t="n"/>
      <c r="Q5097" s="12" t="n"/>
      <c r="R5097" s="12" t="n"/>
      <c r="S5097" s="12" t="inlineStr">
        <is>
          <t>Tray / conduit</t>
        </is>
      </c>
      <c r="T5097" s="17" t="n">
        <v>74</v>
      </c>
      <c r="U5097" s="17" t="n">
        <v>10</v>
      </c>
      <c r="V5097" s="17">
        <f>ROUNDUP((T5097+U5097+2*'Read Me'!$B$13)*(1+'Read Me'!$B$12),-1)</f>
        <v/>
      </c>
      <c r="W5097" s="17">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I-I-0488</t>
        </is>
      </c>
      <c r="B5098" s="12" t="inlineStr">
        <is>
          <t>I</t>
        </is>
      </c>
      <c r="C5098" s="12" t="inlineStr">
        <is>
          <t>Modular / portable power</t>
        </is>
      </c>
      <c r="D5098" s="12" t="inlineStr">
        <is>
          <t>Home run JB-SC-1 SCR / CO cata-AI01 to the control / marshalling room</t>
        </is>
      </c>
      <c r="E5098" s="12" t="inlineStr"/>
      <c r="F5098" s="12" t="inlineStr">
        <is>
          <t>SC-1 PCM + 15 kV GCB</t>
        </is>
      </c>
      <c r="G5098" s="12" t="inlineStr">
        <is>
          <t>JB-SC-1 SCR / CO cata-AI01</t>
        </is>
      </c>
      <c r="H5098" s="12" t="inlineStr">
        <is>
          <t>SC-1 SCR / CO catalyst</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Tray</t>
        </is>
      </c>
      <c r="T5098" s="17" t="n">
        <v>0</v>
      </c>
      <c r="U5098" s="17" t="n">
        <v>154</v>
      </c>
      <c r="V5098" s="17">
        <f>ROUNDUP((T5098+U5098+2*'Read Me'!$B$13)*(1+'Read Me'!$B$12),-1)</f>
        <v/>
      </c>
      <c r="W5098" s="17">
        <f>V5098*N5098*O5098</f>
        <v/>
      </c>
      <c r="X5098" s="12">
        <f>IF(LEFT(I5098,2)="MV",2*N5098*IF(L5098="1/C",O5098,1),0)</f>
        <v/>
      </c>
      <c r="Y5098" s="12">
        <f>IF(OR(LEFT(K5098,4)="LVAX",LEFT(K5098,6)="MV15AX",LEFT(K5098,4)="CTAX",LEFT(K5098,2)="W|"),2*N5098*O5098,0)</f>
        <v/>
      </c>
      <c r="Z5098" s="12" t="inlineStr"/>
      <c r="AA5098" s="12">
        <f>N5098*O5098</f>
        <v/>
      </c>
    </row>
    <row r="5099">
      <c r="A5099" s="12" t="inlineStr">
        <is>
          <t>I-I-0489</t>
        </is>
      </c>
      <c r="B5099" s="12" t="inlineStr">
        <is>
          <t>I</t>
        </is>
      </c>
      <c r="C5099" s="12" t="inlineStr">
        <is>
          <t>Modular / portable power</t>
        </is>
      </c>
      <c r="D5099" s="12" t="inlineStr">
        <is>
          <t>Discrete device to JB JB-SC-1 SCR / CO cata-DI01: 8 x 1 pr (field cables)</t>
        </is>
      </c>
      <c r="E5099" s="12" t="inlineStr"/>
      <c r="F5099" s="12" t="inlineStr">
        <is>
          <t>SC-1 SCR / CO catalyst</t>
        </is>
      </c>
      <c r="G5099" s="12" t="inlineStr">
        <is>
          <t>JB-SC-1 SCR / CO cata-DI01</t>
        </is>
      </c>
      <c r="H5099" s="12" t="inlineStr">
        <is>
          <t>SC-1 SCR / CO catalyst</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8</v>
      </c>
      <c r="O5099" s="12" t="n">
        <v>1</v>
      </c>
      <c r="P5099" s="12" t="n"/>
      <c r="Q5099" s="12" t="n"/>
      <c r="R5099" s="12" t="n"/>
      <c r="S5099" s="12" t="inlineStr">
        <is>
          <t>Tray / conduit</t>
        </is>
      </c>
      <c r="T5099" s="17" t="n">
        <v>74</v>
      </c>
      <c r="U5099" s="17" t="n">
        <v>10</v>
      </c>
      <c r="V5099" s="17">
        <f>ROUNDUP((T5099+U5099+2*'Read Me'!$B$13)*(1+'Read Me'!$B$12),-1)</f>
        <v/>
      </c>
      <c r="W5099" s="17">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I-I-0490</t>
        </is>
      </c>
      <c r="B5100" s="12" t="inlineStr">
        <is>
          <t>I</t>
        </is>
      </c>
      <c r="C5100" s="12" t="inlineStr">
        <is>
          <t>Modular / portable power</t>
        </is>
      </c>
      <c r="D5100" s="12" t="inlineStr">
        <is>
          <t>Home run JB-SC-1 SCR / CO cata-DI01 to the control / marshalling room</t>
        </is>
      </c>
      <c r="E5100" s="12" t="inlineStr"/>
      <c r="F5100" s="12" t="inlineStr">
        <is>
          <t>SC-1 PCM + 15 kV GCB</t>
        </is>
      </c>
      <c r="G5100" s="12" t="inlineStr">
        <is>
          <t>JB-SC-1 SCR / CO cata-DI01</t>
        </is>
      </c>
      <c r="H5100" s="12" t="inlineStr">
        <is>
          <t>SC-1 SCR / CO catalyst</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Tray</t>
        </is>
      </c>
      <c r="T5100" s="17" t="n">
        <v>0</v>
      </c>
      <c r="U5100" s="17" t="n">
        <v>154</v>
      </c>
      <c r="V5100" s="17">
        <f>ROUNDUP((T5100+U5100+2*'Read Me'!$B$13)*(1+'Read Me'!$B$12),-1)</f>
        <v/>
      </c>
      <c r="W5100" s="17">
        <f>V5100*N5100*O5100</f>
        <v/>
      </c>
      <c r="X5100" s="12">
        <f>IF(LEFT(I5100,2)="MV",2*N5100*IF(L5100="1/C",O5100,1),0)</f>
        <v/>
      </c>
      <c r="Y5100" s="12">
        <f>IF(OR(LEFT(K5100,4)="LVAX",LEFT(K5100,6)="MV15AX",LEFT(K5100,4)="CTAX",LEFT(K5100,2)="W|"),2*N5100*O5100,0)</f>
        <v/>
      </c>
      <c r="Z5100" s="12" t="inlineStr"/>
      <c r="AA5100" s="12">
        <f>N5100*O5100</f>
        <v/>
      </c>
    </row>
    <row r="5101">
      <c r="A5101" s="12" t="inlineStr">
        <is>
          <t>I-I-0491</t>
        </is>
      </c>
      <c r="B5101" s="12" t="inlineStr">
        <is>
          <t>I</t>
        </is>
      </c>
      <c r="C5101" s="12" t="inlineStr">
        <is>
          <t>Modular / portable power</t>
        </is>
      </c>
      <c r="D5101" s="12" t="inlineStr">
        <is>
          <t>Analog instrument to JB JB-SC-1 ammonia flow--AI01: 8 x 1 pr (field cables)</t>
        </is>
      </c>
      <c r="E5101" s="12" t="inlineStr"/>
      <c r="F5101" s="12" t="inlineStr">
        <is>
          <t>SC-1 ammonia flow-control unit</t>
        </is>
      </c>
      <c r="G5101" s="12" t="inlineStr">
        <is>
          <t>JB-SC-1 ammonia flow--AI01</t>
        </is>
      </c>
      <c r="H5101" s="12" t="inlineStr">
        <is>
          <t>SC-1 ammonia flow-control unit</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8</v>
      </c>
      <c r="O5101" s="12" t="n">
        <v>1</v>
      </c>
      <c r="P5101" s="12" t="n"/>
      <c r="Q5101" s="12" t="n"/>
      <c r="R5101" s="12" t="n"/>
      <c r="S5101" s="12" t="inlineStr">
        <is>
          <t>Tray / conduit</t>
        </is>
      </c>
      <c r="T5101" s="17" t="n">
        <v>40</v>
      </c>
      <c r="U5101" s="17" t="n">
        <v>10</v>
      </c>
      <c r="V5101" s="17">
        <f>ROUNDUP((T5101+U5101+2*'Read Me'!$B$13)*(1+'Read Me'!$B$12),-1)</f>
        <v/>
      </c>
      <c r="W5101" s="17">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I-I-0492</t>
        </is>
      </c>
      <c r="B5102" s="12" t="inlineStr">
        <is>
          <t>I</t>
        </is>
      </c>
      <c r="C5102" s="12" t="inlineStr">
        <is>
          <t>Modular / portable power</t>
        </is>
      </c>
      <c r="D5102" s="12" t="inlineStr">
        <is>
          <t>Home run JB-SC-1 ammonia flow--AI01 to the control / marshalling room</t>
        </is>
      </c>
      <c r="E5102" s="12" t="inlineStr"/>
      <c r="F5102" s="12" t="inlineStr">
        <is>
          <t>SC-1 PCM + 15 kV GCB</t>
        </is>
      </c>
      <c r="G5102" s="12" t="inlineStr">
        <is>
          <t>JB-SC-1 ammonia flow--AI01</t>
        </is>
      </c>
      <c r="H5102" s="12" t="inlineStr">
        <is>
          <t>SC-1 ammonia flow-control unit</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Tray</t>
        </is>
      </c>
      <c r="T5102" s="17" t="n">
        <v>0</v>
      </c>
      <c r="U5102" s="17" t="n">
        <v>152</v>
      </c>
      <c r="V5102" s="17">
        <f>ROUNDUP((T5102+U5102+2*'Read Me'!$B$13)*(1+'Read Me'!$B$12),-1)</f>
        <v/>
      </c>
      <c r="W5102" s="17">
        <f>V5102*N5102*O5102</f>
        <v/>
      </c>
      <c r="X5102" s="12">
        <f>IF(LEFT(I5102,2)="MV",2*N5102*IF(L5102="1/C",O5102,1),0)</f>
        <v/>
      </c>
      <c r="Y5102" s="12">
        <f>IF(OR(LEFT(K5102,4)="LVAX",LEFT(K5102,6)="MV15AX",LEFT(K5102,4)="CTAX",LEFT(K5102,2)="W|"),2*N5102*O5102,0)</f>
        <v/>
      </c>
      <c r="Z5102" s="12" t="inlineStr"/>
      <c r="AA5102" s="12">
        <f>N5102*O5102</f>
        <v/>
      </c>
    </row>
    <row r="5103">
      <c r="A5103" s="12" t="inlineStr">
        <is>
          <t>I-I-0493</t>
        </is>
      </c>
      <c r="B5103" s="12" t="inlineStr">
        <is>
          <t>I</t>
        </is>
      </c>
      <c r="C5103" s="12" t="inlineStr">
        <is>
          <t>Modular / portable power</t>
        </is>
      </c>
      <c r="D5103" s="12" t="inlineStr">
        <is>
          <t>Discrete device to JB JB-SC-1 ammonia flow--DI01: 8 x 1 pr (field cables)</t>
        </is>
      </c>
      <c r="E5103" s="12" t="inlineStr"/>
      <c r="F5103" s="12" t="inlineStr">
        <is>
          <t>SC-1 ammonia flow-control unit</t>
        </is>
      </c>
      <c r="G5103" s="12" t="inlineStr">
        <is>
          <t>JB-SC-1 ammonia flow--DI01</t>
        </is>
      </c>
      <c r="H5103" s="12" t="inlineStr">
        <is>
          <t>SC-1 ammonia flow-control unit</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8</v>
      </c>
      <c r="O5103" s="12" t="n">
        <v>1</v>
      </c>
      <c r="P5103" s="12" t="n"/>
      <c r="Q5103" s="12" t="n"/>
      <c r="R5103" s="12" t="n"/>
      <c r="S5103" s="12" t="inlineStr">
        <is>
          <t>Tray / conduit</t>
        </is>
      </c>
      <c r="T5103" s="17" t="n">
        <v>40</v>
      </c>
      <c r="U5103" s="17" t="n">
        <v>10</v>
      </c>
      <c r="V5103" s="17">
        <f>ROUNDUP((T5103+U5103+2*'Read Me'!$B$13)*(1+'Read Me'!$B$12),-1)</f>
        <v/>
      </c>
      <c r="W5103" s="17">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I-I-0494</t>
        </is>
      </c>
      <c r="B5104" s="12" t="inlineStr">
        <is>
          <t>I</t>
        </is>
      </c>
      <c r="C5104" s="12" t="inlineStr">
        <is>
          <t>Modular / portable power</t>
        </is>
      </c>
      <c r="D5104" s="12" t="inlineStr">
        <is>
          <t>Home run JB-SC-1 ammonia flow--DI01 to the control / marshalling room</t>
        </is>
      </c>
      <c r="E5104" s="12" t="inlineStr"/>
      <c r="F5104" s="12" t="inlineStr">
        <is>
          <t>SC-1 PCM + 15 kV GCB</t>
        </is>
      </c>
      <c r="G5104" s="12" t="inlineStr">
        <is>
          <t>JB-SC-1 ammonia flow--DI01</t>
        </is>
      </c>
      <c r="H5104" s="12" t="inlineStr">
        <is>
          <t>SC-1 ammonia flow-control unit</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Tray</t>
        </is>
      </c>
      <c r="T5104" s="17" t="n">
        <v>0</v>
      </c>
      <c r="U5104" s="17" t="n">
        <v>152</v>
      </c>
      <c r="V5104" s="17">
        <f>ROUNDUP((T5104+U5104+2*'Read Me'!$B$13)*(1+'Read Me'!$B$12),-1)</f>
        <v/>
      </c>
      <c r="W5104" s="17">
        <f>V5104*N5104*O5104</f>
        <v/>
      </c>
      <c r="X5104" s="12">
        <f>IF(LEFT(I5104,2)="MV",2*N5104*IF(L5104="1/C",O5104,1),0)</f>
        <v/>
      </c>
      <c r="Y5104" s="12">
        <f>IF(OR(LEFT(K5104,4)="LVAX",LEFT(K5104,6)="MV15AX",LEFT(K5104,4)="CTAX",LEFT(K5104,2)="W|"),2*N5104*O5104,0)</f>
        <v/>
      </c>
      <c r="Z5104" s="12" t="inlineStr"/>
      <c r="AA5104" s="12">
        <f>N5104*O5104</f>
        <v/>
      </c>
    </row>
    <row r="5105">
      <c r="A5105" s="12" t="inlineStr">
        <is>
          <t>I-I-0495</t>
        </is>
      </c>
      <c r="B5105" s="12" t="inlineStr">
        <is>
          <t>I</t>
        </is>
      </c>
      <c r="C5105" s="12" t="inlineStr">
        <is>
          <t>Modular / portable power</t>
        </is>
      </c>
      <c r="D5105" s="12" t="inlineStr">
        <is>
          <t>Analog instrument to JB JB-SC-1 auxiliary ski-AI01: 14 x 1 pr (field cables)</t>
        </is>
      </c>
      <c r="E5105" s="12" t="inlineStr"/>
      <c r="F5105" s="12" t="inlineStr">
        <is>
          <t>SC-1 auxiliary skids: fuel-gas module, water-wash skid</t>
        </is>
      </c>
      <c r="G5105" s="12" t="inlineStr">
        <is>
          <t>JB-SC-1 auxiliary ski-AI01</t>
        </is>
      </c>
      <c r="H5105" s="12" t="inlineStr">
        <is>
          <t>SC-1 auxiliary skids: fuel-gas module, water-wash skid</t>
        </is>
      </c>
      <c r="I5105" s="12" t="inlineStr">
        <is>
          <t>Instrumentation</t>
        </is>
      </c>
      <c r="J5105" s="12" t="inlineStr">
        <is>
          <t>Instrumentation ITC / PLTC, IS, #18 shielded pairs, blue jacket</t>
        </is>
      </c>
      <c r="K5105" s="12" t="inlineStr">
        <is>
          <t>ITC|1 pr|16</t>
        </is>
      </c>
      <c r="L5105" s="12" t="inlineStr">
        <is>
          <t>1 pr</t>
        </is>
      </c>
      <c r="M5105" s="12" t="inlineStr">
        <is>
          <t>16</t>
        </is>
      </c>
      <c r="N5105" s="12" t="n">
        <v>14</v>
      </c>
      <c r="O5105" s="12" t="n">
        <v>1</v>
      </c>
      <c r="P5105" s="12" t="n"/>
      <c r="Q5105" s="12" t="n"/>
      <c r="R5105" s="12" t="n"/>
      <c r="S5105" s="12" t="inlineStr">
        <is>
          <t>Tray / conduit</t>
        </is>
      </c>
      <c r="T5105" s="17" t="n">
        <v>63</v>
      </c>
      <c r="U5105" s="17" t="n">
        <v>10</v>
      </c>
      <c r="V5105" s="17">
        <f>ROUNDUP((T5105+U5105+2*'Read Me'!$B$13)*(1+'Read Me'!$B$12),-1)</f>
        <v/>
      </c>
      <c r="W5105" s="17">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I-I-0496</t>
        </is>
      </c>
      <c r="B5106" s="12" t="inlineStr">
        <is>
          <t>I</t>
        </is>
      </c>
      <c r="C5106" s="12" t="inlineStr">
        <is>
          <t>Modular / portable power</t>
        </is>
      </c>
      <c r="D5106" s="12" t="inlineStr">
        <is>
          <t>Home run JB-SC-1 auxiliary ski-AI01 to the control / marshalling room</t>
        </is>
      </c>
      <c r="E5106" s="12" t="inlineStr"/>
      <c r="F5106" s="12" t="inlineStr">
        <is>
          <t>SC-1 PCM + 15 kV GCB</t>
        </is>
      </c>
      <c r="G5106" s="12" t="inlineStr">
        <is>
          <t>JB-SC-1 auxiliary ski-AI01</t>
        </is>
      </c>
      <c r="H5106" s="12" t="inlineStr">
        <is>
          <t>SC-1 auxiliary skids: fuel-gas module, water-wash skid</t>
        </is>
      </c>
      <c r="I5106" s="12" t="inlineStr">
        <is>
          <t>Instrumentation</t>
        </is>
      </c>
      <c r="J5106" s="12" t="inlineStr">
        <is>
          <t>Instrumentation ITC / PLTC, IS, #18 shielded pairs, blue jacket</t>
        </is>
      </c>
      <c r="K5106" s="12" t="inlineStr">
        <is>
          <t>ITC|24 pr|18</t>
        </is>
      </c>
      <c r="L5106" s="12" t="inlineStr">
        <is>
          <t>24 pr</t>
        </is>
      </c>
      <c r="M5106" s="12" t="inlineStr">
        <is>
          <t>18</t>
        </is>
      </c>
      <c r="N5106" s="12" t="n">
        <v>1</v>
      </c>
      <c r="O5106" s="12" t="n">
        <v>1</v>
      </c>
      <c r="P5106" s="12" t="n"/>
      <c r="Q5106" s="12" t="n"/>
      <c r="R5106" s="12" t="n"/>
      <c r="S5106" s="12" t="inlineStr">
        <is>
          <t>Tray</t>
        </is>
      </c>
      <c r="T5106" s="17" t="n">
        <v>0</v>
      </c>
      <c r="U5106" s="17" t="n">
        <v>77</v>
      </c>
      <c r="V5106" s="17">
        <f>ROUNDUP((T5106+U5106+2*'Read Me'!$B$13)*(1+'Read Me'!$B$12),-1)</f>
        <v/>
      </c>
      <c r="W5106" s="17">
        <f>V5106*N5106*O5106</f>
        <v/>
      </c>
      <c r="X5106" s="12">
        <f>IF(LEFT(I5106,2)="MV",2*N5106*IF(L5106="1/C",O5106,1),0)</f>
        <v/>
      </c>
      <c r="Y5106" s="12">
        <f>IF(OR(LEFT(K5106,4)="LVAX",LEFT(K5106,6)="MV15AX",LEFT(K5106,4)="CTAX",LEFT(K5106,2)="W|"),2*N5106*O5106,0)</f>
        <v/>
      </c>
      <c r="Z5106" s="12" t="inlineStr"/>
      <c r="AA5106" s="12">
        <f>N5106*O5106</f>
        <v/>
      </c>
    </row>
    <row r="5107">
      <c r="A5107" s="12" t="inlineStr">
        <is>
          <t>I-I-0497</t>
        </is>
      </c>
      <c r="B5107" s="12" t="inlineStr">
        <is>
          <t>I</t>
        </is>
      </c>
      <c r="C5107" s="12" t="inlineStr">
        <is>
          <t>Modular / portable power</t>
        </is>
      </c>
      <c r="D5107" s="12" t="inlineStr">
        <is>
          <t>Discrete device to JB JB-SC-1 auxiliary ski-DI01: 12 x 1 pr (field cables)</t>
        </is>
      </c>
      <c r="E5107" s="12" t="inlineStr"/>
      <c r="F5107" s="12" t="inlineStr">
        <is>
          <t>SC-1 auxiliary skids: fuel-gas module, water-wash skid</t>
        </is>
      </c>
      <c r="G5107" s="12" t="inlineStr">
        <is>
          <t>JB-SC-1 auxiliary ski-DI01</t>
        </is>
      </c>
      <c r="H5107" s="12" t="inlineStr">
        <is>
          <t>SC-1 auxiliary skids: fuel-gas module, water-wash skid</t>
        </is>
      </c>
      <c r="I5107" s="12" t="inlineStr">
        <is>
          <t>Instrumentation</t>
        </is>
      </c>
      <c r="J5107" s="12" t="inlineStr">
        <is>
          <t>Instrumentation ITC / PLTC, IS, #18 shielded pairs, blue jacket</t>
        </is>
      </c>
      <c r="K5107" s="12" t="inlineStr">
        <is>
          <t>ITC|1 pr|16</t>
        </is>
      </c>
      <c r="L5107" s="12" t="inlineStr">
        <is>
          <t>1 pr</t>
        </is>
      </c>
      <c r="M5107" s="12" t="inlineStr">
        <is>
          <t>16</t>
        </is>
      </c>
      <c r="N5107" s="12" t="n">
        <v>12</v>
      </c>
      <c r="O5107" s="12" t="n">
        <v>1</v>
      </c>
      <c r="P5107" s="12" t="n"/>
      <c r="Q5107" s="12" t="n"/>
      <c r="R5107" s="12" t="n"/>
      <c r="S5107" s="12" t="inlineStr">
        <is>
          <t>Tray / conduit</t>
        </is>
      </c>
      <c r="T5107" s="17" t="n">
        <v>63</v>
      </c>
      <c r="U5107" s="17" t="n">
        <v>10</v>
      </c>
      <c r="V5107" s="17">
        <f>ROUNDUP((T5107+U5107+2*'Read Me'!$B$13)*(1+'Read Me'!$B$12),-1)</f>
        <v/>
      </c>
      <c r="W5107" s="17">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I-I-0498</t>
        </is>
      </c>
      <c r="B5108" s="12" t="inlineStr">
        <is>
          <t>I</t>
        </is>
      </c>
      <c r="C5108" s="12" t="inlineStr">
        <is>
          <t>Modular / portable power</t>
        </is>
      </c>
      <c r="D5108" s="12" t="inlineStr">
        <is>
          <t>Home run JB-SC-1 auxiliary ski-DI01 to the control / marshalling room</t>
        </is>
      </c>
      <c r="E5108" s="12" t="inlineStr"/>
      <c r="F5108" s="12" t="inlineStr">
        <is>
          <t>SC-1 PCM + 15 kV GCB</t>
        </is>
      </c>
      <c r="G5108" s="12" t="inlineStr">
        <is>
          <t>JB-SC-1 auxiliary ski-DI01</t>
        </is>
      </c>
      <c r="H5108" s="12" t="inlineStr">
        <is>
          <t>SC-1 auxiliary skids: fuel-gas module, water-wash skid</t>
        </is>
      </c>
      <c r="I5108" s="12" t="inlineStr">
        <is>
          <t>Instrumentation</t>
        </is>
      </c>
      <c r="J5108" s="12" t="inlineStr">
        <is>
          <t>Instrumentation ITC / PLTC, IS, #18 shielded pairs, blue jacket</t>
        </is>
      </c>
      <c r="K5108" s="12" t="inlineStr">
        <is>
          <t>ITC|24 pr|18</t>
        </is>
      </c>
      <c r="L5108" s="12" t="inlineStr">
        <is>
          <t>24 pr</t>
        </is>
      </c>
      <c r="M5108" s="12" t="inlineStr">
        <is>
          <t>18</t>
        </is>
      </c>
      <c r="N5108" s="12" t="n">
        <v>1</v>
      </c>
      <c r="O5108" s="12" t="n">
        <v>1</v>
      </c>
      <c r="P5108" s="12" t="n"/>
      <c r="Q5108" s="12" t="n"/>
      <c r="R5108" s="12" t="n"/>
      <c r="S5108" s="12" t="inlineStr">
        <is>
          <t>Tray</t>
        </is>
      </c>
      <c r="T5108" s="17" t="n">
        <v>0</v>
      </c>
      <c r="U5108" s="17" t="n">
        <v>77</v>
      </c>
      <c r="V5108" s="17">
        <f>ROUNDUP((T5108+U5108+2*'Read Me'!$B$13)*(1+'Read Me'!$B$12),-1)</f>
        <v/>
      </c>
      <c r="W5108" s="17">
        <f>V5108*N5108*O5108</f>
        <v/>
      </c>
      <c r="X5108" s="12">
        <f>IF(LEFT(I5108,2)="MV",2*N5108*IF(L5108="1/C",O5108,1),0)</f>
        <v/>
      </c>
      <c r="Y5108" s="12">
        <f>IF(OR(LEFT(K5108,4)="LVAX",LEFT(K5108,6)="MV15AX",LEFT(K5108,4)="CTAX",LEFT(K5108,2)="W|"),2*N5108*O5108,0)</f>
        <v/>
      </c>
      <c r="Z5108" s="12" t="inlineStr"/>
      <c r="AA5108" s="12">
        <f>N5108*O5108</f>
        <v/>
      </c>
    </row>
    <row r="5109">
      <c r="A5109" s="12" t="inlineStr">
        <is>
          <t>I-I-0499</t>
        </is>
      </c>
      <c r="B5109" s="12" t="inlineStr">
        <is>
          <t>I</t>
        </is>
      </c>
      <c r="C5109" s="12" t="inlineStr">
        <is>
          <t>Modular / portable power</t>
        </is>
      </c>
      <c r="D5109" s="12" t="inlineStr">
        <is>
          <t>Analog instrument to JB JB-SC-1 lube-oil fin--AI01: 4 x 1 pr (field cables)</t>
        </is>
      </c>
      <c r="E5109" s="12" t="inlineStr"/>
      <c r="F5109" s="12" t="inlineStr">
        <is>
          <t>SC-1 lube-oil fin-fan cooler</t>
        </is>
      </c>
      <c r="G5109" s="12" t="inlineStr">
        <is>
          <t>JB-SC-1 lube-oil fin--AI01</t>
        </is>
      </c>
      <c r="H5109" s="12" t="inlineStr">
        <is>
          <t>SC-1 lube-oil fin-fan cooler</t>
        </is>
      </c>
      <c r="I5109" s="12" t="inlineStr">
        <is>
          <t>Instrumentation</t>
        </is>
      </c>
      <c r="J5109" s="12" t="inlineStr">
        <is>
          <t>Instrumentation PLTC / TC-ER 300 V, #18 twisted shielded pairs, overall shield</t>
        </is>
      </c>
      <c r="K5109" s="12" t="inlineStr">
        <is>
          <t>PLTC|1 pr|16</t>
        </is>
      </c>
      <c r="L5109" s="12" t="inlineStr">
        <is>
          <t>1 pr</t>
        </is>
      </c>
      <c r="M5109" s="12" t="inlineStr">
        <is>
          <t>16</t>
        </is>
      </c>
      <c r="N5109" s="12" t="n">
        <v>4</v>
      </c>
      <c r="O5109" s="12" t="n">
        <v>1</v>
      </c>
      <c r="P5109" s="12" t="n"/>
      <c r="Q5109" s="12" t="n"/>
      <c r="R5109" s="12" t="n"/>
      <c r="S5109" s="12" t="inlineStr">
        <is>
          <t>Tray / conduit</t>
        </is>
      </c>
      <c r="T5109" s="17" t="n">
        <v>46</v>
      </c>
      <c r="U5109" s="17" t="n">
        <v>10</v>
      </c>
      <c r="V5109" s="17">
        <f>ROUNDUP((T5109+U5109+2*'Read Me'!$B$13)*(1+'Read Me'!$B$12),-1)</f>
        <v/>
      </c>
      <c r="W5109" s="17">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I-I-0500</t>
        </is>
      </c>
      <c r="B5110" s="12" t="inlineStr">
        <is>
          <t>I</t>
        </is>
      </c>
      <c r="C5110" s="12" t="inlineStr">
        <is>
          <t>Modular / portable power</t>
        </is>
      </c>
      <c r="D5110" s="12" t="inlineStr">
        <is>
          <t>Home run JB-SC-1 lube-oil fin--AI01 to the control / marshalling room</t>
        </is>
      </c>
      <c r="E5110" s="12" t="inlineStr"/>
      <c r="F5110" s="12" t="inlineStr">
        <is>
          <t>SC-1 PCM + 15 kV GCB</t>
        </is>
      </c>
      <c r="G5110" s="12" t="inlineStr">
        <is>
          <t>JB-SC-1 lube-oil fin--AI01</t>
        </is>
      </c>
      <c r="H5110" s="12" t="inlineStr">
        <is>
          <t>SC-1 lube-oil fin-fan cooler</t>
        </is>
      </c>
      <c r="I5110" s="12" t="inlineStr">
        <is>
          <t>Instrumentation</t>
        </is>
      </c>
      <c r="J5110" s="12" t="inlineStr">
        <is>
          <t>Instrumentation PLTC / TC-ER 300 V, #18 twisted shielded pairs, overall shield</t>
        </is>
      </c>
      <c r="K5110" s="12" t="inlineStr">
        <is>
          <t>PLTC|24 pr|18</t>
        </is>
      </c>
      <c r="L5110" s="12" t="inlineStr">
        <is>
          <t>24 pr</t>
        </is>
      </c>
      <c r="M5110" s="12" t="inlineStr">
        <is>
          <t>18</t>
        </is>
      </c>
      <c r="N5110" s="12" t="n">
        <v>1</v>
      </c>
      <c r="O5110" s="12" t="n">
        <v>1</v>
      </c>
      <c r="P5110" s="12" t="n"/>
      <c r="Q5110" s="12" t="n"/>
      <c r="R5110" s="12" t="n"/>
      <c r="S5110" s="12" t="inlineStr">
        <is>
          <t>Tray</t>
        </is>
      </c>
      <c r="T5110" s="17" t="n">
        <v>0</v>
      </c>
      <c r="U5110" s="17" t="n">
        <v>82</v>
      </c>
      <c r="V5110" s="17">
        <f>ROUNDUP((T5110+U5110+2*'Read Me'!$B$13)*(1+'Read Me'!$B$12),-1)</f>
        <v/>
      </c>
      <c r="W5110" s="17">
        <f>V5110*N5110*O5110</f>
        <v/>
      </c>
      <c r="X5110" s="12">
        <f>IF(LEFT(I5110,2)="MV",2*N5110*IF(L5110="1/C",O5110,1),0)</f>
        <v/>
      </c>
      <c r="Y5110" s="12">
        <f>IF(OR(LEFT(K5110,4)="LVAX",LEFT(K5110,6)="MV15AX",LEFT(K5110,4)="CTAX",LEFT(K5110,2)="W|"),2*N5110*O5110,0)</f>
        <v/>
      </c>
      <c r="Z5110" s="12" t="inlineStr"/>
      <c r="AA5110" s="12">
        <f>N5110*O5110</f>
        <v/>
      </c>
    </row>
    <row r="5111">
      <c r="A5111" s="12" t="inlineStr">
        <is>
          <t>I-I-0501</t>
        </is>
      </c>
      <c r="B5111" s="12" t="inlineStr">
        <is>
          <t>I</t>
        </is>
      </c>
      <c r="C5111" s="12" t="inlineStr">
        <is>
          <t>Modular / portable power</t>
        </is>
      </c>
      <c r="D5111" s="12" t="inlineStr">
        <is>
          <t>Discrete device to JB JB-SC-1 lube-oil fin--DI01: 8 x 1 pr (field cables)</t>
        </is>
      </c>
      <c r="E5111" s="12" t="inlineStr"/>
      <c r="F5111" s="12" t="inlineStr">
        <is>
          <t>SC-1 lube-oil fin-fan cooler</t>
        </is>
      </c>
      <c r="G5111" s="12" t="inlineStr">
        <is>
          <t>JB-SC-1 lube-oil fin--DI01</t>
        </is>
      </c>
      <c r="H5111" s="12" t="inlineStr">
        <is>
          <t>SC-1 lube-oil fin-fan cooler</t>
        </is>
      </c>
      <c r="I5111" s="12" t="inlineStr">
        <is>
          <t>Instrumentation</t>
        </is>
      </c>
      <c r="J5111" s="12" t="inlineStr">
        <is>
          <t>Instrumentation PLTC / TC-ER 300 V, #18 twisted shielded pairs, overall shield</t>
        </is>
      </c>
      <c r="K5111" s="12" t="inlineStr">
        <is>
          <t>PLTC|1 pr|16</t>
        </is>
      </c>
      <c r="L5111" s="12" t="inlineStr">
        <is>
          <t>1 pr</t>
        </is>
      </c>
      <c r="M5111" s="12" t="inlineStr">
        <is>
          <t>16</t>
        </is>
      </c>
      <c r="N5111" s="12" t="n">
        <v>8</v>
      </c>
      <c r="O5111" s="12" t="n">
        <v>1</v>
      </c>
      <c r="P5111" s="12" t="n"/>
      <c r="Q5111" s="12" t="n"/>
      <c r="R5111" s="12" t="n"/>
      <c r="S5111" s="12" t="inlineStr">
        <is>
          <t>Tray / conduit</t>
        </is>
      </c>
      <c r="T5111" s="17" t="n">
        <v>46</v>
      </c>
      <c r="U5111" s="17" t="n">
        <v>10</v>
      </c>
      <c r="V5111" s="17">
        <f>ROUNDUP((T5111+U5111+2*'Read Me'!$B$13)*(1+'Read Me'!$B$12),-1)</f>
        <v/>
      </c>
      <c r="W5111" s="17">
        <f>V5111*N5111*O5111</f>
        <v/>
      </c>
      <c r="X5111" s="12">
        <f>IF(LEFT(I5111,2)="MV",2*N5111*IF(L5111="1/C",O5111,1),0)</f>
        <v/>
      </c>
      <c r="Y5111" s="12">
        <f>IF(OR(LEFT(K5111,4)="LVAX",LEFT(K5111,6)="MV15AX",LEFT(K5111,4)="CTAX",LEFT(K5111,2)="W|"),2*N5111*O5111,0)</f>
        <v/>
      </c>
      <c r="Z5111" s="12" t="inlineStr">
        <is>
          <t>device-to-JB field wiring, one cable per device</t>
        </is>
      </c>
      <c r="AA5111" s="12">
        <f>N5111*O5111</f>
        <v/>
      </c>
    </row>
    <row r="5112">
      <c r="A5112" s="12" t="inlineStr">
        <is>
          <t>I-I-0502</t>
        </is>
      </c>
      <c r="B5112" s="12" t="inlineStr">
        <is>
          <t>I</t>
        </is>
      </c>
      <c r="C5112" s="12" t="inlineStr">
        <is>
          <t>Modular / portable power</t>
        </is>
      </c>
      <c r="D5112" s="12" t="inlineStr">
        <is>
          <t>Home run JB-SC-1 lube-oil fin--DI01 to the control / marshalling room</t>
        </is>
      </c>
      <c r="E5112" s="12" t="inlineStr"/>
      <c r="F5112" s="12" t="inlineStr">
        <is>
          <t>SC-1 PCM + 15 kV GCB</t>
        </is>
      </c>
      <c r="G5112" s="12" t="inlineStr">
        <is>
          <t>JB-SC-1 lube-oil fin--DI01</t>
        </is>
      </c>
      <c r="H5112" s="12" t="inlineStr">
        <is>
          <t>SC-1 lube-oil fin-fan cooler</t>
        </is>
      </c>
      <c r="I5112" s="12" t="inlineStr">
        <is>
          <t>Instrumentation</t>
        </is>
      </c>
      <c r="J5112" s="12" t="inlineStr">
        <is>
          <t>Instrumentation PLTC / TC-ER 300 V, #18 twisted shielded pairs, overall shield</t>
        </is>
      </c>
      <c r="K5112" s="12" t="inlineStr">
        <is>
          <t>PLTC|24 pr|18</t>
        </is>
      </c>
      <c r="L5112" s="12" t="inlineStr">
        <is>
          <t>24 pr</t>
        </is>
      </c>
      <c r="M5112" s="12" t="inlineStr">
        <is>
          <t>18</t>
        </is>
      </c>
      <c r="N5112" s="12" t="n">
        <v>1</v>
      </c>
      <c r="O5112" s="12" t="n">
        <v>1</v>
      </c>
      <c r="P5112" s="12" t="n"/>
      <c r="Q5112" s="12" t="n"/>
      <c r="R5112" s="12" t="n"/>
      <c r="S5112" s="12" t="inlineStr">
        <is>
          <t>Tray</t>
        </is>
      </c>
      <c r="T5112" s="17" t="n">
        <v>0</v>
      </c>
      <c r="U5112" s="17" t="n">
        <v>82</v>
      </c>
      <c r="V5112" s="17">
        <f>ROUNDUP((T5112+U5112+2*'Read Me'!$B$13)*(1+'Read Me'!$B$12),-1)</f>
        <v/>
      </c>
      <c r="W5112" s="17">
        <f>V5112*N5112*O5112</f>
        <v/>
      </c>
      <c r="X5112" s="12">
        <f>IF(LEFT(I5112,2)="MV",2*N5112*IF(L5112="1/C",O5112,1),0)</f>
        <v/>
      </c>
      <c r="Y5112" s="12">
        <f>IF(OR(LEFT(K5112,4)="LVAX",LEFT(K5112,6)="MV15AX",LEFT(K5112,4)="CTAX",LEFT(K5112,2)="W|"),2*N5112*O5112,0)</f>
        <v/>
      </c>
      <c r="Z5112" s="12" t="inlineStr"/>
      <c r="AA5112" s="12">
        <f>N5112*O5112</f>
        <v/>
      </c>
    </row>
    <row r="5113">
      <c r="A5113" s="12" t="inlineStr">
        <is>
          <t>I-I-0503</t>
        </is>
      </c>
      <c r="B5113" s="12" t="inlineStr">
        <is>
          <t>I</t>
        </is>
      </c>
      <c r="C5113" s="12" t="inlineStr">
        <is>
          <t>Modular / portable power</t>
        </is>
      </c>
      <c r="D5113" s="12" t="inlineStr">
        <is>
          <t>Analog instrument to JB JB-SC-1 tempering-air-AI01: 8 x 1 pr (field cables)</t>
        </is>
      </c>
      <c r="E5113" s="12" t="inlineStr"/>
      <c r="F5113" s="12" t="inlineStr">
        <is>
          <t>SC-1 tempering-air fans (2 x 100 %)</t>
        </is>
      </c>
      <c r="G5113" s="12" t="inlineStr">
        <is>
          <t>JB-SC-1 tempering-air-AI01</t>
        </is>
      </c>
      <c r="H5113" s="12" t="inlineStr">
        <is>
          <t>SC-1 tempering-air fans (2 x 100 %)</t>
        </is>
      </c>
      <c r="I5113" s="12" t="inlineStr">
        <is>
          <t>Instrumentation</t>
        </is>
      </c>
      <c r="J5113" s="12" t="inlineStr">
        <is>
          <t>Instrumentation PLTC / TC-ER 300 V, #18 twisted shielded pairs, overall shield</t>
        </is>
      </c>
      <c r="K5113" s="12" t="inlineStr">
        <is>
          <t>PLTC|1 pr|16</t>
        </is>
      </c>
      <c r="L5113" s="12" t="inlineStr">
        <is>
          <t>1 pr</t>
        </is>
      </c>
      <c r="M5113" s="12" t="inlineStr">
        <is>
          <t>16</t>
        </is>
      </c>
      <c r="N5113" s="12" t="n">
        <v>8</v>
      </c>
      <c r="O5113" s="12" t="n">
        <v>1</v>
      </c>
      <c r="P5113" s="12" t="n"/>
      <c r="Q5113" s="12" t="n"/>
      <c r="R5113" s="12" t="n"/>
      <c r="S5113" s="12" t="inlineStr">
        <is>
          <t>Tray / conduit</t>
        </is>
      </c>
      <c r="T5113" s="17" t="n">
        <v>53</v>
      </c>
      <c r="U5113" s="17" t="n">
        <v>10</v>
      </c>
      <c r="V5113" s="17">
        <f>ROUNDUP((T5113+U5113+2*'Read Me'!$B$13)*(1+'Read Me'!$B$12),-1)</f>
        <v/>
      </c>
      <c r="W5113" s="17">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I-I-0504</t>
        </is>
      </c>
      <c r="B5114" s="12" t="inlineStr">
        <is>
          <t>I</t>
        </is>
      </c>
      <c r="C5114" s="12" t="inlineStr">
        <is>
          <t>Modular / portable power</t>
        </is>
      </c>
      <c r="D5114" s="12" t="inlineStr">
        <is>
          <t>Home run JB-SC-1 tempering-air-AI01 to the control / marshalling room</t>
        </is>
      </c>
      <c r="E5114" s="12" t="inlineStr"/>
      <c r="F5114" s="12" t="inlineStr">
        <is>
          <t>SC-1 PCM + 15 kV GCB</t>
        </is>
      </c>
      <c r="G5114" s="12" t="inlineStr">
        <is>
          <t>JB-SC-1 tempering-air-AI01</t>
        </is>
      </c>
      <c r="H5114" s="12" t="inlineStr">
        <is>
          <t>SC-1 tempering-air fans (2 x 100 %)</t>
        </is>
      </c>
      <c r="I5114" s="12" t="inlineStr">
        <is>
          <t>Instrumentation</t>
        </is>
      </c>
      <c r="J5114" s="12" t="inlineStr">
        <is>
          <t>Instrumentation PLTC / TC-ER 300 V, #18 twisted shielded pairs, overall shield</t>
        </is>
      </c>
      <c r="K5114" s="12" t="inlineStr">
        <is>
          <t>PLTC|24 pr|18</t>
        </is>
      </c>
      <c r="L5114" s="12" t="inlineStr">
        <is>
          <t>24 pr</t>
        </is>
      </c>
      <c r="M5114" s="12" t="inlineStr">
        <is>
          <t>18</t>
        </is>
      </c>
      <c r="N5114" s="12" t="n">
        <v>1</v>
      </c>
      <c r="O5114" s="12" t="n">
        <v>1</v>
      </c>
      <c r="P5114" s="12" t="n"/>
      <c r="Q5114" s="12" t="n"/>
      <c r="R5114" s="12" t="n"/>
      <c r="S5114" s="12" t="inlineStr">
        <is>
          <t>Tray</t>
        </is>
      </c>
      <c r="T5114" s="17" t="n">
        <v>0</v>
      </c>
      <c r="U5114" s="17" t="n">
        <v>156</v>
      </c>
      <c r="V5114" s="17">
        <f>ROUNDUP((T5114+U5114+2*'Read Me'!$B$13)*(1+'Read Me'!$B$12),-1)</f>
        <v/>
      </c>
      <c r="W5114" s="17">
        <f>V5114*N5114*O5114</f>
        <v/>
      </c>
      <c r="X5114" s="12">
        <f>IF(LEFT(I5114,2)="MV",2*N5114*IF(L5114="1/C",O5114,1),0)</f>
        <v/>
      </c>
      <c r="Y5114" s="12">
        <f>IF(OR(LEFT(K5114,4)="LVAX",LEFT(K5114,6)="MV15AX",LEFT(K5114,4)="CTAX",LEFT(K5114,2)="W|"),2*N5114*O5114,0)</f>
        <v/>
      </c>
      <c r="Z5114" s="12" t="inlineStr"/>
      <c r="AA5114" s="12">
        <f>N5114*O5114</f>
        <v/>
      </c>
    </row>
    <row r="5115">
      <c r="A5115" s="12" t="inlineStr">
        <is>
          <t>I-I-0505</t>
        </is>
      </c>
      <c r="B5115" s="12" t="inlineStr">
        <is>
          <t>I</t>
        </is>
      </c>
      <c r="C5115" s="12" t="inlineStr">
        <is>
          <t>Modular / portable power</t>
        </is>
      </c>
      <c r="D5115" s="12" t="inlineStr">
        <is>
          <t>Discrete device to JB JB-SC-1 tempering-air-DI01: 8 x 1 pr (field cables)</t>
        </is>
      </c>
      <c r="E5115" s="12" t="inlineStr"/>
      <c r="F5115" s="12" t="inlineStr">
        <is>
          <t>SC-1 tempering-air fans (2 x 100 %)</t>
        </is>
      </c>
      <c r="G5115" s="12" t="inlineStr">
        <is>
          <t>JB-SC-1 tempering-air-DI01</t>
        </is>
      </c>
      <c r="H5115" s="12" t="inlineStr">
        <is>
          <t>SC-1 tempering-air fans (2 x 100 %)</t>
        </is>
      </c>
      <c r="I5115" s="12" t="inlineStr">
        <is>
          <t>Instrumentation</t>
        </is>
      </c>
      <c r="J5115" s="12" t="inlineStr">
        <is>
          <t>Instrumentation PLTC / TC-ER 300 V, #18 twisted shielded pairs, overall shield</t>
        </is>
      </c>
      <c r="K5115" s="12" t="inlineStr">
        <is>
          <t>PLTC|1 pr|16</t>
        </is>
      </c>
      <c r="L5115" s="12" t="inlineStr">
        <is>
          <t>1 pr</t>
        </is>
      </c>
      <c r="M5115" s="12" t="inlineStr">
        <is>
          <t>16</t>
        </is>
      </c>
      <c r="N5115" s="12" t="n">
        <v>8</v>
      </c>
      <c r="O5115" s="12" t="n">
        <v>1</v>
      </c>
      <c r="P5115" s="12" t="n"/>
      <c r="Q5115" s="12" t="n"/>
      <c r="R5115" s="12" t="n"/>
      <c r="S5115" s="12" t="inlineStr">
        <is>
          <t>Tray / conduit</t>
        </is>
      </c>
      <c r="T5115" s="17" t="n">
        <v>53</v>
      </c>
      <c r="U5115" s="17" t="n">
        <v>10</v>
      </c>
      <c r="V5115" s="17">
        <f>ROUNDUP((T5115+U5115+2*'Read Me'!$B$13)*(1+'Read Me'!$B$12),-1)</f>
        <v/>
      </c>
      <c r="W5115" s="17">
        <f>V5115*N5115*O5115</f>
        <v/>
      </c>
      <c r="X5115" s="12">
        <f>IF(LEFT(I5115,2)="MV",2*N5115*IF(L5115="1/C",O5115,1),0)</f>
        <v/>
      </c>
      <c r="Y5115" s="12">
        <f>IF(OR(LEFT(K5115,4)="LVAX",LEFT(K5115,6)="MV15AX",LEFT(K5115,4)="CTAX",LEFT(K5115,2)="W|"),2*N5115*O5115,0)</f>
        <v/>
      </c>
      <c r="Z5115" s="12" t="inlineStr">
        <is>
          <t>device-to-JB field wiring, one cable per device</t>
        </is>
      </c>
      <c r="AA5115" s="12">
        <f>N5115*O5115</f>
        <v/>
      </c>
    </row>
    <row r="5116">
      <c r="A5116" s="12" t="inlineStr">
        <is>
          <t>I-I-0506</t>
        </is>
      </c>
      <c r="B5116" s="12" t="inlineStr">
        <is>
          <t>I</t>
        </is>
      </c>
      <c r="C5116" s="12" t="inlineStr">
        <is>
          <t>Modular / portable power</t>
        </is>
      </c>
      <c r="D5116" s="12" t="inlineStr">
        <is>
          <t>Home run JB-SC-1 tempering-air-DI01 to the control / marshalling room</t>
        </is>
      </c>
      <c r="E5116" s="12" t="inlineStr"/>
      <c r="F5116" s="12" t="inlineStr">
        <is>
          <t>SC-1 PCM + 15 kV GCB</t>
        </is>
      </c>
      <c r="G5116" s="12" t="inlineStr">
        <is>
          <t>JB-SC-1 tempering-air-DI01</t>
        </is>
      </c>
      <c r="H5116" s="12" t="inlineStr">
        <is>
          <t>SC-1 tempering-air fans (2 x 100 %)</t>
        </is>
      </c>
      <c r="I5116" s="12" t="inlineStr">
        <is>
          <t>Instrumentation</t>
        </is>
      </c>
      <c r="J5116" s="12" t="inlineStr">
        <is>
          <t>Instrumentation PLTC / TC-ER 300 V, #18 twisted shielded pairs, overall shield</t>
        </is>
      </c>
      <c r="K5116" s="12" t="inlineStr">
        <is>
          <t>PLTC|24 pr|18</t>
        </is>
      </c>
      <c r="L5116" s="12" t="inlineStr">
        <is>
          <t>24 pr</t>
        </is>
      </c>
      <c r="M5116" s="12" t="inlineStr">
        <is>
          <t>18</t>
        </is>
      </c>
      <c r="N5116" s="12" t="n">
        <v>1</v>
      </c>
      <c r="O5116" s="12" t="n">
        <v>1</v>
      </c>
      <c r="P5116" s="12" t="n"/>
      <c r="Q5116" s="12" t="n"/>
      <c r="R5116" s="12" t="n"/>
      <c r="S5116" s="12" t="inlineStr">
        <is>
          <t>Tray</t>
        </is>
      </c>
      <c r="T5116" s="17" t="n">
        <v>0</v>
      </c>
      <c r="U5116" s="17" t="n">
        <v>156</v>
      </c>
      <c r="V5116" s="17">
        <f>ROUNDUP((T5116+U5116+2*'Read Me'!$B$13)*(1+'Read Me'!$B$12),-1)</f>
        <v/>
      </c>
      <c r="W5116" s="17">
        <f>V5116*N5116*O5116</f>
        <v/>
      </c>
      <c r="X5116" s="12">
        <f>IF(LEFT(I5116,2)="MV",2*N5116*IF(L5116="1/C",O5116,1),0)</f>
        <v/>
      </c>
      <c r="Y5116" s="12">
        <f>IF(OR(LEFT(K5116,4)="LVAX",LEFT(K5116,6)="MV15AX",LEFT(K5116,4)="CTAX",LEFT(K5116,2)="W|"),2*N5116*O5116,0)</f>
        <v/>
      </c>
      <c r="Z5116" s="12" t="inlineStr"/>
      <c r="AA5116" s="12">
        <f>N5116*O5116</f>
        <v/>
      </c>
    </row>
    <row r="5117">
      <c r="A5117" s="12" t="inlineStr">
        <is>
          <t>I-I-0507</t>
        </is>
      </c>
      <c r="B5117" s="12" t="inlineStr">
        <is>
          <t>I</t>
        </is>
      </c>
      <c r="C5117" s="12" t="inlineStr">
        <is>
          <t>Modular / portable power</t>
        </is>
      </c>
      <c r="D5117" s="12" t="inlineStr">
        <is>
          <t>Analog instrument to JB JB-SC-1-AI01: 20 x 1 pr (field cables)</t>
        </is>
      </c>
      <c r="E5117" s="12" t="inlineStr">
        <is>
          <t>SC-1</t>
        </is>
      </c>
      <c r="F5117" s="12" t="inlineStr">
        <is>
          <t>SC-1: aeroderivative simple-cycle unit (LM6000 class)</t>
        </is>
      </c>
      <c r="G5117" s="12" t="inlineStr">
        <is>
          <t>JB-SC-1-AI01</t>
        </is>
      </c>
      <c r="H5117" s="12" t="inlineStr">
        <is>
          <t>SC-1: aeroderivative simple-cycle unit (LM6000 class)</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20</v>
      </c>
      <c r="O5117" s="12" t="n">
        <v>1</v>
      </c>
      <c r="P5117" s="12" t="n"/>
      <c r="Q5117" s="12" t="n"/>
      <c r="R5117" s="12" t="n"/>
      <c r="S5117" s="12" t="inlineStr">
        <is>
          <t>Tray / conduit</t>
        </is>
      </c>
      <c r="T5117" s="17" t="n">
        <v>99</v>
      </c>
      <c r="U5117" s="17" t="n">
        <v>10</v>
      </c>
      <c r="V5117" s="17">
        <f>ROUNDUP((T5117+U5117+2*'Read Me'!$B$13)*(1+'Read Me'!$B$12),-1)</f>
        <v/>
      </c>
      <c r="W5117" s="17">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I-I-0508</t>
        </is>
      </c>
      <c r="B5118" s="12" t="inlineStr">
        <is>
          <t>I</t>
        </is>
      </c>
      <c r="C5118" s="12" t="inlineStr">
        <is>
          <t>Modular / portable power</t>
        </is>
      </c>
      <c r="D5118" s="12" t="inlineStr">
        <is>
          <t>Home run JB-SC-1-AI01 to the control / marshalling room</t>
        </is>
      </c>
      <c r="E5118" s="12" t="inlineStr"/>
      <c r="F5118" s="12" t="inlineStr">
        <is>
          <t>SC-1 PCM + 15 kV GCB</t>
        </is>
      </c>
      <c r="G5118" s="12" t="inlineStr">
        <is>
          <t>JB-SC-1-AI01</t>
        </is>
      </c>
      <c r="H5118" s="12" t="inlineStr">
        <is>
          <t>SC-1: aeroderivative simple-cycle unit (LM6000 class)</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Tray</t>
        </is>
      </c>
      <c r="T5118" s="17" t="n">
        <v>0</v>
      </c>
      <c r="U5118" s="17" t="n">
        <v>64</v>
      </c>
      <c r="V5118" s="17">
        <f>ROUNDUP((T5118+U5118+2*'Read Me'!$B$13)*(1+'Read Me'!$B$12),-1)</f>
        <v/>
      </c>
      <c r="W5118" s="17">
        <f>V5118*N5118*O5118</f>
        <v/>
      </c>
      <c r="X5118" s="12">
        <f>IF(LEFT(I5118,2)="MV",2*N5118*IF(L5118="1/C",O5118,1),0)</f>
        <v/>
      </c>
      <c r="Y5118" s="12">
        <f>IF(OR(LEFT(K5118,4)="LVAX",LEFT(K5118,6)="MV15AX",LEFT(K5118,4)="CTAX",LEFT(K5118,2)="W|"),2*N5118*O5118,0)</f>
        <v/>
      </c>
      <c r="Z5118" s="12" t="inlineStr"/>
      <c r="AA5118" s="12">
        <f>N5118*O5118</f>
        <v/>
      </c>
    </row>
    <row r="5119">
      <c r="A5119" s="12" t="inlineStr">
        <is>
          <t>I-I-0509</t>
        </is>
      </c>
      <c r="B5119" s="12" t="inlineStr">
        <is>
          <t>I</t>
        </is>
      </c>
      <c r="C5119" s="12" t="inlineStr">
        <is>
          <t>Modular / portable power</t>
        </is>
      </c>
      <c r="D5119" s="12" t="inlineStr">
        <is>
          <t>Analog instrument to JB JB-SC-1-AI02: 20 x 1 pr (field cables)</t>
        </is>
      </c>
      <c r="E5119" s="12" t="inlineStr">
        <is>
          <t>SC-1</t>
        </is>
      </c>
      <c r="F5119" s="12" t="inlineStr">
        <is>
          <t>SC-1: aeroderivative simple-cycle unit (LM6000 class)</t>
        </is>
      </c>
      <c r="G5119" s="12" t="inlineStr">
        <is>
          <t>JB-SC-1-AI02</t>
        </is>
      </c>
      <c r="H5119" s="12" t="inlineStr">
        <is>
          <t>SC-1: aeroderivative simple-cycle unit (LM6000 class)</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20</v>
      </c>
      <c r="O5119" s="12" t="n">
        <v>1</v>
      </c>
      <c r="P5119" s="12" t="n"/>
      <c r="Q5119" s="12" t="n"/>
      <c r="R5119" s="12" t="n"/>
      <c r="S5119" s="12" t="inlineStr">
        <is>
          <t>Tray / conduit</t>
        </is>
      </c>
      <c r="T5119" s="17" t="n">
        <v>99</v>
      </c>
      <c r="U5119" s="17" t="n">
        <v>10</v>
      </c>
      <c r="V5119" s="17">
        <f>ROUNDUP((T5119+U5119+2*'Read Me'!$B$13)*(1+'Read Me'!$B$12),-1)</f>
        <v/>
      </c>
      <c r="W5119" s="17">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I-I-0510</t>
        </is>
      </c>
      <c r="B5120" s="12" t="inlineStr">
        <is>
          <t>I</t>
        </is>
      </c>
      <c r="C5120" s="12" t="inlineStr">
        <is>
          <t>Modular / portable power</t>
        </is>
      </c>
      <c r="D5120" s="12" t="inlineStr">
        <is>
          <t>Home run JB-SC-1-AI02 to the control / marshalling room</t>
        </is>
      </c>
      <c r="E5120" s="12" t="inlineStr"/>
      <c r="F5120" s="12" t="inlineStr">
        <is>
          <t>SC-1 PCM + 15 kV GCB</t>
        </is>
      </c>
      <c r="G5120" s="12" t="inlineStr">
        <is>
          <t>JB-SC-1-AI02</t>
        </is>
      </c>
      <c r="H5120" s="12" t="inlineStr">
        <is>
          <t>SC-1: aeroderivative simple-cycle unit (LM6000 class)</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Tray</t>
        </is>
      </c>
      <c r="T5120" s="17" t="n">
        <v>0</v>
      </c>
      <c r="U5120" s="17" t="n">
        <v>64</v>
      </c>
      <c r="V5120" s="17">
        <f>ROUNDUP((T5120+U5120+2*'Read Me'!$B$13)*(1+'Read Me'!$B$12),-1)</f>
        <v/>
      </c>
      <c r="W5120" s="17">
        <f>V5120*N5120*O5120</f>
        <v/>
      </c>
      <c r="X5120" s="12">
        <f>IF(LEFT(I5120,2)="MV",2*N5120*IF(L5120="1/C",O5120,1),0)</f>
        <v/>
      </c>
      <c r="Y5120" s="12">
        <f>IF(OR(LEFT(K5120,4)="LVAX",LEFT(K5120,6)="MV15AX",LEFT(K5120,4)="CTAX",LEFT(K5120,2)="W|"),2*N5120*O5120,0)</f>
        <v/>
      </c>
      <c r="Z5120" s="12" t="inlineStr"/>
      <c r="AA5120" s="12">
        <f>N5120*O5120</f>
        <v/>
      </c>
    </row>
    <row r="5121">
      <c r="A5121" s="12" t="inlineStr">
        <is>
          <t>I-I-0511</t>
        </is>
      </c>
      <c r="B5121" s="12" t="inlineStr">
        <is>
          <t>I</t>
        </is>
      </c>
      <c r="C5121" s="12" t="inlineStr">
        <is>
          <t>Modular / portable power</t>
        </is>
      </c>
      <c r="D5121" s="12" t="inlineStr">
        <is>
          <t>Analog instrument to JB JB-SC-1-AI03: 20 x 1 pr (field cables)</t>
        </is>
      </c>
      <c r="E5121" s="12" t="inlineStr">
        <is>
          <t>SC-1</t>
        </is>
      </c>
      <c r="F5121" s="12" t="inlineStr">
        <is>
          <t>SC-1: aeroderivative simple-cycle unit (LM6000 class)</t>
        </is>
      </c>
      <c r="G5121" s="12" t="inlineStr">
        <is>
          <t>JB-SC-1-AI03</t>
        </is>
      </c>
      <c r="H5121" s="12" t="inlineStr">
        <is>
          <t>SC-1: aeroderivative simple-cycle unit (LM6000 class)</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20</v>
      </c>
      <c r="O5121" s="12" t="n">
        <v>1</v>
      </c>
      <c r="P5121" s="12" t="n"/>
      <c r="Q5121" s="12" t="n"/>
      <c r="R5121" s="12" t="n"/>
      <c r="S5121" s="12" t="inlineStr">
        <is>
          <t>Tray / conduit</t>
        </is>
      </c>
      <c r="T5121" s="17" t="n">
        <v>99</v>
      </c>
      <c r="U5121" s="17" t="n">
        <v>10</v>
      </c>
      <c r="V5121" s="17">
        <f>ROUNDUP((T5121+U5121+2*'Read Me'!$B$13)*(1+'Read Me'!$B$12),-1)</f>
        <v/>
      </c>
      <c r="W5121" s="17">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I-I-0512</t>
        </is>
      </c>
      <c r="B5122" s="12" t="inlineStr">
        <is>
          <t>I</t>
        </is>
      </c>
      <c r="C5122" s="12" t="inlineStr">
        <is>
          <t>Modular / portable power</t>
        </is>
      </c>
      <c r="D5122" s="12" t="inlineStr">
        <is>
          <t>Home run JB-SC-1-AI03 to the control / marshalling room</t>
        </is>
      </c>
      <c r="E5122" s="12" t="inlineStr"/>
      <c r="F5122" s="12" t="inlineStr">
        <is>
          <t>SC-1 PCM + 15 kV GCB</t>
        </is>
      </c>
      <c r="G5122" s="12" t="inlineStr">
        <is>
          <t>JB-SC-1-AI03</t>
        </is>
      </c>
      <c r="H5122" s="12" t="inlineStr">
        <is>
          <t>SC-1: aeroderivative simple-cycle unit (LM6000 class)</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Tray</t>
        </is>
      </c>
      <c r="T5122" s="17" t="n">
        <v>0</v>
      </c>
      <c r="U5122" s="17" t="n">
        <v>64</v>
      </c>
      <c r="V5122" s="17">
        <f>ROUNDUP((T5122+U5122+2*'Read Me'!$B$13)*(1+'Read Me'!$B$12),-1)</f>
        <v/>
      </c>
      <c r="W5122" s="17">
        <f>V5122*N5122*O5122</f>
        <v/>
      </c>
      <c r="X5122" s="12">
        <f>IF(LEFT(I5122,2)="MV",2*N5122*IF(L5122="1/C",O5122,1),0)</f>
        <v/>
      </c>
      <c r="Y5122" s="12">
        <f>IF(OR(LEFT(K5122,4)="LVAX",LEFT(K5122,6)="MV15AX",LEFT(K5122,4)="CTAX",LEFT(K5122,2)="W|"),2*N5122*O5122,0)</f>
        <v/>
      </c>
      <c r="Z5122" s="12" t="inlineStr"/>
      <c r="AA5122" s="12">
        <f>N5122*O5122</f>
        <v/>
      </c>
    </row>
    <row r="5123">
      <c r="A5123" s="12" t="inlineStr">
        <is>
          <t>I-I-0513</t>
        </is>
      </c>
      <c r="B5123" s="12" t="inlineStr">
        <is>
          <t>I</t>
        </is>
      </c>
      <c r="C5123" s="12" t="inlineStr">
        <is>
          <t>Modular / portable power</t>
        </is>
      </c>
      <c r="D5123" s="12" t="inlineStr">
        <is>
          <t>Analog instrument to JB JB-SC-1-AI04: 20 x 1 pr (field cables)</t>
        </is>
      </c>
      <c r="E5123" s="12" t="inlineStr">
        <is>
          <t>SC-1</t>
        </is>
      </c>
      <c r="F5123" s="12" t="inlineStr">
        <is>
          <t>SC-1: aeroderivative simple-cycle unit (LM6000 class)</t>
        </is>
      </c>
      <c r="G5123" s="12" t="inlineStr">
        <is>
          <t>JB-SC-1-AI04</t>
        </is>
      </c>
      <c r="H5123" s="12" t="inlineStr">
        <is>
          <t>SC-1: aeroderivative simple-cycle unit (LM6000 class)</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20</v>
      </c>
      <c r="O5123" s="12" t="n">
        <v>1</v>
      </c>
      <c r="P5123" s="12" t="n"/>
      <c r="Q5123" s="12" t="n"/>
      <c r="R5123" s="12" t="n"/>
      <c r="S5123" s="12" t="inlineStr">
        <is>
          <t>Tray / conduit</t>
        </is>
      </c>
      <c r="T5123" s="17" t="n">
        <v>99</v>
      </c>
      <c r="U5123" s="17" t="n">
        <v>10</v>
      </c>
      <c r="V5123" s="17">
        <f>ROUNDUP((T5123+U5123+2*'Read Me'!$B$13)*(1+'Read Me'!$B$12),-1)</f>
        <v/>
      </c>
      <c r="W5123" s="17">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I-I-0514</t>
        </is>
      </c>
      <c r="B5124" s="12" t="inlineStr">
        <is>
          <t>I</t>
        </is>
      </c>
      <c r="C5124" s="12" t="inlineStr">
        <is>
          <t>Modular / portable power</t>
        </is>
      </c>
      <c r="D5124" s="12" t="inlineStr">
        <is>
          <t>Home run JB-SC-1-AI04 to the control / marshalling room</t>
        </is>
      </c>
      <c r="E5124" s="12" t="inlineStr"/>
      <c r="F5124" s="12" t="inlineStr">
        <is>
          <t>SC-1 PCM + 15 kV GCB</t>
        </is>
      </c>
      <c r="G5124" s="12" t="inlineStr">
        <is>
          <t>JB-SC-1-AI04</t>
        </is>
      </c>
      <c r="H5124" s="12" t="inlineStr">
        <is>
          <t>SC-1: aeroderivative simple-cycle unit (LM6000 class)</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Tray</t>
        </is>
      </c>
      <c r="T5124" s="17" t="n">
        <v>0</v>
      </c>
      <c r="U5124" s="17" t="n">
        <v>64</v>
      </c>
      <c r="V5124" s="17">
        <f>ROUNDUP((T5124+U5124+2*'Read Me'!$B$13)*(1+'Read Me'!$B$12),-1)</f>
        <v/>
      </c>
      <c r="W5124" s="17">
        <f>V5124*N5124*O5124</f>
        <v/>
      </c>
      <c r="X5124" s="12">
        <f>IF(LEFT(I5124,2)="MV",2*N5124*IF(L5124="1/C",O5124,1),0)</f>
        <v/>
      </c>
      <c r="Y5124" s="12">
        <f>IF(OR(LEFT(K5124,4)="LVAX",LEFT(K5124,6)="MV15AX",LEFT(K5124,4)="CTAX",LEFT(K5124,2)="W|"),2*N5124*O5124,0)</f>
        <v/>
      </c>
      <c r="Z5124" s="12" t="inlineStr"/>
      <c r="AA5124" s="12">
        <f>N5124*O5124</f>
        <v/>
      </c>
    </row>
    <row r="5125">
      <c r="A5125" s="12" t="inlineStr">
        <is>
          <t>I-I-0515</t>
        </is>
      </c>
      <c r="B5125" s="12" t="inlineStr">
        <is>
          <t>I</t>
        </is>
      </c>
      <c r="C5125" s="12" t="inlineStr">
        <is>
          <t>Modular / portable power</t>
        </is>
      </c>
      <c r="D5125" s="12" t="inlineStr">
        <is>
          <t>Analog instrument to JB JB-SC-1-AI05: 20 x 1 pr (field cables)</t>
        </is>
      </c>
      <c r="E5125" s="12" t="inlineStr">
        <is>
          <t>SC-1</t>
        </is>
      </c>
      <c r="F5125" s="12" t="inlineStr">
        <is>
          <t>SC-1: aeroderivative simple-cycle unit (LM6000 class)</t>
        </is>
      </c>
      <c r="G5125" s="12" t="inlineStr">
        <is>
          <t>JB-SC-1-AI05</t>
        </is>
      </c>
      <c r="H5125" s="12" t="inlineStr">
        <is>
          <t>SC-1: aeroderivative simple-cycle unit (LM6000 class)</t>
        </is>
      </c>
      <c r="I5125" s="12" t="inlineStr">
        <is>
          <t>Instrumentation</t>
        </is>
      </c>
      <c r="J5125" s="12" t="inlineStr">
        <is>
          <t>Instrumentation PLTC / TC-ER 300 V, #18 twisted shielded pairs, overall shield</t>
        </is>
      </c>
      <c r="K5125" s="12" t="inlineStr">
        <is>
          <t>PLTC|1 pr|16</t>
        </is>
      </c>
      <c r="L5125" s="12" t="inlineStr">
        <is>
          <t>1 pr</t>
        </is>
      </c>
      <c r="M5125" s="12" t="inlineStr">
        <is>
          <t>16</t>
        </is>
      </c>
      <c r="N5125" s="12" t="n">
        <v>20</v>
      </c>
      <c r="O5125" s="12" t="n">
        <v>1</v>
      </c>
      <c r="P5125" s="12" t="n"/>
      <c r="Q5125" s="12" t="n"/>
      <c r="R5125" s="12" t="n"/>
      <c r="S5125" s="12" t="inlineStr">
        <is>
          <t>Tray / conduit</t>
        </is>
      </c>
      <c r="T5125" s="17" t="n">
        <v>99</v>
      </c>
      <c r="U5125" s="17" t="n">
        <v>10</v>
      </c>
      <c r="V5125" s="17">
        <f>ROUNDUP((T5125+U5125+2*'Read Me'!$B$13)*(1+'Read Me'!$B$12),-1)</f>
        <v/>
      </c>
      <c r="W5125" s="17">
        <f>V5125*N5125*O5125</f>
        <v/>
      </c>
      <c r="X5125" s="12">
        <f>IF(LEFT(I5125,2)="MV",2*N5125*IF(L5125="1/C",O5125,1),0)</f>
        <v/>
      </c>
      <c r="Y5125" s="12">
        <f>IF(OR(LEFT(K5125,4)="LVAX",LEFT(K5125,6)="MV15AX",LEFT(K5125,4)="CTAX",LEFT(K5125,2)="W|"),2*N5125*O5125,0)</f>
        <v/>
      </c>
      <c r="Z5125" s="12" t="inlineStr">
        <is>
          <t>device-to-JB field wiring, one cable per device</t>
        </is>
      </c>
      <c r="AA5125" s="12">
        <f>N5125*O5125</f>
        <v/>
      </c>
    </row>
    <row r="5126">
      <c r="A5126" s="12" t="inlineStr">
        <is>
          <t>I-I-0516</t>
        </is>
      </c>
      <c r="B5126" s="12" t="inlineStr">
        <is>
          <t>I</t>
        </is>
      </c>
      <c r="C5126" s="12" t="inlineStr">
        <is>
          <t>Modular / portable power</t>
        </is>
      </c>
      <c r="D5126" s="12" t="inlineStr">
        <is>
          <t>Home run JB-SC-1-AI05 to the control / marshalling room</t>
        </is>
      </c>
      <c r="E5126" s="12" t="inlineStr"/>
      <c r="F5126" s="12" t="inlineStr">
        <is>
          <t>SC-1 PCM + 15 kV GCB</t>
        </is>
      </c>
      <c r="G5126" s="12" t="inlineStr">
        <is>
          <t>JB-SC-1-AI05</t>
        </is>
      </c>
      <c r="H5126" s="12" t="inlineStr">
        <is>
          <t>SC-1: aeroderivative simple-cycle unit (LM6000 class)</t>
        </is>
      </c>
      <c r="I5126" s="12" t="inlineStr">
        <is>
          <t>Instrumentation</t>
        </is>
      </c>
      <c r="J5126" s="12" t="inlineStr">
        <is>
          <t>Instrumentation PLTC / TC-ER 300 V, #18 twisted shielded pairs, overall shield</t>
        </is>
      </c>
      <c r="K5126" s="12" t="inlineStr">
        <is>
          <t>PLTC|24 pr|18</t>
        </is>
      </c>
      <c r="L5126" s="12" t="inlineStr">
        <is>
          <t>24 pr</t>
        </is>
      </c>
      <c r="M5126" s="12" t="inlineStr">
        <is>
          <t>18</t>
        </is>
      </c>
      <c r="N5126" s="12" t="n">
        <v>1</v>
      </c>
      <c r="O5126" s="12" t="n">
        <v>1</v>
      </c>
      <c r="P5126" s="12" t="n"/>
      <c r="Q5126" s="12" t="n"/>
      <c r="R5126" s="12" t="n"/>
      <c r="S5126" s="12" t="inlineStr">
        <is>
          <t>Tray</t>
        </is>
      </c>
      <c r="T5126" s="17" t="n">
        <v>0</v>
      </c>
      <c r="U5126" s="17" t="n">
        <v>64</v>
      </c>
      <c r="V5126" s="17">
        <f>ROUNDUP((T5126+U5126+2*'Read Me'!$B$13)*(1+'Read Me'!$B$12),-1)</f>
        <v/>
      </c>
      <c r="W5126" s="17">
        <f>V5126*N5126*O5126</f>
        <v/>
      </c>
      <c r="X5126" s="12">
        <f>IF(LEFT(I5126,2)="MV",2*N5126*IF(L5126="1/C",O5126,1),0)</f>
        <v/>
      </c>
      <c r="Y5126" s="12">
        <f>IF(OR(LEFT(K5126,4)="LVAX",LEFT(K5126,6)="MV15AX",LEFT(K5126,4)="CTAX",LEFT(K5126,2)="W|"),2*N5126*O5126,0)</f>
        <v/>
      </c>
      <c r="Z5126" s="12" t="inlineStr"/>
      <c r="AA5126" s="12">
        <f>N5126*O5126</f>
        <v/>
      </c>
    </row>
    <row r="5127">
      <c r="A5127" s="12" t="inlineStr">
        <is>
          <t>I-I-0517</t>
        </is>
      </c>
      <c r="B5127" s="12" t="inlineStr">
        <is>
          <t>I</t>
        </is>
      </c>
      <c r="C5127" s="12" t="inlineStr">
        <is>
          <t>Modular / portable power</t>
        </is>
      </c>
      <c r="D5127" s="12" t="inlineStr">
        <is>
          <t>Analog instrument to JB JB-SC-1-AI06: 20 x 1 pr (field cables)</t>
        </is>
      </c>
      <c r="E5127" s="12" t="inlineStr">
        <is>
          <t>SC-1</t>
        </is>
      </c>
      <c r="F5127" s="12" t="inlineStr">
        <is>
          <t>SC-1: aeroderivative simple-cycle unit (LM6000 class)</t>
        </is>
      </c>
      <c r="G5127" s="12" t="inlineStr">
        <is>
          <t>JB-SC-1-AI06</t>
        </is>
      </c>
      <c r="H5127" s="12" t="inlineStr">
        <is>
          <t>SC-1: aeroderivative simple-cycle unit (LM6000 class)</t>
        </is>
      </c>
      <c r="I5127" s="12" t="inlineStr">
        <is>
          <t>Instrumentation</t>
        </is>
      </c>
      <c r="J5127" s="12" t="inlineStr">
        <is>
          <t>Instrumentation PLTC / TC-ER 300 V, #18 twisted shielded pairs, overall shield</t>
        </is>
      </c>
      <c r="K5127" s="12" t="inlineStr">
        <is>
          <t>PLTC|1 pr|16</t>
        </is>
      </c>
      <c r="L5127" s="12" t="inlineStr">
        <is>
          <t>1 pr</t>
        </is>
      </c>
      <c r="M5127" s="12" t="inlineStr">
        <is>
          <t>16</t>
        </is>
      </c>
      <c r="N5127" s="12" t="n">
        <v>20</v>
      </c>
      <c r="O5127" s="12" t="n">
        <v>1</v>
      </c>
      <c r="P5127" s="12" t="n"/>
      <c r="Q5127" s="12" t="n"/>
      <c r="R5127" s="12" t="n"/>
      <c r="S5127" s="12" t="inlineStr">
        <is>
          <t>Tray / conduit</t>
        </is>
      </c>
      <c r="T5127" s="17" t="n">
        <v>99</v>
      </c>
      <c r="U5127" s="17" t="n">
        <v>10</v>
      </c>
      <c r="V5127" s="17">
        <f>ROUNDUP((T5127+U5127+2*'Read Me'!$B$13)*(1+'Read Me'!$B$12),-1)</f>
        <v/>
      </c>
      <c r="W5127" s="17">
        <f>V5127*N5127*O5127</f>
        <v/>
      </c>
      <c r="X5127" s="12">
        <f>IF(LEFT(I5127,2)="MV",2*N5127*IF(L5127="1/C",O5127,1),0)</f>
        <v/>
      </c>
      <c r="Y5127" s="12">
        <f>IF(OR(LEFT(K5127,4)="LVAX",LEFT(K5127,6)="MV15AX",LEFT(K5127,4)="CTAX",LEFT(K5127,2)="W|"),2*N5127*O5127,0)</f>
        <v/>
      </c>
      <c r="Z5127" s="12" t="inlineStr">
        <is>
          <t>device-to-JB field wiring, one cable per device</t>
        </is>
      </c>
      <c r="AA5127" s="12">
        <f>N5127*O5127</f>
        <v/>
      </c>
    </row>
    <row r="5128">
      <c r="A5128" s="12" t="inlineStr">
        <is>
          <t>I-I-0518</t>
        </is>
      </c>
      <c r="B5128" s="12" t="inlineStr">
        <is>
          <t>I</t>
        </is>
      </c>
      <c r="C5128" s="12" t="inlineStr">
        <is>
          <t>Modular / portable power</t>
        </is>
      </c>
      <c r="D5128" s="12" t="inlineStr">
        <is>
          <t>Home run JB-SC-1-AI06 to the control / marshalling room</t>
        </is>
      </c>
      <c r="E5128" s="12" t="inlineStr"/>
      <c r="F5128" s="12" t="inlineStr">
        <is>
          <t>SC-1 PCM + 15 kV GCB</t>
        </is>
      </c>
      <c r="G5128" s="12" t="inlineStr">
        <is>
          <t>JB-SC-1-AI06</t>
        </is>
      </c>
      <c r="H5128" s="12" t="inlineStr">
        <is>
          <t>SC-1: aeroderivative simple-cycle unit (LM6000 class)</t>
        </is>
      </c>
      <c r="I5128" s="12" t="inlineStr">
        <is>
          <t>Instrumentation</t>
        </is>
      </c>
      <c r="J5128" s="12" t="inlineStr">
        <is>
          <t>Instrumentation PLTC / TC-ER 300 V, #18 twisted shielded pairs, overall shield</t>
        </is>
      </c>
      <c r="K5128" s="12" t="inlineStr">
        <is>
          <t>PLTC|24 pr|18</t>
        </is>
      </c>
      <c r="L5128" s="12" t="inlineStr">
        <is>
          <t>24 pr</t>
        </is>
      </c>
      <c r="M5128" s="12" t="inlineStr">
        <is>
          <t>18</t>
        </is>
      </c>
      <c r="N5128" s="12" t="n">
        <v>1</v>
      </c>
      <c r="O5128" s="12" t="n">
        <v>1</v>
      </c>
      <c r="P5128" s="12" t="n"/>
      <c r="Q5128" s="12" t="n"/>
      <c r="R5128" s="12" t="n"/>
      <c r="S5128" s="12" t="inlineStr">
        <is>
          <t>Tray</t>
        </is>
      </c>
      <c r="T5128" s="17" t="n">
        <v>0</v>
      </c>
      <c r="U5128" s="17" t="n">
        <v>64</v>
      </c>
      <c r="V5128" s="17">
        <f>ROUNDUP((T5128+U5128+2*'Read Me'!$B$13)*(1+'Read Me'!$B$12),-1)</f>
        <v/>
      </c>
      <c r="W5128" s="17">
        <f>V5128*N5128*O5128</f>
        <v/>
      </c>
      <c r="X5128" s="12">
        <f>IF(LEFT(I5128,2)="MV",2*N5128*IF(L5128="1/C",O5128,1),0)</f>
        <v/>
      </c>
      <c r="Y5128" s="12">
        <f>IF(OR(LEFT(K5128,4)="LVAX",LEFT(K5128,6)="MV15AX",LEFT(K5128,4)="CTAX",LEFT(K5128,2)="W|"),2*N5128*O5128,0)</f>
        <v/>
      </c>
      <c r="Z5128" s="12" t="inlineStr"/>
      <c r="AA5128" s="12">
        <f>N5128*O5128</f>
        <v/>
      </c>
    </row>
    <row r="5129">
      <c r="A5129" s="12" t="inlineStr">
        <is>
          <t>I-I-0519</t>
        </is>
      </c>
      <c r="B5129" s="12" t="inlineStr">
        <is>
          <t>I</t>
        </is>
      </c>
      <c r="C5129" s="12" t="inlineStr">
        <is>
          <t>Modular / portable power</t>
        </is>
      </c>
      <c r="D5129" s="12" t="inlineStr">
        <is>
          <t>Analog instrument to JB JB-SC-1-AI07: 20 x 1 pr (field cables)</t>
        </is>
      </c>
      <c r="E5129" s="12" t="inlineStr">
        <is>
          <t>SC-1</t>
        </is>
      </c>
      <c r="F5129" s="12" t="inlineStr">
        <is>
          <t>SC-1: aeroderivative simple-cycle unit (LM6000 class)</t>
        </is>
      </c>
      <c r="G5129" s="12" t="inlineStr">
        <is>
          <t>JB-SC-1-AI07</t>
        </is>
      </c>
      <c r="H5129" s="12" t="inlineStr">
        <is>
          <t>SC-1: aeroderivative simple-cycle unit (LM6000 class)</t>
        </is>
      </c>
      <c r="I5129" s="12" t="inlineStr">
        <is>
          <t>Instrumentation</t>
        </is>
      </c>
      <c r="J5129" s="12" t="inlineStr">
        <is>
          <t>Instrumentation PLTC / TC-ER 300 V, #18 twisted shielded pairs, overall shield</t>
        </is>
      </c>
      <c r="K5129" s="12" t="inlineStr">
        <is>
          <t>PLTC|1 pr|16</t>
        </is>
      </c>
      <c r="L5129" s="12" t="inlineStr">
        <is>
          <t>1 pr</t>
        </is>
      </c>
      <c r="M5129" s="12" t="inlineStr">
        <is>
          <t>16</t>
        </is>
      </c>
      <c r="N5129" s="12" t="n">
        <v>20</v>
      </c>
      <c r="O5129" s="12" t="n">
        <v>1</v>
      </c>
      <c r="P5129" s="12" t="n"/>
      <c r="Q5129" s="12" t="n"/>
      <c r="R5129" s="12" t="n"/>
      <c r="S5129" s="12" t="inlineStr">
        <is>
          <t>Tray / conduit</t>
        </is>
      </c>
      <c r="T5129" s="17" t="n">
        <v>99</v>
      </c>
      <c r="U5129" s="17" t="n">
        <v>10</v>
      </c>
      <c r="V5129" s="17">
        <f>ROUNDUP((T5129+U5129+2*'Read Me'!$B$13)*(1+'Read Me'!$B$12),-1)</f>
        <v/>
      </c>
      <c r="W5129" s="17">
        <f>V5129*N5129*O5129</f>
        <v/>
      </c>
      <c r="X5129" s="12">
        <f>IF(LEFT(I5129,2)="MV",2*N5129*IF(L5129="1/C",O5129,1),0)</f>
        <v/>
      </c>
      <c r="Y5129" s="12">
        <f>IF(OR(LEFT(K5129,4)="LVAX",LEFT(K5129,6)="MV15AX",LEFT(K5129,4)="CTAX",LEFT(K5129,2)="W|"),2*N5129*O5129,0)</f>
        <v/>
      </c>
      <c r="Z5129" s="12" t="inlineStr">
        <is>
          <t>device-to-JB field wiring, one cable per device</t>
        </is>
      </c>
      <c r="AA5129" s="12">
        <f>N5129*O5129</f>
        <v/>
      </c>
    </row>
    <row r="5130">
      <c r="A5130" s="12" t="inlineStr">
        <is>
          <t>I-I-0520</t>
        </is>
      </c>
      <c r="B5130" s="12" t="inlineStr">
        <is>
          <t>I</t>
        </is>
      </c>
      <c r="C5130" s="12" t="inlineStr">
        <is>
          <t>Modular / portable power</t>
        </is>
      </c>
      <c r="D5130" s="12" t="inlineStr">
        <is>
          <t>Home run JB-SC-1-AI07 to the control / marshalling room</t>
        </is>
      </c>
      <c r="E5130" s="12" t="inlineStr"/>
      <c r="F5130" s="12" t="inlineStr">
        <is>
          <t>SC-1 PCM + 15 kV GCB</t>
        </is>
      </c>
      <c r="G5130" s="12" t="inlineStr">
        <is>
          <t>JB-SC-1-AI07</t>
        </is>
      </c>
      <c r="H5130" s="12" t="inlineStr">
        <is>
          <t>SC-1: aeroderivative simple-cycle unit (LM6000 class)</t>
        </is>
      </c>
      <c r="I5130" s="12" t="inlineStr">
        <is>
          <t>Instrumentation</t>
        </is>
      </c>
      <c r="J5130" s="12" t="inlineStr">
        <is>
          <t>Instrumentation PLTC / TC-ER 300 V, #18 twisted shielded pairs, overall shield</t>
        </is>
      </c>
      <c r="K5130" s="12" t="inlineStr">
        <is>
          <t>PLTC|24 pr|18</t>
        </is>
      </c>
      <c r="L5130" s="12" t="inlineStr">
        <is>
          <t>24 pr</t>
        </is>
      </c>
      <c r="M5130" s="12" t="inlineStr">
        <is>
          <t>18</t>
        </is>
      </c>
      <c r="N5130" s="12" t="n">
        <v>1</v>
      </c>
      <c r="O5130" s="12" t="n">
        <v>1</v>
      </c>
      <c r="P5130" s="12" t="n"/>
      <c r="Q5130" s="12" t="n"/>
      <c r="R5130" s="12" t="n"/>
      <c r="S5130" s="12" t="inlineStr">
        <is>
          <t>Tray</t>
        </is>
      </c>
      <c r="T5130" s="17" t="n">
        <v>0</v>
      </c>
      <c r="U5130" s="17" t="n">
        <v>64</v>
      </c>
      <c r="V5130" s="17">
        <f>ROUNDUP((T5130+U5130+2*'Read Me'!$B$13)*(1+'Read Me'!$B$12),-1)</f>
        <v/>
      </c>
      <c r="W5130" s="17">
        <f>V5130*N5130*O5130</f>
        <v/>
      </c>
      <c r="X5130" s="12">
        <f>IF(LEFT(I5130,2)="MV",2*N5130*IF(L5130="1/C",O5130,1),0)</f>
        <v/>
      </c>
      <c r="Y5130" s="12">
        <f>IF(OR(LEFT(K5130,4)="LVAX",LEFT(K5130,6)="MV15AX",LEFT(K5130,4)="CTAX",LEFT(K5130,2)="W|"),2*N5130*O5130,0)</f>
        <v/>
      </c>
      <c r="Z5130" s="12" t="inlineStr"/>
      <c r="AA5130" s="12">
        <f>N5130*O5130</f>
        <v/>
      </c>
    </row>
    <row r="5131">
      <c r="A5131" s="12" t="inlineStr">
        <is>
          <t>I-I-0521</t>
        </is>
      </c>
      <c r="B5131" s="12" t="inlineStr">
        <is>
          <t>I</t>
        </is>
      </c>
      <c r="C5131" s="12" t="inlineStr">
        <is>
          <t>Modular / portable power</t>
        </is>
      </c>
      <c r="D5131" s="12" t="inlineStr">
        <is>
          <t>Analog instrument to JB JB-SC-1-AI08: 10 x 1 pr (field cables)</t>
        </is>
      </c>
      <c r="E5131" s="12" t="inlineStr">
        <is>
          <t>SC-1</t>
        </is>
      </c>
      <c r="F5131" s="12" t="inlineStr">
        <is>
          <t>SC-1: aeroderivative simple-cycle unit (LM6000 class)</t>
        </is>
      </c>
      <c r="G5131" s="12" t="inlineStr">
        <is>
          <t>JB-SC-1-AI08</t>
        </is>
      </c>
      <c r="H5131" s="12" t="inlineStr">
        <is>
          <t>SC-1: aeroderivative simple-cycle unit (LM6000 class)</t>
        </is>
      </c>
      <c r="I5131" s="12" t="inlineStr">
        <is>
          <t>Instrumentation</t>
        </is>
      </c>
      <c r="J5131" s="12" t="inlineStr">
        <is>
          <t>Instrumentation PLTC / TC-ER 300 V, #18 twisted shielded pairs, overall shield</t>
        </is>
      </c>
      <c r="K5131" s="12" t="inlineStr">
        <is>
          <t>PLTC|1 pr|16</t>
        </is>
      </c>
      <c r="L5131" s="12" t="inlineStr">
        <is>
          <t>1 pr</t>
        </is>
      </c>
      <c r="M5131" s="12" t="inlineStr">
        <is>
          <t>16</t>
        </is>
      </c>
      <c r="N5131" s="12" t="n">
        <v>10</v>
      </c>
      <c r="O5131" s="12" t="n">
        <v>1</v>
      </c>
      <c r="P5131" s="12" t="n"/>
      <c r="Q5131" s="12" t="n"/>
      <c r="R5131" s="12" t="n"/>
      <c r="S5131" s="12" t="inlineStr">
        <is>
          <t>Tray / conduit</t>
        </is>
      </c>
      <c r="T5131" s="17" t="n">
        <v>99</v>
      </c>
      <c r="U5131" s="17" t="n">
        <v>10</v>
      </c>
      <c r="V5131" s="17">
        <f>ROUNDUP((T5131+U5131+2*'Read Me'!$B$13)*(1+'Read Me'!$B$12),-1)</f>
        <v/>
      </c>
      <c r="W5131" s="17">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I-I-0522</t>
        </is>
      </c>
      <c r="B5132" s="12" t="inlineStr">
        <is>
          <t>I</t>
        </is>
      </c>
      <c r="C5132" s="12" t="inlineStr">
        <is>
          <t>Modular / portable power</t>
        </is>
      </c>
      <c r="D5132" s="12" t="inlineStr">
        <is>
          <t>Home run JB-SC-1-AI08 to the control / marshalling room</t>
        </is>
      </c>
      <c r="E5132" s="12" t="inlineStr"/>
      <c r="F5132" s="12" t="inlineStr">
        <is>
          <t>SC-1 PCM + 15 kV GCB</t>
        </is>
      </c>
      <c r="G5132" s="12" t="inlineStr">
        <is>
          <t>JB-SC-1-AI08</t>
        </is>
      </c>
      <c r="H5132" s="12" t="inlineStr">
        <is>
          <t>SC-1: aeroderivative simple-cycle unit (LM6000 class)</t>
        </is>
      </c>
      <c r="I5132" s="12" t="inlineStr">
        <is>
          <t>Instrumentation</t>
        </is>
      </c>
      <c r="J5132" s="12" t="inlineStr">
        <is>
          <t>Instrumentation PLTC / TC-ER 300 V, #18 twisted shielded pairs, overall shield</t>
        </is>
      </c>
      <c r="K5132" s="12" t="inlineStr">
        <is>
          <t>PLTC|24 pr|18</t>
        </is>
      </c>
      <c r="L5132" s="12" t="inlineStr">
        <is>
          <t>24 pr</t>
        </is>
      </c>
      <c r="M5132" s="12" t="inlineStr">
        <is>
          <t>18</t>
        </is>
      </c>
      <c r="N5132" s="12" t="n">
        <v>1</v>
      </c>
      <c r="O5132" s="12" t="n">
        <v>1</v>
      </c>
      <c r="P5132" s="12" t="n"/>
      <c r="Q5132" s="12" t="n"/>
      <c r="R5132" s="12" t="n"/>
      <c r="S5132" s="12" t="inlineStr">
        <is>
          <t>Tray</t>
        </is>
      </c>
      <c r="T5132" s="17" t="n">
        <v>0</v>
      </c>
      <c r="U5132" s="17" t="n">
        <v>64</v>
      </c>
      <c r="V5132" s="17">
        <f>ROUNDUP((T5132+U5132+2*'Read Me'!$B$13)*(1+'Read Me'!$B$12),-1)</f>
        <v/>
      </c>
      <c r="W5132" s="17">
        <f>V5132*N5132*O5132</f>
        <v/>
      </c>
      <c r="X5132" s="12">
        <f>IF(LEFT(I5132,2)="MV",2*N5132*IF(L5132="1/C",O5132,1),0)</f>
        <v/>
      </c>
      <c r="Y5132" s="12">
        <f>IF(OR(LEFT(K5132,4)="LVAX",LEFT(K5132,6)="MV15AX",LEFT(K5132,4)="CTAX",LEFT(K5132,2)="W|"),2*N5132*O5132,0)</f>
        <v/>
      </c>
      <c r="Z5132" s="12" t="inlineStr"/>
      <c r="AA5132" s="12">
        <f>N5132*O5132</f>
        <v/>
      </c>
    </row>
    <row r="5133">
      <c r="A5133" s="12" t="inlineStr">
        <is>
          <t>I-I-0523</t>
        </is>
      </c>
      <c r="B5133" s="12" t="inlineStr">
        <is>
          <t>I</t>
        </is>
      </c>
      <c r="C5133" s="12" t="inlineStr">
        <is>
          <t>Modular / portable power</t>
        </is>
      </c>
      <c r="D5133" s="12" t="inlineStr">
        <is>
          <t>Discrete device to JB JB-SC-1-DI01: 20 x 1 pr (field cables)</t>
        </is>
      </c>
      <c r="E5133" s="12" t="inlineStr">
        <is>
          <t>SC-1</t>
        </is>
      </c>
      <c r="F5133" s="12" t="inlineStr">
        <is>
          <t>SC-1: aeroderivative simple-cycle unit (LM6000 class)</t>
        </is>
      </c>
      <c r="G5133" s="12" t="inlineStr">
        <is>
          <t>JB-SC-1-DI01</t>
        </is>
      </c>
      <c r="H5133" s="12" t="inlineStr">
        <is>
          <t>SC-1: aeroderivative simple-cycle unit (LM6000 class)</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20</v>
      </c>
      <c r="O5133" s="12" t="n">
        <v>1</v>
      </c>
      <c r="P5133" s="12" t="n"/>
      <c r="Q5133" s="12" t="n"/>
      <c r="R5133" s="12" t="n"/>
      <c r="S5133" s="12" t="inlineStr">
        <is>
          <t>Tray / conduit</t>
        </is>
      </c>
      <c r="T5133" s="17" t="n">
        <v>99</v>
      </c>
      <c r="U5133" s="17" t="n">
        <v>10</v>
      </c>
      <c r="V5133" s="17">
        <f>ROUNDUP((T5133+U5133+2*'Read Me'!$B$13)*(1+'Read Me'!$B$12),-1)</f>
        <v/>
      </c>
      <c r="W5133" s="17">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I-I-0524</t>
        </is>
      </c>
      <c r="B5134" s="12" t="inlineStr">
        <is>
          <t>I</t>
        </is>
      </c>
      <c r="C5134" s="12" t="inlineStr">
        <is>
          <t>Modular / portable power</t>
        </is>
      </c>
      <c r="D5134" s="12" t="inlineStr">
        <is>
          <t>Home run JB-SC-1-DI01 to the control / marshalling room</t>
        </is>
      </c>
      <c r="E5134" s="12" t="inlineStr"/>
      <c r="F5134" s="12" t="inlineStr">
        <is>
          <t>SC-1 PCM + 15 kV GCB</t>
        </is>
      </c>
      <c r="G5134" s="12" t="inlineStr">
        <is>
          <t>JB-SC-1-DI01</t>
        </is>
      </c>
      <c r="H5134" s="12" t="inlineStr">
        <is>
          <t>SC-1: aeroderivative simple-cycle unit (LM6000 class)</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Tray</t>
        </is>
      </c>
      <c r="T5134" s="17" t="n">
        <v>0</v>
      </c>
      <c r="U5134" s="17" t="n">
        <v>64</v>
      </c>
      <c r="V5134" s="17">
        <f>ROUNDUP((T5134+U5134+2*'Read Me'!$B$13)*(1+'Read Me'!$B$12),-1)</f>
        <v/>
      </c>
      <c r="W5134" s="17">
        <f>V5134*N5134*O5134</f>
        <v/>
      </c>
      <c r="X5134" s="12">
        <f>IF(LEFT(I5134,2)="MV",2*N5134*IF(L5134="1/C",O5134,1),0)</f>
        <v/>
      </c>
      <c r="Y5134" s="12">
        <f>IF(OR(LEFT(K5134,4)="LVAX",LEFT(K5134,6)="MV15AX",LEFT(K5134,4)="CTAX",LEFT(K5134,2)="W|"),2*N5134*O5134,0)</f>
        <v/>
      </c>
      <c r="Z5134" s="12" t="inlineStr"/>
      <c r="AA5134" s="12">
        <f>N5134*O5134</f>
        <v/>
      </c>
    </row>
    <row r="5135">
      <c r="A5135" s="12" t="inlineStr">
        <is>
          <t>I-I-0525</t>
        </is>
      </c>
      <c r="B5135" s="12" t="inlineStr">
        <is>
          <t>I</t>
        </is>
      </c>
      <c r="C5135" s="12" t="inlineStr">
        <is>
          <t>Modular / portable power</t>
        </is>
      </c>
      <c r="D5135" s="12" t="inlineStr">
        <is>
          <t>Discrete device to JB JB-SC-1-DI02: 20 x 1 pr (field cables)</t>
        </is>
      </c>
      <c r="E5135" s="12" t="inlineStr">
        <is>
          <t>SC-1</t>
        </is>
      </c>
      <c r="F5135" s="12" t="inlineStr">
        <is>
          <t>SC-1: aeroderivative simple-cycle unit (LM6000 class)</t>
        </is>
      </c>
      <c r="G5135" s="12" t="inlineStr">
        <is>
          <t>JB-SC-1-DI02</t>
        </is>
      </c>
      <c r="H5135" s="12" t="inlineStr">
        <is>
          <t>SC-1: aeroderivative simple-cycle unit (LM6000 class)</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20</v>
      </c>
      <c r="O5135" s="12" t="n">
        <v>1</v>
      </c>
      <c r="P5135" s="12" t="n"/>
      <c r="Q5135" s="12" t="n"/>
      <c r="R5135" s="12" t="n"/>
      <c r="S5135" s="12" t="inlineStr">
        <is>
          <t>Tray / conduit</t>
        </is>
      </c>
      <c r="T5135" s="17" t="n">
        <v>99</v>
      </c>
      <c r="U5135" s="17" t="n">
        <v>10</v>
      </c>
      <c r="V5135" s="17">
        <f>ROUNDUP((T5135+U5135+2*'Read Me'!$B$13)*(1+'Read Me'!$B$12),-1)</f>
        <v/>
      </c>
      <c r="W5135" s="17">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I-I-0526</t>
        </is>
      </c>
      <c r="B5136" s="12" t="inlineStr">
        <is>
          <t>I</t>
        </is>
      </c>
      <c r="C5136" s="12" t="inlineStr">
        <is>
          <t>Modular / portable power</t>
        </is>
      </c>
      <c r="D5136" s="12" t="inlineStr">
        <is>
          <t>Home run JB-SC-1-DI02 to the control / marshalling room</t>
        </is>
      </c>
      <c r="E5136" s="12" t="inlineStr"/>
      <c r="F5136" s="12" t="inlineStr">
        <is>
          <t>SC-1 PCM + 15 kV GCB</t>
        </is>
      </c>
      <c r="G5136" s="12" t="inlineStr">
        <is>
          <t>JB-SC-1-DI02</t>
        </is>
      </c>
      <c r="H5136" s="12" t="inlineStr">
        <is>
          <t>SC-1: aeroderivative simple-cycle unit (LM6000 class)</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Tray</t>
        </is>
      </c>
      <c r="T5136" s="17" t="n">
        <v>0</v>
      </c>
      <c r="U5136" s="17" t="n">
        <v>64</v>
      </c>
      <c r="V5136" s="17">
        <f>ROUNDUP((T5136+U5136+2*'Read Me'!$B$13)*(1+'Read Me'!$B$12),-1)</f>
        <v/>
      </c>
      <c r="W5136" s="17">
        <f>V5136*N5136*O5136</f>
        <v/>
      </c>
      <c r="X5136" s="12">
        <f>IF(LEFT(I5136,2)="MV",2*N5136*IF(L5136="1/C",O5136,1),0)</f>
        <v/>
      </c>
      <c r="Y5136" s="12">
        <f>IF(OR(LEFT(K5136,4)="LVAX",LEFT(K5136,6)="MV15AX",LEFT(K5136,4)="CTAX",LEFT(K5136,2)="W|"),2*N5136*O5136,0)</f>
        <v/>
      </c>
      <c r="Z5136" s="12" t="inlineStr"/>
      <c r="AA5136" s="12">
        <f>N5136*O5136</f>
        <v/>
      </c>
    </row>
    <row r="5137">
      <c r="A5137" s="12" t="inlineStr">
        <is>
          <t>I-I-0527</t>
        </is>
      </c>
      <c r="B5137" s="12" t="inlineStr">
        <is>
          <t>I</t>
        </is>
      </c>
      <c r="C5137" s="12" t="inlineStr">
        <is>
          <t>Modular / portable power</t>
        </is>
      </c>
      <c r="D5137" s="12" t="inlineStr">
        <is>
          <t>Discrete device to JB JB-SC-1-DI03: 20 x 1 pr (field cables)</t>
        </is>
      </c>
      <c r="E5137" s="12" t="inlineStr">
        <is>
          <t>SC-1</t>
        </is>
      </c>
      <c r="F5137" s="12" t="inlineStr">
        <is>
          <t>SC-1: aeroderivative simple-cycle unit (LM6000 class)</t>
        </is>
      </c>
      <c r="G5137" s="12" t="inlineStr">
        <is>
          <t>JB-SC-1-DI03</t>
        </is>
      </c>
      <c r="H5137" s="12" t="inlineStr">
        <is>
          <t>SC-1: aeroderivative simple-cycle unit (LM6000 class)</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20</v>
      </c>
      <c r="O5137" s="12" t="n">
        <v>1</v>
      </c>
      <c r="P5137" s="12" t="n"/>
      <c r="Q5137" s="12" t="n"/>
      <c r="R5137" s="12" t="n"/>
      <c r="S5137" s="12" t="inlineStr">
        <is>
          <t>Tray / conduit</t>
        </is>
      </c>
      <c r="T5137" s="17" t="n">
        <v>99</v>
      </c>
      <c r="U5137" s="17" t="n">
        <v>10</v>
      </c>
      <c r="V5137" s="17">
        <f>ROUNDUP((T5137+U5137+2*'Read Me'!$B$13)*(1+'Read Me'!$B$12),-1)</f>
        <v/>
      </c>
      <c r="W5137" s="17">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I-I-0528</t>
        </is>
      </c>
      <c r="B5138" s="12" t="inlineStr">
        <is>
          <t>I</t>
        </is>
      </c>
      <c r="C5138" s="12" t="inlineStr">
        <is>
          <t>Modular / portable power</t>
        </is>
      </c>
      <c r="D5138" s="12" t="inlineStr">
        <is>
          <t>Home run JB-SC-1-DI03 to the control / marshalling room</t>
        </is>
      </c>
      <c r="E5138" s="12" t="inlineStr"/>
      <c r="F5138" s="12" t="inlineStr">
        <is>
          <t>SC-1 PCM + 15 kV GCB</t>
        </is>
      </c>
      <c r="G5138" s="12" t="inlineStr">
        <is>
          <t>JB-SC-1-DI03</t>
        </is>
      </c>
      <c r="H5138" s="12" t="inlineStr">
        <is>
          <t>SC-1: aeroderivative simple-cycle unit (LM6000 class)</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Tray</t>
        </is>
      </c>
      <c r="T5138" s="17" t="n">
        <v>0</v>
      </c>
      <c r="U5138" s="17" t="n">
        <v>64</v>
      </c>
      <c r="V5138" s="17">
        <f>ROUNDUP((T5138+U5138+2*'Read Me'!$B$13)*(1+'Read Me'!$B$12),-1)</f>
        <v/>
      </c>
      <c r="W5138" s="17">
        <f>V5138*N5138*O5138</f>
        <v/>
      </c>
      <c r="X5138" s="12">
        <f>IF(LEFT(I5138,2)="MV",2*N5138*IF(L5138="1/C",O5138,1),0)</f>
        <v/>
      </c>
      <c r="Y5138" s="12">
        <f>IF(OR(LEFT(K5138,4)="LVAX",LEFT(K5138,6)="MV15AX",LEFT(K5138,4)="CTAX",LEFT(K5138,2)="W|"),2*N5138*O5138,0)</f>
        <v/>
      </c>
      <c r="Z5138" s="12" t="inlineStr"/>
      <c r="AA5138" s="12">
        <f>N5138*O5138</f>
        <v/>
      </c>
    </row>
    <row r="5139">
      <c r="A5139" s="12" t="inlineStr">
        <is>
          <t>I-I-0529</t>
        </is>
      </c>
      <c r="B5139" s="12" t="inlineStr">
        <is>
          <t>I</t>
        </is>
      </c>
      <c r="C5139" s="12" t="inlineStr">
        <is>
          <t>Modular / portable power</t>
        </is>
      </c>
      <c r="D5139" s="12" t="inlineStr">
        <is>
          <t>Discrete device to JB JB-SC-1-DI04: 20 x 1 pr (field cables)</t>
        </is>
      </c>
      <c r="E5139" s="12" t="inlineStr">
        <is>
          <t>SC-1</t>
        </is>
      </c>
      <c r="F5139" s="12" t="inlineStr">
        <is>
          <t>SC-1: aeroderivative simple-cycle unit (LM6000 class)</t>
        </is>
      </c>
      <c r="G5139" s="12" t="inlineStr">
        <is>
          <t>JB-SC-1-DI04</t>
        </is>
      </c>
      <c r="H5139" s="12" t="inlineStr">
        <is>
          <t>SC-1: aeroderivative simple-cycle unit (LM6000 class)</t>
        </is>
      </c>
      <c r="I5139" s="12" t="inlineStr">
        <is>
          <t>Instrumentation</t>
        </is>
      </c>
      <c r="J5139" s="12" t="inlineStr">
        <is>
          <t>Instrumentation PLTC / TC-ER 300 V, #18 twisted shielded pairs, overall shield</t>
        </is>
      </c>
      <c r="K5139" s="12" t="inlineStr">
        <is>
          <t>PLTC|1 pr|16</t>
        </is>
      </c>
      <c r="L5139" s="12" t="inlineStr">
        <is>
          <t>1 pr</t>
        </is>
      </c>
      <c r="M5139" s="12" t="inlineStr">
        <is>
          <t>16</t>
        </is>
      </c>
      <c r="N5139" s="12" t="n">
        <v>20</v>
      </c>
      <c r="O5139" s="12" t="n">
        <v>1</v>
      </c>
      <c r="P5139" s="12" t="n"/>
      <c r="Q5139" s="12" t="n"/>
      <c r="R5139" s="12" t="n"/>
      <c r="S5139" s="12" t="inlineStr">
        <is>
          <t>Tray / conduit</t>
        </is>
      </c>
      <c r="T5139" s="17" t="n">
        <v>99</v>
      </c>
      <c r="U5139" s="17" t="n">
        <v>10</v>
      </c>
      <c r="V5139" s="17">
        <f>ROUNDUP((T5139+U5139+2*'Read Me'!$B$13)*(1+'Read Me'!$B$12),-1)</f>
        <v/>
      </c>
      <c r="W5139" s="17">
        <f>V5139*N5139*O5139</f>
        <v/>
      </c>
      <c r="X5139" s="12">
        <f>IF(LEFT(I5139,2)="MV",2*N5139*IF(L5139="1/C",O5139,1),0)</f>
        <v/>
      </c>
      <c r="Y5139" s="12">
        <f>IF(OR(LEFT(K5139,4)="LVAX",LEFT(K5139,6)="MV15AX",LEFT(K5139,4)="CTAX",LEFT(K5139,2)="W|"),2*N5139*O5139,0)</f>
        <v/>
      </c>
      <c r="Z5139" s="12" t="inlineStr">
        <is>
          <t>device-to-JB field wiring, one cable per device</t>
        </is>
      </c>
      <c r="AA5139" s="12">
        <f>N5139*O5139</f>
        <v/>
      </c>
    </row>
    <row r="5140">
      <c r="A5140" s="12" t="inlineStr">
        <is>
          <t>I-I-0530</t>
        </is>
      </c>
      <c r="B5140" s="12" t="inlineStr">
        <is>
          <t>I</t>
        </is>
      </c>
      <c r="C5140" s="12" t="inlineStr">
        <is>
          <t>Modular / portable power</t>
        </is>
      </c>
      <c r="D5140" s="12" t="inlineStr">
        <is>
          <t>Home run JB-SC-1-DI04 to the control / marshalling room</t>
        </is>
      </c>
      <c r="E5140" s="12" t="inlineStr"/>
      <c r="F5140" s="12" t="inlineStr">
        <is>
          <t>SC-1 PCM + 15 kV GCB</t>
        </is>
      </c>
      <c r="G5140" s="12" t="inlineStr">
        <is>
          <t>JB-SC-1-DI04</t>
        </is>
      </c>
      <c r="H5140" s="12" t="inlineStr">
        <is>
          <t>SC-1: aeroderivative simple-cycle unit (LM6000 class)</t>
        </is>
      </c>
      <c r="I5140" s="12" t="inlineStr">
        <is>
          <t>Instrumentation</t>
        </is>
      </c>
      <c r="J5140" s="12" t="inlineStr">
        <is>
          <t>Instrumentation PLTC / TC-ER 300 V, #18 twisted shielded pairs, overall shield</t>
        </is>
      </c>
      <c r="K5140" s="12" t="inlineStr">
        <is>
          <t>PLTC|24 pr|18</t>
        </is>
      </c>
      <c r="L5140" s="12" t="inlineStr">
        <is>
          <t>24 pr</t>
        </is>
      </c>
      <c r="M5140" s="12" t="inlineStr">
        <is>
          <t>18</t>
        </is>
      </c>
      <c r="N5140" s="12" t="n">
        <v>1</v>
      </c>
      <c r="O5140" s="12" t="n">
        <v>1</v>
      </c>
      <c r="P5140" s="12" t="n"/>
      <c r="Q5140" s="12" t="n"/>
      <c r="R5140" s="12" t="n"/>
      <c r="S5140" s="12" t="inlineStr">
        <is>
          <t>Tray</t>
        </is>
      </c>
      <c r="T5140" s="17" t="n">
        <v>0</v>
      </c>
      <c r="U5140" s="17" t="n">
        <v>64</v>
      </c>
      <c r="V5140" s="17">
        <f>ROUNDUP((T5140+U5140+2*'Read Me'!$B$13)*(1+'Read Me'!$B$12),-1)</f>
        <v/>
      </c>
      <c r="W5140" s="17">
        <f>V5140*N5140*O5140</f>
        <v/>
      </c>
      <c r="X5140" s="12">
        <f>IF(LEFT(I5140,2)="MV",2*N5140*IF(L5140="1/C",O5140,1),0)</f>
        <v/>
      </c>
      <c r="Y5140" s="12">
        <f>IF(OR(LEFT(K5140,4)="LVAX",LEFT(K5140,6)="MV15AX",LEFT(K5140,4)="CTAX",LEFT(K5140,2)="W|"),2*N5140*O5140,0)</f>
        <v/>
      </c>
      <c r="Z5140" s="12" t="inlineStr"/>
      <c r="AA5140" s="12">
        <f>N5140*O5140</f>
        <v/>
      </c>
    </row>
    <row r="5141">
      <c r="A5141" s="12" t="inlineStr">
        <is>
          <t>I-I-0531</t>
        </is>
      </c>
      <c r="B5141" s="12" t="inlineStr">
        <is>
          <t>I</t>
        </is>
      </c>
      <c r="C5141" s="12" t="inlineStr">
        <is>
          <t>Modular / portable power</t>
        </is>
      </c>
      <c r="D5141" s="12" t="inlineStr">
        <is>
          <t>Discrete device to JB JB-SC-1-DI05: 20 x 1 pr (field cables)</t>
        </is>
      </c>
      <c r="E5141" s="12" t="inlineStr">
        <is>
          <t>SC-1</t>
        </is>
      </c>
      <c r="F5141" s="12" t="inlineStr">
        <is>
          <t>SC-1: aeroderivative simple-cycle unit (LM6000 class)</t>
        </is>
      </c>
      <c r="G5141" s="12" t="inlineStr">
        <is>
          <t>JB-SC-1-DI05</t>
        </is>
      </c>
      <c r="H5141" s="12" t="inlineStr">
        <is>
          <t>SC-1: aeroderivative simple-cycle unit (LM6000 class)</t>
        </is>
      </c>
      <c r="I5141" s="12" t="inlineStr">
        <is>
          <t>Instrumentation</t>
        </is>
      </c>
      <c r="J5141" s="12" t="inlineStr">
        <is>
          <t>Instrumentation PLTC / TC-ER 300 V, #18 twisted shielded pairs, overall shield</t>
        </is>
      </c>
      <c r="K5141" s="12" t="inlineStr">
        <is>
          <t>PLTC|1 pr|16</t>
        </is>
      </c>
      <c r="L5141" s="12" t="inlineStr">
        <is>
          <t>1 pr</t>
        </is>
      </c>
      <c r="M5141" s="12" t="inlineStr">
        <is>
          <t>16</t>
        </is>
      </c>
      <c r="N5141" s="12" t="n">
        <v>20</v>
      </c>
      <c r="O5141" s="12" t="n">
        <v>1</v>
      </c>
      <c r="P5141" s="12" t="n"/>
      <c r="Q5141" s="12" t="n"/>
      <c r="R5141" s="12" t="n"/>
      <c r="S5141" s="12" t="inlineStr">
        <is>
          <t>Tray / conduit</t>
        </is>
      </c>
      <c r="T5141" s="17" t="n">
        <v>99</v>
      </c>
      <c r="U5141" s="17" t="n">
        <v>10</v>
      </c>
      <c r="V5141" s="17">
        <f>ROUNDUP((T5141+U5141+2*'Read Me'!$B$13)*(1+'Read Me'!$B$12),-1)</f>
        <v/>
      </c>
      <c r="W5141" s="17">
        <f>V5141*N5141*O5141</f>
        <v/>
      </c>
      <c r="X5141" s="12">
        <f>IF(LEFT(I5141,2)="MV",2*N5141*IF(L5141="1/C",O5141,1),0)</f>
        <v/>
      </c>
      <c r="Y5141" s="12">
        <f>IF(OR(LEFT(K5141,4)="LVAX",LEFT(K5141,6)="MV15AX",LEFT(K5141,4)="CTAX",LEFT(K5141,2)="W|"),2*N5141*O5141,0)</f>
        <v/>
      </c>
      <c r="Z5141" s="12" t="inlineStr">
        <is>
          <t>device-to-JB field wiring, one cable per device</t>
        </is>
      </c>
      <c r="AA5141" s="12">
        <f>N5141*O5141</f>
        <v/>
      </c>
    </row>
    <row r="5142">
      <c r="A5142" s="12" t="inlineStr">
        <is>
          <t>I-I-0532</t>
        </is>
      </c>
      <c r="B5142" s="12" t="inlineStr">
        <is>
          <t>I</t>
        </is>
      </c>
      <c r="C5142" s="12" t="inlineStr">
        <is>
          <t>Modular / portable power</t>
        </is>
      </c>
      <c r="D5142" s="12" t="inlineStr">
        <is>
          <t>Home run JB-SC-1-DI05 to the control / marshalling room</t>
        </is>
      </c>
      <c r="E5142" s="12" t="inlineStr"/>
      <c r="F5142" s="12" t="inlineStr">
        <is>
          <t>SC-1 PCM + 15 kV GCB</t>
        </is>
      </c>
      <c r="G5142" s="12" t="inlineStr">
        <is>
          <t>JB-SC-1-DI05</t>
        </is>
      </c>
      <c r="H5142" s="12" t="inlineStr">
        <is>
          <t>SC-1: aeroderivative simple-cycle unit (LM6000 class)</t>
        </is>
      </c>
      <c r="I5142" s="12" t="inlineStr">
        <is>
          <t>Instrumentation</t>
        </is>
      </c>
      <c r="J5142" s="12" t="inlineStr">
        <is>
          <t>Instrumentation PLTC / TC-ER 300 V, #18 twisted shielded pairs, overall shield</t>
        </is>
      </c>
      <c r="K5142" s="12" t="inlineStr">
        <is>
          <t>PLTC|24 pr|18</t>
        </is>
      </c>
      <c r="L5142" s="12" t="inlineStr">
        <is>
          <t>24 pr</t>
        </is>
      </c>
      <c r="M5142" s="12" t="inlineStr">
        <is>
          <t>18</t>
        </is>
      </c>
      <c r="N5142" s="12" t="n">
        <v>1</v>
      </c>
      <c r="O5142" s="12" t="n">
        <v>1</v>
      </c>
      <c r="P5142" s="12" t="n"/>
      <c r="Q5142" s="12" t="n"/>
      <c r="R5142" s="12" t="n"/>
      <c r="S5142" s="12" t="inlineStr">
        <is>
          <t>Tray</t>
        </is>
      </c>
      <c r="T5142" s="17" t="n">
        <v>0</v>
      </c>
      <c r="U5142" s="17" t="n">
        <v>64</v>
      </c>
      <c r="V5142" s="17">
        <f>ROUNDUP((T5142+U5142+2*'Read Me'!$B$13)*(1+'Read Me'!$B$12),-1)</f>
        <v/>
      </c>
      <c r="W5142" s="17">
        <f>V5142*N5142*O5142</f>
        <v/>
      </c>
      <c r="X5142" s="12">
        <f>IF(LEFT(I5142,2)="MV",2*N5142*IF(L5142="1/C",O5142,1),0)</f>
        <v/>
      </c>
      <c r="Y5142" s="12">
        <f>IF(OR(LEFT(K5142,4)="LVAX",LEFT(K5142,6)="MV15AX",LEFT(K5142,4)="CTAX",LEFT(K5142,2)="W|"),2*N5142*O5142,0)</f>
        <v/>
      </c>
      <c r="Z5142" s="12" t="inlineStr"/>
      <c r="AA5142" s="12">
        <f>N5142*O5142</f>
        <v/>
      </c>
    </row>
    <row r="5143">
      <c r="A5143" s="12" t="inlineStr">
        <is>
          <t>I-I-0533</t>
        </is>
      </c>
      <c r="B5143" s="12" t="inlineStr">
        <is>
          <t>I</t>
        </is>
      </c>
      <c r="C5143" s="12" t="inlineStr">
        <is>
          <t>Modular / portable power</t>
        </is>
      </c>
      <c r="D5143" s="12" t="inlineStr">
        <is>
          <t>Thermocouple to TC JB JB-SC-1-TC01: 20 x 1 pr (field cables)</t>
        </is>
      </c>
      <c r="E5143" s="12" t="inlineStr">
        <is>
          <t>SC-1</t>
        </is>
      </c>
      <c r="F5143" s="12" t="inlineStr">
        <is>
          <t>SC-1: aeroderivative simple-cycle unit (LM6000 class)</t>
        </is>
      </c>
      <c r="G5143" s="12" t="inlineStr">
        <is>
          <t>JB-SC-1-TC01</t>
        </is>
      </c>
      <c r="H5143" s="12" t="inlineStr">
        <is>
          <t>SC-1: aeroderivative simple-cycle unit (LM6000 class)</t>
        </is>
      </c>
      <c r="I5143" s="12" t="inlineStr">
        <is>
          <t>Instrumentation</t>
        </is>
      </c>
      <c r="J5143" s="12" t="inlineStr">
        <is>
          <t>Thermocouple extension KX, #16 shielded pairs, PLTC</t>
        </is>
      </c>
      <c r="K5143" s="12" t="inlineStr">
        <is>
          <t>TCX|1 pr|16</t>
        </is>
      </c>
      <c r="L5143" s="12" t="inlineStr">
        <is>
          <t>1 pr</t>
        </is>
      </c>
      <c r="M5143" s="12" t="inlineStr">
        <is>
          <t>16</t>
        </is>
      </c>
      <c r="N5143" s="12" t="n">
        <v>20</v>
      </c>
      <c r="O5143" s="12" t="n">
        <v>1</v>
      </c>
      <c r="P5143" s="12" t="n"/>
      <c r="Q5143" s="12" t="n"/>
      <c r="R5143" s="12" t="n"/>
      <c r="S5143" s="12" t="inlineStr">
        <is>
          <t>Tray / conduit</t>
        </is>
      </c>
      <c r="T5143" s="17" t="n">
        <v>99</v>
      </c>
      <c r="U5143" s="17" t="n">
        <v>10</v>
      </c>
      <c r="V5143" s="17">
        <f>ROUNDUP((T5143+U5143+2*'Read Me'!$B$13)*(1+'Read Me'!$B$12),-1)</f>
        <v/>
      </c>
      <c r="W5143" s="17">
        <f>V5143*N5143*O5143</f>
        <v/>
      </c>
      <c r="X5143" s="12">
        <f>IF(LEFT(I5143,2)="MV",2*N5143*IF(L5143="1/C",O5143,1),0)</f>
        <v/>
      </c>
      <c r="Y5143" s="12">
        <f>IF(OR(LEFT(K5143,4)="LVAX",LEFT(K5143,6)="MV15AX",LEFT(K5143,4)="CTAX",LEFT(K5143,2)="W|"),2*N5143*O5143,0)</f>
        <v/>
      </c>
      <c r="Z5143" s="12" t="inlineStr">
        <is>
          <t>device-to-JB field wiring, one cable per device</t>
        </is>
      </c>
      <c r="AA5143" s="12">
        <f>N5143*O5143</f>
        <v/>
      </c>
    </row>
    <row r="5144">
      <c r="A5144" s="12" t="inlineStr">
        <is>
          <t>I-I-0534</t>
        </is>
      </c>
      <c r="B5144" s="12" t="inlineStr">
        <is>
          <t>I</t>
        </is>
      </c>
      <c r="C5144" s="12" t="inlineStr">
        <is>
          <t>Modular / portable power</t>
        </is>
      </c>
      <c r="D5144" s="12" t="inlineStr">
        <is>
          <t>Home run JB-SC-1-TC01 to the control / marshalling room</t>
        </is>
      </c>
      <c r="E5144" s="12" t="inlineStr"/>
      <c r="F5144" s="12" t="inlineStr">
        <is>
          <t>SC-1 PCM + 15 kV GCB</t>
        </is>
      </c>
      <c r="G5144" s="12" t="inlineStr">
        <is>
          <t>JB-SC-1-TC01</t>
        </is>
      </c>
      <c r="H5144" s="12" t="inlineStr">
        <is>
          <t>SC-1: aeroderivative simple-cycle unit (LM6000 class)</t>
        </is>
      </c>
      <c r="I5144" s="12" t="inlineStr">
        <is>
          <t>Instrumentation</t>
        </is>
      </c>
      <c r="J5144" s="12" t="inlineStr">
        <is>
          <t>Thermocouple extension KX, #16 shielded pairs, PLTC</t>
        </is>
      </c>
      <c r="K5144" s="12" t="inlineStr">
        <is>
          <t>TCX|24 pr|16</t>
        </is>
      </c>
      <c r="L5144" s="12" t="inlineStr">
        <is>
          <t>24 pr</t>
        </is>
      </c>
      <c r="M5144" s="12" t="inlineStr">
        <is>
          <t>16</t>
        </is>
      </c>
      <c r="N5144" s="12" t="n">
        <v>1</v>
      </c>
      <c r="O5144" s="12" t="n">
        <v>1</v>
      </c>
      <c r="P5144" s="12" t="n"/>
      <c r="Q5144" s="12" t="n"/>
      <c r="R5144" s="12" t="n"/>
      <c r="S5144" s="12" t="inlineStr">
        <is>
          <t>Tray</t>
        </is>
      </c>
      <c r="T5144" s="17" t="n">
        <v>0</v>
      </c>
      <c r="U5144" s="17" t="n">
        <v>64</v>
      </c>
      <c r="V5144" s="17">
        <f>ROUNDUP((T5144+U5144+2*'Read Me'!$B$13)*(1+'Read Me'!$B$12),-1)</f>
        <v/>
      </c>
      <c r="W5144" s="17">
        <f>V5144*N5144*O5144</f>
        <v/>
      </c>
      <c r="X5144" s="12">
        <f>IF(LEFT(I5144,2)="MV",2*N5144*IF(L5144="1/C",O5144,1),0)</f>
        <v/>
      </c>
      <c r="Y5144" s="12">
        <f>IF(OR(LEFT(K5144,4)="LVAX",LEFT(K5144,6)="MV15AX",LEFT(K5144,4)="CTAX",LEFT(K5144,2)="W|"),2*N5144*O5144,0)</f>
        <v/>
      </c>
      <c r="Z5144" s="12" t="inlineStr"/>
      <c r="AA5144" s="12">
        <f>N5144*O5144</f>
        <v/>
      </c>
    </row>
    <row r="5145">
      <c r="A5145" s="12" t="inlineStr">
        <is>
          <t>I-I-0535</t>
        </is>
      </c>
      <c r="B5145" s="12" t="inlineStr">
        <is>
          <t>I</t>
        </is>
      </c>
      <c r="C5145" s="12" t="inlineStr">
        <is>
          <t>Modular / portable power</t>
        </is>
      </c>
      <c r="D5145" s="12" t="inlineStr">
        <is>
          <t>Thermocouple to TC JB JB-SC-1-TC02: 20 x 1 pr (field cables)</t>
        </is>
      </c>
      <c r="E5145" s="12" t="inlineStr">
        <is>
          <t>SC-1</t>
        </is>
      </c>
      <c r="F5145" s="12" t="inlineStr">
        <is>
          <t>SC-1: aeroderivative simple-cycle unit (LM6000 class)</t>
        </is>
      </c>
      <c r="G5145" s="12" t="inlineStr">
        <is>
          <t>JB-SC-1-TC02</t>
        </is>
      </c>
      <c r="H5145" s="12" t="inlineStr">
        <is>
          <t>SC-1: aeroderivative simple-cycle unit (LM6000 class)</t>
        </is>
      </c>
      <c r="I5145" s="12" t="inlineStr">
        <is>
          <t>Instrumentation</t>
        </is>
      </c>
      <c r="J5145" s="12" t="inlineStr">
        <is>
          <t>Thermocouple extension KX, #16 shielded pairs, PLTC</t>
        </is>
      </c>
      <c r="K5145" s="12" t="inlineStr">
        <is>
          <t>TCX|1 pr|16</t>
        </is>
      </c>
      <c r="L5145" s="12" t="inlineStr">
        <is>
          <t>1 pr</t>
        </is>
      </c>
      <c r="M5145" s="12" t="inlineStr">
        <is>
          <t>16</t>
        </is>
      </c>
      <c r="N5145" s="12" t="n">
        <v>20</v>
      </c>
      <c r="O5145" s="12" t="n">
        <v>1</v>
      </c>
      <c r="P5145" s="12" t="n"/>
      <c r="Q5145" s="12" t="n"/>
      <c r="R5145" s="12" t="n"/>
      <c r="S5145" s="12" t="inlineStr">
        <is>
          <t>Tray / conduit</t>
        </is>
      </c>
      <c r="T5145" s="17" t="n">
        <v>99</v>
      </c>
      <c r="U5145" s="17" t="n">
        <v>10</v>
      </c>
      <c r="V5145" s="17">
        <f>ROUNDUP((T5145+U5145+2*'Read Me'!$B$13)*(1+'Read Me'!$B$12),-1)</f>
        <v/>
      </c>
      <c r="W5145" s="17">
        <f>V5145*N5145*O5145</f>
        <v/>
      </c>
      <c r="X5145" s="12">
        <f>IF(LEFT(I5145,2)="MV",2*N5145*IF(L5145="1/C",O5145,1),0)</f>
        <v/>
      </c>
      <c r="Y5145" s="12">
        <f>IF(OR(LEFT(K5145,4)="LVAX",LEFT(K5145,6)="MV15AX",LEFT(K5145,4)="CTAX",LEFT(K5145,2)="W|"),2*N5145*O5145,0)</f>
        <v/>
      </c>
      <c r="Z5145" s="12" t="inlineStr">
        <is>
          <t>device-to-JB field wiring, one cable per device</t>
        </is>
      </c>
      <c r="AA5145" s="12">
        <f>N5145*O5145</f>
        <v/>
      </c>
    </row>
    <row r="5146">
      <c r="A5146" s="12" t="inlineStr">
        <is>
          <t>I-I-0536</t>
        </is>
      </c>
      <c r="B5146" s="12" t="inlineStr">
        <is>
          <t>I</t>
        </is>
      </c>
      <c r="C5146" s="12" t="inlineStr">
        <is>
          <t>Modular / portable power</t>
        </is>
      </c>
      <c r="D5146" s="12" t="inlineStr">
        <is>
          <t>Home run JB-SC-1-TC02 to the control / marshalling room</t>
        </is>
      </c>
      <c r="E5146" s="12" t="inlineStr"/>
      <c r="F5146" s="12" t="inlineStr">
        <is>
          <t>SC-1 PCM + 15 kV GCB</t>
        </is>
      </c>
      <c r="G5146" s="12" t="inlineStr">
        <is>
          <t>JB-SC-1-TC02</t>
        </is>
      </c>
      <c r="H5146" s="12" t="inlineStr">
        <is>
          <t>SC-1: aeroderivative simple-cycle unit (LM6000 class)</t>
        </is>
      </c>
      <c r="I5146" s="12" t="inlineStr">
        <is>
          <t>Instrumentation</t>
        </is>
      </c>
      <c r="J5146" s="12" t="inlineStr">
        <is>
          <t>Thermocouple extension KX, #16 shielded pairs, PLTC</t>
        </is>
      </c>
      <c r="K5146" s="12" t="inlineStr">
        <is>
          <t>TCX|24 pr|16</t>
        </is>
      </c>
      <c r="L5146" s="12" t="inlineStr">
        <is>
          <t>24 pr</t>
        </is>
      </c>
      <c r="M5146" s="12" t="inlineStr">
        <is>
          <t>16</t>
        </is>
      </c>
      <c r="N5146" s="12" t="n">
        <v>1</v>
      </c>
      <c r="O5146" s="12" t="n">
        <v>1</v>
      </c>
      <c r="P5146" s="12" t="n"/>
      <c r="Q5146" s="12" t="n"/>
      <c r="R5146" s="12" t="n"/>
      <c r="S5146" s="12" t="inlineStr">
        <is>
          <t>Tray</t>
        </is>
      </c>
      <c r="T5146" s="17" t="n">
        <v>0</v>
      </c>
      <c r="U5146" s="17" t="n">
        <v>64</v>
      </c>
      <c r="V5146" s="17">
        <f>ROUNDUP((T5146+U5146+2*'Read Me'!$B$13)*(1+'Read Me'!$B$12),-1)</f>
        <v/>
      </c>
      <c r="W5146" s="17">
        <f>V5146*N5146*O5146</f>
        <v/>
      </c>
      <c r="X5146" s="12">
        <f>IF(LEFT(I5146,2)="MV",2*N5146*IF(L5146="1/C",O5146,1),0)</f>
        <v/>
      </c>
      <c r="Y5146" s="12">
        <f>IF(OR(LEFT(K5146,4)="LVAX",LEFT(K5146,6)="MV15AX",LEFT(K5146,4)="CTAX",LEFT(K5146,2)="W|"),2*N5146*O5146,0)</f>
        <v/>
      </c>
      <c r="Z5146" s="12" t="inlineStr"/>
      <c r="AA5146" s="12">
        <f>N5146*O5146</f>
        <v/>
      </c>
    </row>
    <row r="5147">
      <c r="A5147" s="12" t="inlineStr">
        <is>
          <t>I-I-0537</t>
        </is>
      </c>
      <c r="B5147" s="12" t="inlineStr">
        <is>
          <t>I</t>
        </is>
      </c>
      <c r="C5147" s="12" t="inlineStr">
        <is>
          <t>Modular / portable power</t>
        </is>
      </c>
      <c r="D5147" s="12" t="inlineStr">
        <is>
          <t>Analog instrument to JB JB-SC-2 CEMS shelter-AI01: 12 x 1 pr (field cables)</t>
        </is>
      </c>
      <c r="E5147" s="12" t="inlineStr"/>
      <c r="F5147" s="12" t="inlineStr">
        <is>
          <t>SC-2 CEMS shelter</t>
        </is>
      </c>
      <c r="G5147" s="12" t="inlineStr">
        <is>
          <t>JB-SC-2 CEMS shelter-AI01</t>
        </is>
      </c>
      <c r="H5147" s="12" t="inlineStr">
        <is>
          <t>SC-2 CEMS shelter</t>
        </is>
      </c>
      <c r="I5147" s="12" t="inlineStr">
        <is>
          <t>Instrumentation</t>
        </is>
      </c>
      <c r="J5147" s="12" t="inlineStr">
        <is>
          <t>Instrumentation PLTC / TC-ER 300 V, #18 twisted shielded pairs, overall shield</t>
        </is>
      </c>
      <c r="K5147" s="12" t="inlineStr">
        <is>
          <t>PLTC|1 pr|16</t>
        </is>
      </c>
      <c r="L5147" s="12" t="inlineStr">
        <is>
          <t>1 pr</t>
        </is>
      </c>
      <c r="M5147" s="12" t="inlineStr">
        <is>
          <t>16</t>
        </is>
      </c>
      <c r="N5147" s="12" t="n">
        <v>12</v>
      </c>
      <c r="O5147" s="12" t="n">
        <v>1</v>
      </c>
      <c r="P5147" s="12" t="n"/>
      <c r="Q5147" s="12" t="n"/>
      <c r="R5147" s="12" t="n"/>
      <c r="S5147" s="12" t="inlineStr">
        <is>
          <t>Tray / conduit</t>
        </is>
      </c>
      <c r="T5147" s="17" t="n">
        <v>57</v>
      </c>
      <c r="U5147" s="17" t="n">
        <v>10</v>
      </c>
      <c r="V5147" s="17">
        <f>ROUNDUP((T5147+U5147+2*'Read Me'!$B$13)*(1+'Read Me'!$B$12),-1)</f>
        <v/>
      </c>
      <c r="W5147" s="17">
        <f>V5147*N5147*O5147</f>
        <v/>
      </c>
      <c r="X5147" s="12">
        <f>IF(LEFT(I5147,2)="MV",2*N5147*IF(L5147="1/C",O5147,1),0)</f>
        <v/>
      </c>
      <c r="Y5147" s="12">
        <f>IF(OR(LEFT(K5147,4)="LVAX",LEFT(K5147,6)="MV15AX",LEFT(K5147,4)="CTAX",LEFT(K5147,2)="W|"),2*N5147*O5147,0)</f>
        <v/>
      </c>
      <c r="Z5147" s="12" t="inlineStr">
        <is>
          <t>device-to-JB field wiring, one cable per device</t>
        </is>
      </c>
      <c r="AA5147" s="12">
        <f>N5147*O5147</f>
        <v/>
      </c>
    </row>
    <row r="5148">
      <c r="A5148" s="12" t="inlineStr">
        <is>
          <t>I-I-0538</t>
        </is>
      </c>
      <c r="B5148" s="12" t="inlineStr">
        <is>
          <t>I</t>
        </is>
      </c>
      <c r="C5148" s="12" t="inlineStr">
        <is>
          <t>Modular / portable power</t>
        </is>
      </c>
      <c r="D5148" s="12" t="inlineStr">
        <is>
          <t>Home run JB-SC-2 CEMS shelter-AI01 to the control / marshalling room</t>
        </is>
      </c>
      <c r="E5148" s="12" t="inlineStr"/>
      <c r="F5148" s="12" t="inlineStr">
        <is>
          <t>SC-2 PCM + 15 kV GCB</t>
        </is>
      </c>
      <c r="G5148" s="12" t="inlineStr">
        <is>
          <t>JB-SC-2 CEMS shelter-AI01</t>
        </is>
      </c>
      <c r="H5148" s="12" t="inlineStr">
        <is>
          <t>SC-2 CEMS shelter</t>
        </is>
      </c>
      <c r="I5148" s="12" t="inlineStr">
        <is>
          <t>Instrumentation</t>
        </is>
      </c>
      <c r="J5148" s="12" t="inlineStr">
        <is>
          <t>Instrumentation PLTC / TC-ER 300 V, #18 twisted shielded pairs, overall shield</t>
        </is>
      </c>
      <c r="K5148" s="12" t="inlineStr">
        <is>
          <t>PLTC|24 pr|18</t>
        </is>
      </c>
      <c r="L5148" s="12" t="inlineStr">
        <is>
          <t>24 pr</t>
        </is>
      </c>
      <c r="M5148" s="12" t="inlineStr">
        <is>
          <t>18</t>
        </is>
      </c>
      <c r="N5148" s="12" t="n">
        <v>1</v>
      </c>
      <c r="O5148" s="12" t="n">
        <v>1</v>
      </c>
      <c r="P5148" s="12" t="n"/>
      <c r="Q5148" s="12" t="n"/>
      <c r="R5148" s="12" t="n"/>
      <c r="S5148" s="12" t="inlineStr">
        <is>
          <t>Duct bank</t>
        </is>
      </c>
      <c r="T5148" s="17" t="n">
        <v>25</v>
      </c>
      <c r="U5148" s="17" t="n">
        <v>197</v>
      </c>
      <c r="V5148" s="17">
        <f>ROUNDUP((T5148+U5148+2*'Read Me'!$B$13)*(1+'Read Me'!$B$12),-1)</f>
        <v/>
      </c>
      <c r="W5148" s="17">
        <f>V5148*N5148*O5148</f>
        <v/>
      </c>
      <c r="X5148" s="12">
        <f>IF(LEFT(I5148,2)="MV",2*N5148*IF(L5148="1/C",O5148,1),0)</f>
        <v/>
      </c>
      <c r="Y5148" s="12">
        <f>IF(OR(LEFT(K5148,4)="LVAX",LEFT(K5148,6)="MV15AX",LEFT(K5148,4)="CTAX",LEFT(K5148,2)="W|"),2*N5148*O5148,0)</f>
        <v/>
      </c>
      <c r="Z5148" s="12" t="inlineStr"/>
      <c r="AA5148" s="12">
        <f>N5148*O5148</f>
        <v/>
      </c>
    </row>
    <row r="5149">
      <c r="A5149" s="12" t="inlineStr">
        <is>
          <t>I-I-0539</t>
        </is>
      </c>
      <c r="B5149" s="12" t="inlineStr">
        <is>
          <t>I</t>
        </is>
      </c>
      <c r="C5149" s="12" t="inlineStr">
        <is>
          <t>Modular / portable power</t>
        </is>
      </c>
      <c r="D5149" s="12" t="inlineStr">
        <is>
          <t>Discrete device to JB JB-SC-2 CEMS shelter-DI01: 10 x 1 pr (field cables)</t>
        </is>
      </c>
      <c r="E5149" s="12" t="inlineStr"/>
      <c r="F5149" s="12" t="inlineStr">
        <is>
          <t>SC-2 CEMS shelter</t>
        </is>
      </c>
      <c r="G5149" s="12" t="inlineStr">
        <is>
          <t>JB-SC-2 CEMS shelter-DI01</t>
        </is>
      </c>
      <c r="H5149" s="12" t="inlineStr">
        <is>
          <t>SC-2 CEMS shelter</t>
        </is>
      </c>
      <c r="I5149" s="12" t="inlineStr">
        <is>
          <t>Instrumentation</t>
        </is>
      </c>
      <c r="J5149" s="12" t="inlineStr">
        <is>
          <t>Instrumentation PLTC / TC-ER 300 V, #18 twisted shielded pairs, overall shield</t>
        </is>
      </c>
      <c r="K5149" s="12" t="inlineStr">
        <is>
          <t>PLTC|1 pr|16</t>
        </is>
      </c>
      <c r="L5149" s="12" t="inlineStr">
        <is>
          <t>1 pr</t>
        </is>
      </c>
      <c r="M5149" s="12" t="inlineStr">
        <is>
          <t>16</t>
        </is>
      </c>
      <c r="N5149" s="12" t="n">
        <v>10</v>
      </c>
      <c r="O5149" s="12" t="n">
        <v>1</v>
      </c>
      <c r="P5149" s="12" t="n"/>
      <c r="Q5149" s="12" t="n"/>
      <c r="R5149" s="12" t="n"/>
      <c r="S5149" s="12" t="inlineStr">
        <is>
          <t>Tray / conduit</t>
        </is>
      </c>
      <c r="T5149" s="17" t="n">
        <v>57</v>
      </c>
      <c r="U5149" s="17" t="n">
        <v>10</v>
      </c>
      <c r="V5149" s="17">
        <f>ROUNDUP((T5149+U5149+2*'Read Me'!$B$13)*(1+'Read Me'!$B$12),-1)</f>
        <v/>
      </c>
      <c r="W5149" s="17">
        <f>V5149*N5149*O5149</f>
        <v/>
      </c>
      <c r="X5149" s="12">
        <f>IF(LEFT(I5149,2)="MV",2*N5149*IF(L5149="1/C",O5149,1),0)</f>
        <v/>
      </c>
      <c r="Y5149" s="12">
        <f>IF(OR(LEFT(K5149,4)="LVAX",LEFT(K5149,6)="MV15AX",LEFT(K5149,4)="CTAX",LEFT(K5149,2)="W|"),2*N5149*O5149,0)</f>
        <v/>
      </c>
      <c r="Z5149" s="12" t="inlineStr">
        <is>
          <t>device-to-JB field wiring, one cable per device</t>
        </is>
      </c>
      <c r="AA5149" s="12">
        <f>N5149*O5149</f>
        <v/>
      </c>
    </row>
    <row r="5150">
      <c r="A5150" s="12" t="inlineStr">
        <is>
          <t>I-I-0540</t>
        </is>
      </c>
      <c r="B5150" s="12" t="inlineStr">
        <is>
          <t>I</t>
        </is>
      </c>
      <c r="C5150" s="12" t="inlineStr">
        <is>
          <t>Modular / portable power</t>
        </is>
      </c>
      <c r="D5150" s="12" t="inlineStr">
        <is>
          <t>Home run JB-SC-2 CEMS shelter-DI01 to the control / marshalling room</t>
        </is>
      </c>
      <c r="E5150" s="12" t="inlineStr"/>
      <c r="F5150" s="12" t="inlineStr">
        <is>
          <t>SC-2 PCM + 15 kV GCB</t>
        </is>
      </c>
      <c r="G5150" s="12" t="inlineStr">
        <is>
          <t>JB-SC-2 CEMS shelter-DI01</t>
        </is>
      </c>
      <c r="H5150" s="12" t="inlineStr">
        <is>
          <t>SC-2 CEMS shelter</t>
        </is>
      </c>
      <c r="I5150" s="12" t="inlineStr">
        <is>
          <t>Instrumentation</t>
        </is>
      </c>
      <c r="J5150" s="12" t="inlineStr">
        <is>
          <t>Instrumentation PLTC / TC-ER 300 V, #18 twisted shielded pairs, overall shield</t>
        </is>
      </c>
      <c r="K5150" s="12" t="inlineStr">
        <is>
          <t>PLTC|24 pr|18</t>
        </is>
      </c>
      <c r="L5150" s="12" t="inlineStr">
        <is>
          <t>24 pr</t>
        </is>
      </c>
      <c r="M5150" s="12" t="inlineStr">
        <is>
          <t>18</t>
        </is>
      </c>
      <c r="N5150" s="12" t="n">
        <v>1</v>
      </c>
      <c r="O5150" s="12" t="n">
        <v>1</v>
      </c>
      <c r="P5150" s="12" t="n"/>
      <c r="Q5150" s="12" t="n"/>
      <c r="R5150" s="12" t="n"/>
      <c r="S5150" s="12" t="inlineStr">
        <is>
          <t>Duct bank</t>
        </is>
      </c>
      <c r="T5150" s="17" t="n">
        <v>25</v>
      </c>
      <c r="U5150" s="17" t="n">
        <v>197</v>
      </c>
      <c r="V5150" s="17">
        <f>ROUNDUP((T5150+U5150+2*'Read Me'!$B$13)*(1+'Read Me'!$B$12),-1)</f>
        <v/>
      </c>
      <c r="W5150" s="17">
        <f>V5150*N5150*O5150</f>
        <v/>
      </c>
      <c r="X5150" s="12">
        <f>IF(LEFT(I5150,2)="MV",2*N5150*IF(L5150="1/C",O5150,1),0)</f>
        <v/>
      </c>
      <c r="Y5150" s="12">
        <f>IF(OR(LEFT(K5150,4)="LVAX",LEFT(K5150,6)="MV15AX",LEFT(K5150,4)="CTAX",LEFT(K5150,2)="W|"),2*N5150*O5150,0)</f>
        <v/>
      </c>
      <c r="Z5150" s="12" t="inlineStr"/>
      <c r="AA5150" s="12">
        <f>N5150*O5150</f>
        <v/>
      </c>
    </row>
    <row r="5151">
      <c r="A5151" s="12" t="inlineStr">
        <is>
          <t>I-I-0541</t>
        </is>
      </c>
      <c r="B5151" s="12" t="inlineStr">
        <is>
          <t>I</t>
        </is>
      </c>
      <c r="C5151" s="12" t="inlineStr">
        <is>
          <t>Modular / portable power</t>
        </is>
      </c>
      <c r="D5151" s="12" t="inlineStr">
        <is>
          <t>Analog instrument to JB JB-SC-2 SCR / CO cata-AI01: 16 x 1 pr (field cables)</t>
        </is>
      </c>
      <c r="E5151" s="12" t="inlineStr"/>
      <c r="F5151" s="12" t="inlineStr">
        <is>
          <t>SC-2 SCR / CO catalyst</t>
        </is>
      </c>
      <c r="G5151" s="12" t="inlineStr">
        <is>
          <t>JB-SC-2 SCR / CO cata-AI01</t>
        </is>
      </c>
      <c r="H5151" s="12" t="inlineStr">
        <is>
          <t>SC-2 SCR / CO catalyst</t>
        </is>
      </c>
      <c r="I5151" s="12" t="inlineStr">
        <is>
          <t>Instrumentation</t>
        </is>
      </c>
      <c r="J5151" s="12" t="inlineStr">
        <is>
          <t>Instrumentation PLTC / TC-ER 300 V, #18 twisted shielded pairs, overall shield</t>
        </is>
      </c>
      <c r="K5151" s="12" t="inlineStr">
        <is>
          <t>PLTC|1 pr|16</t>
        </is>
      </c>
      <c r="L5151" s="12" t="inlineStr">
        <is>
          <t>1 pr</t>
        </is>
      </c>
      <c r="M5151" s="12" t="inlineStr">
        <is>
          <t>16</t>
        </is>
      </c>
      <c r="N5151" s="12" t="n">
        <v>16</v>
      </c>
      <c r="O5151" s="12" t="n">
        <v>1</v>
      </c>
      <c r="P5151" s="12" t="n"/>
      <c r="Q5151" s="12" t="n"/>
      <c r="R5151" s="12" t="n"/>
      <c r="S5151" s="12" t="inlineStr">
        <is>
          <t>Tray / conduit</t>
        </is>
      </c>
      <c r="T5151" s="17" t="n">
        <v>74</v>
      </c>
      <c r="U5151" s="17" t="n">
        <v>10</v>
      </c>
      <c r="V5151" s="17">
        <f>ROUNDUP((T5151+U5151+2*'Read Me'!$B$13)*(1+'Read Me'!$B$12),-1)</f>
        <v/>
      </c>
      <c r="W5151" s="17">
        <f>V5151*N5151*O5151</f>
        <v/>
      </c>
      <c r="X5151" s="12">
        <f>IF(LEFT(I5151,2)="MV",2*N5151*IF(L5151="1/C",O5151,1),0)</f>
        <v/>
      </c>
      <c r="Y5151" s="12">
        <f>IF(OR(LEFT(K5151,4)="LVAX",LEFT(K5151,6)="MV15AX",LEFT(K5151,4)="CTAX",LEFT(K5151,2)="W|"),2*N5151*O5151,0)</f>
        <v/>
      </c>
      <c r="Z5151" s="12" t="inlineStr">
        <is>
          <t>device-to-JB field wiring, one cable per device</t>
        </is>
      </c>
      <c r="AA5151" s="12">
        <f>N5151*O5151</f>
        <v/>
      </c>
    </row>
    <row r="5152">
      <c r="A5152" s="12" t="inlineStr">
        <is>
          <t>I-I-0542</t>
        </is>
      </c>
      <c r="B5152" s="12" t="inlineStr">
        <is>
          <t>I</t>
        </is>
      </c>
      <c r="C5152" s="12" t="inlineStr">
        <is>
          <t>Modular / portable power</t>
        </is>
      </c>
      <c r="D5152" s="12" t="inlineStr">
        <is>
          <t>Home run JB-SC-2 SCR / CO cata-AI01 to the control / marshalling room</t>
        </is>
      </c>
      <c r="E5152" s="12" t="inlineStr"/>
      <c r="F5152" s="12" t="inlineStr">
        <is>
          <t>SC-2 PCM + 15 kV GCB</t>
        </is>
      </c>
      <c r="G5152" s="12" t="inlineStr">
        <is>
          <t>JB-SC-2 SCR / CO cata-AI01</t>
        </is>
      </c>
      <c r="H5152" s="12" t="inlineStr">
        <is>
          <t>SC-2 SCR / CO catalyst</t>
        </is>
      </c>
      <c r="I5152" s="12" t="inlineStr">
        <is>
          <t>Instrumentation</t>
        </is>
      </c>
      <c r="J5152" s="12" t="inlineStr">
        <is>
          <t>Instrumentation PLTC / TC-ER 300 V, #18 twisted shielded pairs, overall shield</t>
        </is>
      </c>
      <c r="K5152" s="12" t="inlineStr">
        <is>
          <t>PLTC|24 pr|18</t>
        </is>
      </c>
      <c r="L5152" s="12" t="inlineStr">
        <is>
          <t>24 pr</t>
        </is>
      </c>
      <c r="M5152" s="12" t="inlineStr">
        <is>
          <t>18</t>
        </is>
      </c>
      <c r="N5152" s="12" t="n">
        <v>1</v>
      </c>
      <c r="O5152" s="12" t="n">
        <v>1</v>
      </c>
      <c r="P5152" s="12" t="n"/>
      <c r="Q5152" s="12" t="n"/>
      <c r="R5152" s="12" t="n"/>
      <c r="S5152" s="12" t="inlineStr">
        <is>
          <t>Duct bank</t>
        </is>
      </c>
      <c r="T5152" s="17" t="n">
        <v>25</v>
      </c>
      <c r="U5152" s="17" t="n">
        <v>122</v>
      </c>
      <c r="V5152" s="17">
        <f>ROUNDUP((T5152+U5152+2*'Read Me'!$B$13)*(1+'Read Me'!$B$12),-1)</f>
        <v/>
      </c>
      <c r="W5152" s="17">
        <f>V5152*N5152*O5152</f>
        <v/>
      </c>
      <c r="X5152" s="12">
        <f>IF(LEFT(I5152,2)="MV",2*N5152*IF(L5152="1/C",O5152,1),0)</f>
        <v/>
      </c>
      <c r="Y5152" s="12">
        <f>IF(OR(LEFT(K5152,4)="LVAX",LEFT(K5152,6)="MV15AX",LEFT(K5152,4)="CTAX",LEFT(K5152,2)="W|"),2*N5152*O5152,0)</f>
        <v/>
      </c>
      <c r="Z5152" s="12" t="inlineStr"/>
      <c r="AA5152" s="12">
        <f>N5152*O5152</f>
        <v/>
      </c>
    </row>
    <row r="5153">
      <c r="A5153" s="12" t="inlineStr">
        <is>
          <t>I-I-0543</t>
        </is>
      </c>
      <c r="B5153" s="12" t="inlineStr">
        <is>
          <t>I</t>
        </is>
      </c>
      <c r="C5153" s="12" t="inlineStr">
        <is>
          <t>Modular / portable power</t>
        </is>
      </c>
      <c r="D5153" s="12" t="inlineStr">
        <is>
          <t>Discrete device to JB JB-SC-2 SCR / CO cata-DI01: 8 x 1 pr (field cables)</t>
        </is>
      </c>
      <c r="E5153" s="12" t="inlineStr"/>
      <c r="F5153" s="12" t="inlineStr">
        <is>
          <t>SC-2 SCR / CO catalyst</t>
        </is>
      </c>
      <c r="G5153" s="12" t="inlineStr">
        <is>
          <t>JB-SC-2 SCR / CO cata-DI01</t>
        </is>
      </c>
      <c r="H5153" s="12" t="inlineStr">
        <is>
          <t>SC-2 SCR / CO catalyst</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8</v>
      </c>
      <c r="O5153" s="12" t="n">
        <v>1</v>
      </c>
      <c r="P5153" s="12" t="n"/>
      <c r="Q5153" s="12" t="n"/>
      <c r="R5153" s="12" t="n"/>
      <c r="S5153" s="12" t="inlineStr">
        <is>
          <t>Tray / conduit</t>
        </is>
      </c>
      <c r="T5153" s="17" t="n">
        <v>74</v>
      </c>
      <c r="U5153" s="17" t="n">
        <v>10</v>
      </c>
      <c r="V5153" s="17">
        <f>ROUNDUP((T5153+U5153+2*'Read Me'!$B$13)*(1+'Read Me'!$B$12),-1)</f>
        <v/>
      </c>
      <c r="W5153" s="17">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I-I-0544</t>
        </is>
      </c>
      <c r="B5154" s="12" t="inlineStr">
        <is>
          <t>I</t>
        </is>
      </c>
      <c r="C5154" s="12" t="inlineStr">
        <is>
          <t>Modular / portable power</t>
        </is>
      </c>
      <c r="D5154" s="12" t="inlineStr">
        <is>
          <t>Home run JB-SC-2 SCR / CO cata-DI01 to the control / marshalling room</t>
        </is>
      </c>
      <c r="E5154" s="12" t="inlineStr"/>
      <c r="F5154" s="12" t="inlineStr">
        <is>
          <t>SC-2 PCM + 15 kV GCB</t>
        </is>
      </c>
      <c r="G5154" s="12" t="inlineStr">
        <is>
          <t>JB-SC-2 SCR / CO cata-DI01</t>
        </is>
      </c>
      <c r="H5154" s="12" t="inlineStr">
        <is>
          <t>SC-2 SCR / CO catalyst</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7" t="n">
        <v>25</v>
      </c>
      <c r="U5154" s="17" t="n">
        <v>122</v>
      </c>
      <c r="V5154" s="17">
        <f>ROUNDUP((T5154+U5154+2*'Read Me'!$B$13)*(1+'Read Me'!$B$12),-1)</f>
        <v/>
      </c>
      <c r="W5154" s="17">
        <f>V5154*N5154*O5154</f>
        <v/>
      </c>
      <c r="X5154" s="12">
        <f>IF(LEFT(I5154,2)="MV",2*N5154*IF(L5154="1/C",O5154,1),0)</f>
        <v/>
      </c>
      <c r="Y5154" s="12">
        <f>IF(OR(LEFT(K5154,4)="LVAX",LEFT(K5154,6)="MV15AX",LEFT(K5154,4)="CTAX",LEFT(K5154,2)="W|"),2*N5154*O5154,0)</f>
        <v/>
      </c>
      <c r="Z5154" s="12" t="inlineStr"/>
      <c r="AA5154" s="12">
        <f>N5154*O5154</f>
        <v/>
      </c>
    </row>
    <row r="5155">
      <c r="A5155" s="12" t="inlineStr">
        <is>
          <t>I-I-0545</t>
        </is>
      </c>
      <c r="B5155" s="12" t="inlineStr">
        <is>
          <t>I</t>
        </is>
      </c>
      <c r="C5155" s="12" t="inlineStr">
        <is>
          <t>Modular / portable power</t>
        </is>
      </c>
      <c r="D5155" s="12" t="inlineStr">
        <is>
          <t>Analog instrument to JB JB-SC-2 ammonia flow--AI01: 8 x 1 pr (field cables)</t>
        </is>
      </c>
      <c r="E5155" s="12" t="inlineStr"/>
      <c r="F5155" s="12" t="inlineStr">
        <is>
          <t>SC-2 ammonia flow-control unit</t>
        </is>
      </c>
      <c r="G5155" s="12" t="inlineStr">
        <is>
          <t>JB-SC-2 ammonia flow--AI01</t>
        </is>
      </c>
      <c r="H5155" s="12" t="inlineStr">
        <is>
          <t>SC-2 ammonia flow-control unit</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8</v>
      </c>
      <c r="O5155" s="12" t="n">
        <v>1</v>
      </c>
      <c r="P5155" s="12" t="n"/>
      <c r="Q5155" s="12" t="n"/>
      <c r="R5155" s="12" t="n"/>
      <c r="S5155" s="12" t="inlineStr">
        <is>
          <t>Tray / conduit</t>
        </is>
      </c>
      <c r="T5155" s="17" t="n">
        <v>40</v>
      </c>
      <c r="U5155" s="17" t="n">
        <v>10</v>
      </c>
      <c r="V5155" s="17">
        <f>ROUNDUP((T5155+U5155+2*'Read Me'!$B$13)*(1+'Read Me'!$B$12),-1)</f>
        <v/>
      </c>
      <c r="W5155" s="17">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I-I-0546</t>
        </is>
      </c>
      <c r="B5156" s="12" t="inlineStr">
        <is>
          <t>I</t>
        </is>
      </c>
      <c r="C5156" s="12" t="inlineStr">
        <is>
          <t>Modular / portable power</t>
        </is>
      </c>
      <c r="D5156" s="12" t="inlineStr">
        <is>
          <t>Home run JB-SC-2 ammonia flow--AI01 to the control / marshalling room</t>
        </is>
      </c>
      <c r="E5156" s="12" t="inlineStr"/>
      <c r="F5156" s="12" t="inlineStr">
        <is>
          <t>SC-2 PCM + 15 kV GCB</t>
        </is>
      </c>
      <c r="G5156" s="12" t="inlineStr">
        <is>
          <t>JB-SC-2 ammonia flow--AI01</t>
        </is>
      </c>
      <c r="H5156" s="12" t="inlineStr">
        <is>
          <t>SC-2 ammonia flow-control unit</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Tray</t>
        </is>
      </c>
      <c r="T5156" s="17" t="n">
        <v>0</v>
      </c>
      <c r="U5156" s="17" t="n">
        <v>152</v>
      </c>
      <c r="V5156" s="17">
        <f>ROUNDUP((T5156+U5156+2*'Read Me'!$B$13)*(1+'Read Me'!$B$12),-1)</f>
        <v/>
      </c>
      <c r="W5156" s="17">
        <f>V5156*N5156*O5156</f>
        <v/>
      </c>
      <c r="X5156" s="12">
        <f>IF(LEFT(I5156,2)="MV",2*N5156*IF(L5156="1/C",O5156,1),0)</f>
        <v/>
      </c>
      <c r="Y5156" s="12">
        <f>IF(OR(LEFT(K5156,4)="LVAX",LEFT(K5156,6)="MV15AX",LEFT(K5156,4)="CTAX",LEFT(K5156,2)="W|"),2*N5156*O5156,0)</f>
        <v/>
      </c>
      <c r="Z5156" s="12" t="inlineStr"/>
      <c r="AA5156" s="12">
        <f>N5156*O5156</f>
        <v/>
      </c>
    </row>
    <row r="5157">
      <c r="A5157" s="12" t="inlineStr">
        <is>
          <t>I-I-0547</t>
        </is>
      </c>
      <c r="B5157" s="12" t="inlineStr">
        <is>
          <t>I</t>
        </is>
      </c>
      <c r="C5157" s="12" t="inlineStr">
        <is>
          <t>Modular / portable power</t>
        </is>
      </c>
      <c r="D5157" s="12" t="inlineStr">
        <is>
          <t>Discrete device to JB JB-SC-2 ammonia flow--DI01: 8 x 1 pr (field cables)</t>
        </is>
      </c>
      <c r="E5157" s="12" t="inlineStr"/>
      <c r="F5157" s="12" t="inlineStr">
        <is>
          <t>SC-2 ammonia flow-control unit</t>
        </is>
      </c>
      <c r="G5157" s="12" t="inlineStr">
        <is>
          <t>JB-SC-2 ammonia flow--DI01</t>
        </is>
      </c>
      <c r="H5157" s="12" t="inlineStr">
        <is>
          <t>SC-2 ammonia flow-control unit</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8</v>
      </c>
      <c r="O5157" s="12" t="n">
        <v>1</v>
      </c>
      <c r="P5157" s="12" t="n"/>
      <c r="Q5157" s="12" t="n"/>
      <c r="R5157" s="12" t="n"/>
      <c r="S5157" s="12" t="inlineStr">
        <is>
          <t>Tray / conduit</t>
        </is>
      </c>
      <c r="T5157" s="17" t="n">
        <v>40</v>
      </c>
      <c r="U5157" s="17" t="n">
        <v>10</v>
      </c>
      <c r="V5157" s="17">
        <f>ROUNDUP((T5157+U5157+2*'Read Me'!$B$13)*(1+'Read Me'!$B$12),-1)</f>
        <v/>
      </c>
      <c r="W5157" s="17">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I-I-0548</t>
        </is>
      </c>
      <c r="B5158" s="12" t="inlineStr">
        <is>
          <t>I</t>
        </is>
      </c>
      <c r="C5158" s="12" t="inlineStr">
        <is>
          <t>Modular / portable power</t>
        </is>
      </c>
      <c r="D5158" s="12" t="inlineStr">
        <is>
          <t>Home run JB-SC-2 ammonia flow--DI01 to the control / marshalling room</t>
        </is>
      </c>
      <c r="E5158" s="12" t="inlineStr"/>
      <c r="F5158" s="12" t="inlineStr">
        <is>
          <t>SC-2 PCM + 15 kV GCB</t>
        </is>
      </c>
      <c r="G5158" s="12" t="inlineStr">
        <is>
          <t>JB-SC-2 ammonia flow--DI01</t>
        </is>
      </c>
      <c r="H5158" s="12" t="inlineStr">
        <is>
          <t>SC-2 ammonia flow-control unit</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Tray</t>
        </is>
      </c>
      <c r="T5158" s="17" t="n">
        <v>0</v>
      </c>
      <c r="U5158" s="17" t="n">
        <v>152</v>
      </c>
      <c r="V5158" s="17">
        <f>ROUNDUP((T5158+U5158+2*'Read Me'!$B$13)*(1+'Read Me'!$B$12),-1)</f>
        <v/>
      </c>
      <c r="W5158" s="17">
        <f>V5158*N5158*O5158</f>
        <v/>
      </c>
      <c r="X5158" s="12">
        <f>IF(LEFT(I5158,2)="MV",2*N5158*IF(L5158="1/C",O5158,1),0)</f>
        <v/>
      </c>
      <c r="Y5158" s="12">
        <f>IF(OR(LEFT(K5158,4)="LVAX",LEFT(K5158,6)="MV15AX",LEFT(K5158,4)="CTAX",LEFT(K5158,2)="W|"),2*N5158*O5158,0)</f>
        <v/>
      </c>
      <c r="Z5158" s="12" t="inlineStr"/>
      <c r="AA5158" s="12">
        <f>N5158*O5158</f>
        <v/>
      </c>
    </row>
    <row r="5159">
      <c r="A5159" s="12" t="inlineStr">
        <is>
          <t>I-I-0549</t>
        </is>
      </c>
      <c r="B5159" s="12" t="inlineStr">
        <is>
          <t>I</t>
        </is>
      </c>
      <c r="C5159" s="12" t="inlineStr">
        <is>
          <t>Modular / portable power</t>
        </is>
      </c>
      <c r="D5159" s="12" t="inlineStr">
        <is>
          <t>Analog instrument to JB JB-SC-2 auxiliary ski-AI01: 14 x 1 pr (field cables)</t>
        </is>
      </c>
      <c r="E5159" s="12" t="inlineStr"/>
      <c r="F5159" s="12" t="inlineStr">
        <is>
          <t>SC-2 auxiliary skids: fuel-gas module, water-wash skid</t>
        </is>
      </c>
      <c r="G5159" s="12" t="inlineStr">
        <is>
          <t>JB-SC-2 auxiliary ski-AI01</t>
        </is>
      </c>
      <c r="H5159" s="12" t="inlineStr">
        <is>
          <t>SC-2 auxiliary skids: fuel-gas module, water-wash skid</t>
        </is>
      </c>
      <c r="I5159" s="12" t="inlineStr">
        <is>
          <t>Instrumentation</t>
        </is>
      </c>
      <c r="J5159" s="12" t="inlineStr">
        <is>
          <t>Instrumentation ITC / PLTC, IS, #18 shielded pairs, blue jacket</t>
        </is>
      </c>
      <c r="K5159" s="12" t="inlineStr">
        <is>
          <t>ITC|1 pr|16</t>
        </is>
      </c>
      <c r="L5159" s="12" t="inlineStr">
        <is>
          <t>1 pr</t>
        </is>
      </c>
      <c r="M5159" s="12" t="inlineStr">
        <is>
          <t>16</t>
        </is>
      </c>
      <c r="N5159" s="12" t="n">
        <v>14</v>
      </c>
      <c r="O5159" s="12" t="n">
        <v>1</v>
      </c>
      <c r="P5159" s="12" t="n"/>
      <c r="Q5159" s="12" t="n"/>
      <c r="R5159" s="12" t="n"/>
      <c r="S5159" s="12" t="inlineStr">
        <is>
          <t>Tray / conduit</t>
        </is>
      </c>
      <c r="T5159" s="17" t="n">
        <v>63</v>
      </c>
      <c r="U5159" s="17" t="n">
        <v>10</v>
      </c>
      <c r="V5159" s="17">
        <f>ROUNDUP((T5159+U5159+2*'Read Me'!$B$13)*(1+'Read Me'!$B$12),-1)</f>
        <v/>
      </c>
      <c r="W5159" s="17">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I-I-0550</t>
        </is>
      </c>
      <c r="B5160" s="12" t="inlineStr">
        <is>
          <t>I</t>
        </is>
      </c>
      <c r="C5160" s="12" t="inlineStr">
        <is>
          <t>Modular / portable power</t>
        </is>
      </c>
      <c r="D5160" s="12" t="inlineStr">
        <is>
          <t>Home run JB-SC-2 auxiliary ski-AI01 to the control / marshalling room</t>
        </is>
      </c>
      <c r="E5160" s="12" t="inlineStr"/>
      <c r="F5160" s="12" t="inlineStr">
        <is>
          <t>SC-2 PCM + 15 kV GCB</t>
        </is>
      </c>
      <c r="G5160" s="12" t="inlineStr">
        <is>
          <t>JB-SC-2 auxiliary ski-AI01</t>
        </is>
      </c>
      <c r="H5160" s="12" t="inlineStr">
        <is>
          <t>SC-2 auxiliary skids: fuel-gas module, water-wash skid</t>
        </is>
      </c>
      <c r="I5160" s="12" t="inlineStr">
        <is>
          <t>Instrumentation</t>
        </is>
      </c>
      <c r="J5160" s="12" t="inlineStr">
        <is>
          <t>Instrumentation ITC / PLTC, IS, #18 shielded pairs, blue jacket</t>
        </is>
      </c>
      <c r="K5160" s="12" t="inlineStr">
        <is>
          <t>ITC|24 pr|18</t>
        </is>
      </c>
      <c r="L5160" s="12" t="inlineStr">
        <is>
          <t>24 pr</t>
        </is>
      </c>
      <c r="M5160" s="12" t="inlineStr">
        <is>
          <t>18</t>
        </is>
      </c>
      <c r="N5160" s="12" t="n">
        <v>1</v>
      </c>
      <c r="O5160" s="12" t="n">
        <v>1</v>
      </c>
      <c r="P5160" s="12" t="n"/>
      <c r="Q5160" s="12" t="n"/>
      <c r="R5160" s="12" t="n"/>
      <c r="S5160" s="12" t="inlineStr">
        <is>
          <t>Tray</t>
        </is>
      </c>
      <c r="T5160" s="17" t="n">
        <v>0</v>
      </c>
      <c r="U5160" s="17" t="n">
        <v>77</v>
      </c>
      <c r="V5160" s="17">
        <f>ROUNDUP((T5160+U5160+2*'Read Me'!$B$13)*(1+'Read Me'!$B$12),-1)</f>
        <v/>
      </c>
      <c r="W5160" s="17">
        <f>V5160*N5160*O5160</f>
        <v/>
      </c>
      <c r="X5160" s="12">
        <f>IF(LEFT(I5160,2)="MV",2*N5160*IF(L5160="1/C",O5160,1),0)</f>
        <v/>
      </c>
      <c r="Y5160" s="12">
        <f>IF(OR(LEFT(K5160,4)="LVAX",LEFT(K5160,6)="MV15AX",LEFT(K5160,4)="CTAX",LEFT(K5160,2)="W|"),2*N5160*O5160,0)</f>
        <v/>
      </c>
      <c r="Z5160" s="12" t="inlineStr"/>
      <c r="AA5160" s="12">
        <f>N5160*O5160</f>
        <v/>
      </c>
    </row>
    <row r="5161">
      <c r="A5161" s="12" t="inlineStr">
        <is>
          <t>I-I-0551</t>
        </is>
      </c>
      <c r="B5161" s="12" t="inlineStr">
        <is>
          <t>I</t>
        </is>
      </c>
      <c r="C5161" s="12" t="inlineStr">
        <is>
          <t>Modular / portable power</t>
        </is>
      </c>
      <c r="D5161" s="12" t="inlineStr">
        <is>
          <t>Discrete device to JB JB-SC-2 auxiliary ski-DI01: 12 x 1 pr (field cables)</t>
        </is>
      </c>
      <c r="E5161" s="12" t="inlineStr"/>
      <c r="F5161" s="12" t="inlineStr">
        <is>
          <t>SC-2 auxiliary skids: fuel-gas module, water-wash skid</t>
        </is>
      </c>
      <c r="G5161" s="12" t="inlineStr">
        <is>
          <t>JB-SC-2 auxiliary ski-DI01</t>
        </is>
      </c>
      <c r="H5161" s="12" t="inlineStr">
        <is>
          <t>SC-2 auxiliary skids: fuel-gas module, water-wash skid</t>
        </is>
      </c>
      <c r="I5161" s="12" t="inlineStr">
        <is>
          <t>Instrumentation</t>
        </is>
      </c>
      <c r="J5161" s="12" t="inlineStr">
        <is>
          <t>Instrumentation ITC / PLTC, IS, #18 shielded pairs, blue jacket</t>
        </is>
      </c>
      <c r="K5161" s="12" t="inlineStr">
        <is>
          <t>ITC|1 pr|16</t>
        </is>
      </c>
      <c r="L5161" s="12" t="inlineStr">
        <is>
          <t>1 pr</t>
        </is>
      </c>
      <c r="M5161" s="12" t="inlineStr">
        <is>
          <t>16</t>
        </is>
      </c>
      <c r="N5161" s="12" t="n">
        <v>12</v>
      </c>
      <c r="O5161" s="12" t="n">
        <v>1</v>
      </c>
      <c r="P5161" s="12" t="n"/>
      <c r="Q5161" s="12" t="n"/>
      <c r="R5161" s="12" t="n"/>
      <c r="S5161" s="12" t="inlineStr">
        <is>
          <t>Tray / conduit</t>
        </is>
      </c>
      <c r="T5161" s="17" t="n">
        <v>63</v>
      </c>
      <c r="U5161" s="17" t="n">
        <v>10</v>
      </c>
      <c r="V5161" s="17">
        <f>ROUNDUP((T5161+U5161+2*'Read Me'!$B$13)*(1+'Read Me'!$B$12),-1)</f>
        <v/>
      </c>
      <c r="W5161" s="17">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I-I-0552</t>
        </is>
      </c>
      <c r="B5162" s="12" t="inlineStr">
        <is>
          <t>I</t>
        </is>
      </c>
      <c r="C5162" s="12" t="inlineStr">
        <is>
          <t>Modular / portable power</t>
        </is>
      </c>
      <c r="D5162" s="12" t="inlineStr">
        <is>
          <t>Home run JB-SC-2 auxiliary ski-DI01 to the control / marshalling room</t>
        </is>
      </c>
      <c r="E5162" s="12" t="inlineStr"/>
      <c r="F5162" s="12" t="inlineStr">
        <is>
          <t>SC-2 PCM + 15 kV GCB</t>
        </is>
      </c>
      <c r="G5162" s="12" t="inlineStr">
        <is>
          <t>JB-SC-2 auxiliary ski-DI01</t>
        </is>
      </c>
      <c r="H5162" s="12" t="inlineStr">
        <is>
          <t>SC-2 auxiliary skids: fuel-gas module, water-wash skid</t>
        </is>
      </c>
      <c r="I5162" s="12" t="inlineStr">
        <is>
          <t>Instrumentation</t>
        </is>
      </c>
      <c r="J5162" s="12" t="inlineStr">
        <is>
          <t>Instrumentation ITC / PLTC, IS, #18 shielded pairs, blue jacket</t>
        </is>
      </c>
      <c r="K5162" s="12" t="inlineStr">
        <is>
          <t>ITC|24 pr|18</t>
        </is>
      </c>
      <c r="L5162" s="12" t="inlineStr">
        <is>
          <t>24 pr</t>
        </is>
      </c>
      <c r="M5162" s="12" t="inlineStr">
        <is>
          <t>18</t>
        </is>
      </c>
      <c r="N5162" s="12" t="n">
        <v>1</v>
      </c>
      <c r="O5162" s="12" t="n">
        <v>1</v>
      </c>
      <c r="P5162" s="12" t="n"/>
      <c r="Q5162" s="12" t="n"/>
      <c r="R5162" s="12" t="n"/>
      <c r="S5162" s="12" t="inlineStr">
        <is>
          <t>Tray</t>
        </is>
      </c>
      <c r="T5162" s="17" t="n">
        <v>0</v>
      </c>
      <c r="U5162" s="17" t="n">
        <v>77</v>
      </c>
      <c r="V5162" s="17">
        <f>ROUNDUP((T5162+U5162+2*'Read Me'!$B$13)*(1+'Read Me'!$B$12),-1)</f>
        <v/>
      </c>
      <c r="W5162" s="17">
        <f>V5162*N5162*O5162</f>
        <v/>
      </c>
      <c r="X5162" s="12">
        <f>IF(LEFT(I5162,2)="MV",2*N5162*IF(L5162="1/C",O5162,1),0)</f>
        <v/>
      </c>
      <c r="Y5162" s="12">
        <f>IF(OR(LEFT(K5162,4)="LVAX",LEFT(K5162,6)="MV15AX",LEFT(K5162,4)="CTAX",LEFT(K5162,2)="W|"),2*N5162*O5162,0)</f>
        <v/>
      </c>
      <c r="Z5162" s="12" t="inlineStr"/>
      <c r="AA5162" s="12">
        <f>N5162*O5162</f>
        <v/>
      </c>
    </row>
    <row r="5163">
      <c r="A5163" s="12" t="inlineStr">
        <is>
          <t>I-I-0553</t>
        </is>
      </c>
      <c r="B5163" s="12" t="inlineStr">
        <is>
          <t>I</t>
        </is>
      </c>
      <c r="C5163" s="12" t="inlineStr">
        <is>
          <t>Modular / portable power</t>
        </is>
      </c>
      <c r="D5163" s="12" t="inlineStr">
        <is>
          <t>Analog instrument to JB JB-SC-2 lube-oil fin--AI01: 4 x 1 pr (field cables)</t>
        </is>
      </c>
      <c r="E5163" s="12" t="inlineStr"/>
      <c r="F5163" s="12" t="inlineStr">
        <is>
          <t>SC-2 lube-oil fin-fan cooler</t>
        </is>
      </c>
      <c r="G5163" s="12" t="inlineStr">
        <is>
          <t>JB-SC-2 lube-oil fin--AI01</t>
        </is>
      </c>
      <c r="H5163" s="12" t="inlineStr">
        <is>
          <t>SC-2 lube-oil fin-fan cooler</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4</v>
      </c>
      <c r="O5163" s="12" t="n">
        <v>1</v>
      </c>
      <c r="P5163" s="12" t="n"/>
      <c r="Q5163" s="12" t="n"/>
      <c r="R5163" s="12" t="n"/>
      <c r="S5163" s="12" t="inlineStr">
        <is>
          <t>Tray / conduit</t>
        </is>
      </c>
      <c r="T5163" s="17" t="n">
        <v>46</v>
      </c>
      <c r="U5163" s="17" t="n">
        <v>10</v>
      </c>
      <c r="V5163" s="17">
        <f>ROUNDUP((T5163+U5163+2*'Read Me'!$B$13)*(1+'Read Me'!$B$12),-1)</f>
        <v/>
      </c>
      <c r="W5163" s="17">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I-I-0554</t>
        </is>
      </c>
      <c r="B5164" s="12" t="inlineStr">
        <is>
          <t>I</t>
        </is>
      </c>
      <c r="C5164" s="12" t="inlineStr">
        <is>
          <t>Modular / portable power</t>
        </is>
      </c>
      <c r="D5164" s="12" t="inlineStr">
        <is>
          <t>Home run JB-SC-2 lube-oil fin--AI01 to the control / marshalling room</t>
        </is>
      </c>
      <c r="E5164" s="12" t="inlineStr"/>
      <c r="F5164" s="12" t="inlineStr">
        <is>
          <t>SC-2 PCM + 15 kV GCB</t>
        </is>
      </c>
      <c r="G5164" s="12" t="inlineStr">
        <is>
          <t>JB-SC-2 lube-oil fin--AI01</t>
        </is>
      </c>
      <c r="H5164" s="12" t="inlineStr">
        <is>
          <t>SC-2 lube-oil fin-fan cooler</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Tray</t>
        </is>
      </c>
      <c r="T5164" s="17" t="n">
        <v>0</v>
      </c>
      <c r="U5164" s="17" t="n">
        <v>82</v>
      </c>
      <c r="V5164" s="17">
        <f>ROUNDUP((T5164+U5164+2*'Read Me'!$B$13)*(1+'Read Me'!$B$12),-1)</f>
        <v/>
      </c>
      <c r="W5164" s="17">
        <f>V5164*N5164*O5164</f>
        <v/>
      </c>
      <c r="X5164" s="12">
        <f>IF(LEFT(I5164,2)="MV",2*N5164*IF(L5164="1/C",O5164,1),0)</f>
        <v/>
      </c>
      <c r="Y5164" s="12">
        <f>IF(OR(LEFT(K5164,4)="LVAX",LEFT(K5164,6)="MV15AX",LEFT(K5164,4)="CTAX",LEFT(K5164,2)="W|"),2*N5164*O5164,0)</f>
        <v/>
      </c>
      <c r="Z5164" s="12" t="inlineStr"/>
      <c r="AA5164" s="12">
        <f>N5164*O5164</f>
        <v/>
      </c>
    </row>
    <row r="5165">
      <c r="A5165" s="12" t="inlineStr">
        <is>
          <t>I-I-0555</t>
        </is>
      </c>
      <c r="B5165" s="12" t="inlineStr">
        <is>
          <t>I</t>
        </is>
      </c>
      <c r="C5165" s="12" t="inlineStr">
        <is>
          <t>Modular / portable power</t>
        </is>
      </c>
      <c r="D5165" s="12" t="inlineStr">
        <is>
          <t>Discrete device to JB JB-SC-2 lube-oil fin--DI01: 8 x 1 pr (field cables)</t>
        </is>
      </c>
      <c r="E5165" s="12" t="inlineStr"/>
      <c r="F5165" s="12" t="inlineStr">
        <is>
          <t>SC-2 lube-oil fin-fan cooler</t>
        </is>
      </c>
      <c r="G5165" s="12" t="inlineStr">
        <is>
          <t>JB-SC-2 lube-oil fin--DI01</t>
        </is>
      </c>
      <c r="H5165" s="12" t="inlineStr">
        <is>
          <t>SC-2 lube-oil fin-fan cooler</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8</v>
      </c>
      <c r="O5165" s="12" t="n">
        <v>1</v>
      </c>
      <c r="P5165" s="12" t="n"/>
      <c r="Q5165" s="12" t="n"/>
      <c r="R5165" s="12" t="n"/>
      <c r="S5165" s="12" t="inlineStr">
        <is>
          <t>Tray / conduit</t>
        </is>
      </c>
      <c r="T5165" s="17" t="n">
        <v>46</v>
      </c>
      <c r="U5165" s="17" t="n">
        <v>10</v>
      </c>
      <c r="V5165" s="17">
        <f>ROUNDUP((T5165+U5165+2*'Read Me'!$B$13)*(1+'Read Me'!$B$12),-1)</f>
        <v/>
      </c>
      <c r="W5165" s="17">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I-I-0556</t>
        </is>
      </c>
      <c r="B5166" s="12" t="inlineStr">
        <is>
          <t>I</t>
        </is>
      </c>
      <c r="C5166" s="12" t="inlineStr">
        <is>
          <t>Modular / portable power</t>
        </is>
      </c>
      <c r="D5166" s="12" t="inlineStr">
        <is>
          <t>Home run JB-SC-2 lube-oil fin--DI01 to the control / marshalling room</t>
        </is>
      </c>
      <c r="E5166" s="12" t="inlineStr"/>
      <c r="F5166" s="12" t="inlineStr">
        <is>
          <t>SC-2 PCM + 15 kV GCB</t>
        </is>
      </c>
      <c r="G5166" s="12" t="inlineStr">
        <is>
          <t>JB-SC-2 lube-oil fin--DI01</t>
        </is>
      </c>
      <c r="H5166" s="12" t="inlineStr">
        <is>
          <t>SC-2 lube-oil fin-fan cooler</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Tray</t>
        </is>
      </c>
      <c r="T5166" s="17" t="n">
        <v>0</v>
      </c>
      <c r="U5166" s="17" t="n">
        <v>82</v>
      </c>
      <c r="V5166" s="17">
        <f>ROUNDUP((T5166+U5166+2*'Read Me'!$B$13)*(1+'Read Me'!$B$12),-1)</f>
        <v/>
      </c>
      <c r="W5166" s="17">
        <f>V5166*N5166*O5166</f>
        <v/>
      </c>
      <c r="X5166" s="12">
        <f>IF(LEFT(I5166,2)="MV",2*N5166*IF(L5166="1/C",O5166,1),0)</f>
        <v/>
      </c>
      <c r="Y5166" s="12">
        <f>IF(OR(LEFT(K5166,4)="LVAX",LEFT(K5166,6)="MV15AX",LEFT(K5166,4)="CTAX",LEFT(K5166,2)="W|"),2*N5166*O5166,0)</f>
        <v/>
      </c>
      <c r="Z5166" s="12" t="inlineStr"/>
      <c r="AA5166" s="12">
        <f>N5166*O5166</f>
        <v/>
      </c>
    </row>
    <row r="5167">
      <c r="A5167" s="12" t="inlineStr">
        <is>
          <t>I-I-0557</t>
        </is>
      </c>
      <c r="B5167" s="12" t="inlineStr">
        <is>
          <t>I</t>
        </is>
      </c>
      <c r="C5167" s="12" t="inlineStr">
        <is>
          <t>Modular / portable power</t>
        </is>
      </c>
      <c r="D5167" s="12" t="inlineStr">
        <is>
          <t>Analog instrument to JB JB-SC-2 tempering-air-AI01: 8 x 1 pr (field cables)</t>
        </is>
      </c>
      <c r="E5167" s="12" t="inlineStr"/>
      <c r="F5167" s="12" t="inlineStr">
        <is>
          <t>SC-2 tempering-air fans (2 x 100 %)</t>
        </is>
      </c>
      <c r="G5167" s="12" t="inlineStr">
        <is>
          <t>JB-SC-2 tempering-air-AI01</t>
        </is>
      </c>
      <c r="H5167" s="12" t="inlineStr">
        <is>
          <t>SC-2 tempering-air fans (2 x 100 %)</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8</v>
      </c>
      <c r="O5167" s="12" t="n">
        <v>1</v>
      </c>
      <c r="P5167" s="12" t="n"/>
      <c r="Q5167" s="12" t="n"/>
      <c r="R5167" s="12" t="n"/>
      <c r="S5167" s="12" t="inlineStr">
        <is>
          <t>Tray / conduit</t>
        </is>
      </c>
      <c r="T5167" s="17" t="n">
        <v>53</v>
      </c>
      <c r="U5167" s="17" t="n">
        <v>10</v>
      </c>
      <c r="V5167" s="17">
        <f>ROUNDUP((T5167+U5167+2*'Read Me'!$B$13)*(1+'Read Me'!$B$12),-1)</f>
        <v/>
      </c>
      <c r="W5167" s="17">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I-I-0558</t>
        </is>
      </c>
      <c r="B5168" s="12" t="inlineStr">
        <is>
          <t>I</t>
        </is>
      </c>
      <c r="C5168" s="12" t="inlineStr">
        <is>
          <t>Modular / portable power</t>
        </is>
      </c>
      <c r="D5168" s="12" t="inlineStr">
        <is>
          <t>Home run JB-SC-2 tempering-air-AI01 to the control / marshalling room</t>
        </is>
      </c>
      <c r="E5168" s="12" t="inlineStr"/>
      <c r="F5168" s="12" t="inlineStr">
        <is>
          <t>SC-2 PCM + 15 kV GCB</t>
        </is>
      </c>
      <c r="G5168" s="12" t="inlineStr">
        <is>
          <t>JB-SC-2 tempering-air-AI01</t>
        </is>
      </c>
      <c r="H5168" s="12" t="inlineStr">
        <is>
          <t>SC-2 tempering-air fans (2 x 100 %)</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7" t="n">
        <v>25</v>
      </c>
      <c r="U5168" s="17" t="n">
        <v>124</v>
      </c>
      <c r="V5168" s="17">
        <f>ROUNDUP((T5168+U5168+2*'Read Me'!$B$13)*(1+'Read Me'!$B$12),-1)</f>
        <v/>
      </c>
      <c r="W5168" s="17">
        <f>V5168*N5168*O5168</f>
        <v/>
      </c>
      <c r="X5168" s="12">
        <f>IF(LEFT(I5168,2)="MV",2*N5168*IF(L5168="1/C",O5168,1),0)</f>
        <v/>
      </c>
      <c r="Y5168" s="12">
        <f>IF(OR(LEFT(K5168,4)="LVAX",LEFT(K5168,6)="MV15AX",LEFT(K5168,4)="CTAX",LEFT(K5168,2)="W|"),2*N5168*O5168,0)</f>
        <v/>
      </c>
      <c r="Z5168" s="12" t="inlineStr"/>
      <c r="AA5168" s="12">
        <f>N5168*O5168</f>
        <v/>
      </c>
    </row>
    <row r="5169">
      <c r="A5169" s="12" t="inlineStr">
        <is>
          <t>I-I-0559</t>
        </is>
      </c>
      <c r="B5169" s="12" t="inlineStr">
        <is>
          <t>I</t>
        </is>
      </c>
      <c r="C5169" s="12" t="inlineStr">
        <is>
          <t>Modular / portable power</t>
        </is>
      </c>
      <c r="D5169" s="12" t="inlineStr">
        <is>
          <t>Discrete device to JB JB-SC-2 tempering-air-DI01: 8 x 1 pr (field cables)</t>
        </is>
      </c>
      <c r="E5169" s="12" t="inlineStr"/>
      <c r="F5169" s="12" t="inlineStr">
        <is>
          <t>SC-2 tempering-air fans (2 x 100 %)</t>
        </is>
      </c>
      <c r="G5169" s="12" t="inlineStr">
        <is>
          <t>JB-SC-2 tempering-air-DI01</t>
        </is>
      </c>
      <c r="H5169" s="12" t="inlineStr">
        <is>
          <t>SC-2 tempering-air fans (2 x 100 %)</t>
        </is>
      </c>
      <c r="I5169" s="12" t="inlineStr">
        <is>
          <t>Instrumentation</t>
        </is>
      </c>
      <c r="J5169" s="12" t="inlineStr">
        <is>
          <t>Instrumentation PLTC / TC-ER 300 V, #18 twisted shielded pairs, overall shield</t>
        </is>
      </c>
      <c r="K5169" s="12" t="inlineStr">
        <is>
          <t>PLTC|1 pr|16</t>
        </is>
      </c>
      <c r="L5169" s="12" t="inlineStr">
        <is>
          <t>1 pr</t>
        </is>
      </c>
      <c r="M5169" s="12" t="inlineStr">
        <is>
          <t>16</t>
        </is>
      </c>
      <c r="N5169" s="12" t="n">
        <v>8</v>
      </c>
      <c r="O5169" s="12" t="n">
        <v>1</v>
      </c>
      <c r="P5169" s="12" t="n"/>
      <c r="Q5169" s="12" t="n"/>
      <c r="R5169" s="12" t="n"/>
      <c r="S5169" s="12" t="inlineStr">
        <is>
          <t>Tray / conduit</t>
        </is>
      </c>
      <c r="T5169" s="17" t="n">
        <v>53</v>
      </c>
      <c r="U5169" s="17" t="n">
        <v>10</v>
      </c>
      <c r="V5169" s="17">
        <f>ROUNDUP((T5169+U5169+2*'Read Me'!$B$13)*(1+'Read Me'!$B$12),-1)</f>
        <v/>
      </c>
      <c r="W5169" s="17">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I-I-0560</t>
        </is>
      </c>
      <c r="B5170" s="12" t="inlineStr">
        <is>
          <t>I</t>
        </is>
      </c>
      <c r="C5170" s="12" t="inlineStr">
        <is>
          <t>Modular / portable power</t>
        </is>
      </c>
      <c r="D5170" s="12" t="inlineStr">
        <is>
          <t>Home run JB-SC-2 tempering-air-DI01 to the control / marshalling room</t>
        </is>
      </c>
      <c r="E5170" s="12" t="inlineStr"/>
      <c r="F5170" s="12" t="inlineStr">
        <is>
          <t>SC-2 PCM + 15 kV GCB</t>
        </is>
      </c>
      <c r="G5170" s="12" t="inlineStr">
        <is>
          <t>JB-SC-2 tempering-air-DI01</t>
        </is>
      </c>
      <c r="H5170" s="12" t="inlineStr">
        <is>
          <t>SC-2 tempering-air fans (2 x 100 %)</t>
        </is>
      </c>
      <c r="I5170" s="12" t="inlineStr">
        <is>
          <t>Instrumentation</t>
        </is>
      </c>
      <c r="J5170" s="12" t="inlineStr">
        <is>
          <t>Instrumentation PLTC / TC-ER 300 V, #18 twisted shielded pairs, overall shield</t>
        </is>
      </c>
      <c r="K5170" s="12" t="inlineStr">
        <is>
          <t>PLTC|24 pr|18</t>
        </is>
      </c>
      <c r="L5170" s="12" t="inlineStr">
        <is>
          <t>24 pr</t>
        </is>
      </c>
      <c r="M5170" s="12" t="inlineStr">
        <is>
          <t>18</t>
        </is>
      </c>
      <c r="N5170" s="12" t="n">
        <v>1</v>
      </c>
      <c r="O5170" s="12" t="n">
        <v>1</v>
      </c>
      <c r="P5170" s="12" t="n"/>
      <c r="Q5170" s="12" t="n"/>
      <c r="R5170" s="12" t="n"/>
      <c r="S5170" s="12" t="inlineStr">
        <is>
          <t>Duct bank</t>
        </is>
      </c>
      <c r="T5170" s="17" t="n">
        <v>25</v>
      </c>
      <c r="U5170" s="17" t="n">
        <v>124</v>
      </c>
      <c r="V5170" s="17">
        <f>ROUNDUP((T5170+U5170+2*'Read Me'!$B$13)*(1+'Read Me'!$B$12),-1)</f>
        <v/>
      </c>
      <c r="W5170" s="17">
        <f>V5170*N5170*O5170</f>
        <v/>
      </c>
      <c r="X5170" s="12">
        <f>IF(LEFT(I5170,2)="MV",2*N5170*IF(L5170="1/C",O5170,1),0)</f>
        <v/>
      </c>
      <c r="Y5170" s="12">
        <f>IF(OR(LEFT(K5170,4)="LVAX",LEFT(K5170,6)="MV15AX",LEFT(K5170,4)="CTAX",LEFT(K5170,2)="W|"),2*N5170*O5170,0)</f>
        <v/>
      </c>
      <c r="Z5170" s="12" t="inlineStr"/>
      <c r="AA5170" s="12">
        <f>N5170*O5170</f>
        <v/>
      </c>
    </row>
    <row r="5171">
      <c r="A5171" s="12" t="inlineStr">
        <is>
          <t>I-I-0561</t>
        </is>
      </c>
      <c r="B5171" s="12" t="inlineStr">
        <is>
          <t>I</t>
        </is>
      </c>
      <c r="C5171" s="12" t="inlineStr">
        <is>
          <t>Modular / portable power</t>
        </is>
      </c>
      <c r="D5171" s="12" t="inlineStr">
        <is>
          <t>Analog instrument to JB JB-SC-2-AI01: 20 x 1 pr (field cables)</t>
        </is>
      </c>
      <c r="E5171" s="12" t="inlineStr">
        <is>
          <t>SC-2</t>
        </is>
      </c>
      <c r="F5171" s="12" t="inlineStr">
        <is>
          <t>SC-2: aeroderivative simple-cycle unit (LM6000 class)</t>
        </is>
      </c>
      <c r="G5171" s="12" t="inlineStr">
        <is>
          <t>JB-SC-2-AI01</t>
        </is>
      </c>
      <c r="H5171" s="12" t="inlineStr">
        <is>
          <t>SC-2: aeroderivative simple-cycle unit (LM6000 class)</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20</v>
      </c>
      <c r="O5171" s="12" t="n">
        <v>1</v>
      </c>
      <c r="P5171" s="12" t="n"/>
      <c r="Q5171" s="12" t="n"/>
      <c r="R5171" s="12" t="n"/>
      <c r="S5171" s="12" t="inlineStr">
        <is>
          <t>Tray / conduit</t>
        </is>
      </c>
      <c r="T5171" s="17" t="n">
        <v>99</v>
      </c>
      <c r="U5171" s="17" t="n">
        <v>10</v>
      </c>
      <c r="V5171" s="17">
        <f>ROUNDUP((T5171+U5171+2*'Read Me'!$B$13)*(1+'Read Me'!$B$12),-1)</f>
        <v/>
      </c>
      <c r="W5171" s="17">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I-I-0562</t>
        </is>
      </c>
      <c r="B5172" s="12" t="inlineStr">
        <is>
          <t>I</t>
        </is>
      </c>
      <c r="C5172" s="12" t="inlineStr">
        <is>
          <t>Modular / portable power</t>
        </is>
      </c>
      <c r="D5172" s="12" t="inlineStr">
        <is>
          <t>Home run JB-SC-2-AI01 to the control / marshalling room</t>
        </is>
      </c>
      <c r="E5172" s="12" t="inlineStr"/>
      <c r="F5172" s="12" t="inlineStr">
        <is>
          <t>SC-2 PCM + 15 kV GCB</t>
        </is>
      </c>
      <c r="G5172" s="12" t="inlineStr">
        <is>
          <t>JB-SC-2-AI01</t>
        </is>
      </c>
      <c r="H5172" s="12" t="inlineStr">
        <is>
          <t>SC-2: aeroderivative simple-cycle unit (LM6000 class)</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Duct bank</t>
        </is>
      </c>
      <c r="T5172" s="17" t="n">
        <v>25</v>
      </c>
      <c r="U5172" s="17" t="n">
        <v>32</v>
      </c>
      <c r="V5172" s="17">
        <f>ROUNDUP((T5172+U5172+2*'Read Me'!$B$13)*(1+'Read Me'!$B$12),-1)</f>
        <v/>
      </c>
      <c r="W5172" s="17">
        <f>V5172*N5172*O5172</f>
        <v/>
      </c>
      <c r="X5172" s="12">
        <f>IF(LEFT(I5172,2)="MV",2*N5172*IF(L5172="1/C",O5172,1),0)</f>
        <v/>
      </c>
      <c r="Y5172" s="12">
        <f>IF(OR(LEFT(K5172,4)="LVAX",LEFT(K5172,6)="MV15AX",LEFT(K5172,4)="CTAX",LEFT(K5172,2)="W|"),2*N5172*O5172,0)</f>
        <v/>
      </c>
      <c r="Z5172" s="12" t="inlineStr"/>
      <c r="AA5172" s="12">
        <f>N5172*O5172</f>
        <v/>
      </c>
    </row>
    <row r="5173">
      <c r="A5173" s="12" t="inlineStr">
        <is>
          <t>I-I-0563</t>
        </is>
      </c>
      <c r="B5173" s="12" t="inlineStr">
        <is>
          <t>I</t>
        </is>
      </c>
      <c r="C5173" s="12" t="inlineStr">
        <is>
          <t>Modular / portable power</t>
        </is>
      </c>
      <c r="D5173" s="12" t="inlineStr">
        <is>
          <t>Analog instrument to JB JB-SC-2-AI02: 20 x 1 pr (field cables)</t>
        </is>
      </c>
      <c r="E5173" s="12" t="inlineStr">
        <is>
          <t>SC-2</t>
        </is>
      </c>
      <c r="F5173" s="12" t="inlineStr">
        <is>
          <t>SC-2: aeroderivative simple-cycle unit (LM6000 class)</t>
        </is>
      </c>
      <c r="G5173" s="12" t="inlineStr">
        <is>
          <t>JB-SC-2-AI02</t>
        </is>
      </c>
      <c r="H5173" s="12" t="inlineStr">
        <is>
          <t>SC-2: aeroderivative simple-cycle unit (LM6000 class)</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20</v>
      </c>
      <c r="O5173" s="12" t="n">
        <v>1</v>
      </c>
      <c r="P5173" s="12" t="n"/>
      <c r="Q5173" s="12" t="n"/>
      <c r="R5173" s="12" t="n"/>
      <c r="S5173" s="12" t="inlineStr">
        <is>
          <t>Tray / conduit</t>
        </is>
      </c>
      <c r="T5173" s="17" t="n">
        <v>99</v>
      </c>
      <c r="U5173" s="17" t="n">
        <v>10</v>
      </c>
      <c r="V5173" s="17">
        <f>ROUNDUP((T5173+U5173+2*'Read Me'!$B$13)*(1+'Read Me'!$B$12),-1)</f>
        <v/>
      </c>
      <c r="W5173" s="17">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I-I-0564</t>
        </is>
      </c>
      <c r="B5174" s="12" t="inlineStr">
        <is>
          <t>I</t>
        </is>
      </c>
      <c r="C5174" s="12" t="inlineStr">
        <is>
          <t>Modular / portable power</t>
        </is>
      </c>
      <c r="D5174" s="12" t="inlineStr">
        <is>
          <t>Home run JB-SC-2-AI02 to the control / marshalling room</t>
        </is>
      </c>
      <c r="E5174" s="12" t="inlineStr"/>
      <c r="F5174" s="12" t="inlineStr">
        <is>
          <t>SC-2 PCM + 15 kV GCB</t>
        </is>
      </c>
      <c r="G5174" s="12" t="inlineStr">
        <is>
          <t>JB-SC-2-AI02</t>
        </is>
      </c>
      <c r="H5174" s="12" t="inlineStr">
        <is>
          <t>SC-2: aeroderivative simple-cycle unit (LM6000 class)</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Duct bank</t>
        </is>
      </c>
      <c r="T5174" s="17" t="n">
        <v>25</v>
      </c>
      <c r="U5174" s="17" t="n">
        <v>32</v>
      </c>
      <c r="V5174" s="17">
        <f>ROUNDUP((T5174+U5174+2*'Read Me'!$B$13)*(1+'Read Me'!$B$12),-1)</f>
        <v/>
      </c>
      <c r="W5174" s="17">
        <f>V5174*N5174*O5174</f>
        <v/>
      </c>
      <c r="X5174" s="12">
        <f>IF(LEFT(I5174,2)="MV",2*N5174*IF(L5174="1/C",O5174,1),0)</f>
        <v/>
      </c>
      <c r="Y5174" s="12">
        <f>IF(OR(LEFT(K5174,4)="LVAX",LEFT(K5174,6)="MV15AX",LEFT(K5174,4)="CTAX",LEFT(K5174,2)="W|"),2*N5174*O5174,0)</f>
        <v/>
      </c>
      <c r="Z5174" s="12" t="inlineStr"/>
      <c r="AA5174" s="12">
        <f>N5174*O5174</f>
        <v/>
      </c>
    </row>
    <row r="5175">
      <c r="A5175" s="12" t="inlineStr">
        <is>
          <t>I-I-0565</t>
        </is>
      </c>
      <c r="B5175" s="12" t="inlineStr">
        <is>
          <t>I</t>
        </is>
      </c>
      <c r="C5175" s="12" t="inlineStr">
        <is>
          <t>Modular / portable power</t>
        </is>
      </c>
      <c r="D5175" s="12" t="inlineStr">
        <is>
          <t>Analog instrument to JB JB-SC-2-AI03: 20 x 1 pr (field cables)</t>
        </is>
      </c>
      <c r="E5175" s="12" t="inlineStr">
        <is>
          <t>SC-2</t>
        </is>
      </c>
      <c r="F5175" s="12" t="inlineStr">
        <is>
          <t>SC-2: aeroderivative simple-cycle unit (LM6000 class)</t>
        </is>
      </c>
      <c r="G5175" s="12" t="inlineStr">
        <is>
          <t>JB-SC-2-AI03</t>
        </is>
      </c>
      <c r="H5175" s="12" t="inlineStr">
        <is>
          <t>SC-2: aeroderivative simple-cycle unit (LM6000 class)</t>
        </is>
      </c>
      <c r="I5175" s="12" t="inlineStr">
        <is>
          <t>Instrumentation</t>
        </is>
      </c>
      <c r="J5175" s="12" t="inlineStr">
        <is>
          <t>Instrumentation PLTC / TC-ER 300 V, #18 twisted shielded pairs, overall shield</t>
        </is>
      </c>
      <c r="K5175" s="12" t="inlineStr">
        <is>
          <t>PLTC|1 pr|16</t>
        </is>
      </c>
      <c r="L5175" s="12" t="inlineStr">
        <is>
          <t>1 pr</t>
        </is>
      </c>
      <c r="M5175" s="12" t="inlineStr">
        <is>
          <t>16</t>
        </is>
      </c>
      <c r="N5175" s="12" t="n">
        <v>20</v>
      </c>
      <c r="O5175" s="12" t="n">
        <v>1</v>
      </c>
      <c r="P5175" s="12" t="n"/>
      <c r="Q5175" s="12" t="n"/>
      <c r="R5175" s="12" t="n"/>
      <c r="S5175" s="12" t="inlineStr">
        <is>
          <t>Tray / conduit</t>
        </is>
      </c>
      <c r="T5175" s="17" t="n">
        <v>99</v>
      </c>
      <c r="U5175" s="17" t="n">
        <v>10</v>
      </c>
      <c r="V5175" s="17">
        <f>ROUNDUP((T5175+U5175+2*'Read Me'!$B$13)*(1+'Read Me'!$B$12),-1)</f>
        <v/>
      </c>
      <c r="W5175" s="17">
        <f>V5175*N5175*O5175</f>
        <v/>
      </c>
      <c r="X5175" s="12">
        <f>IF(LEFT(I5175,2)="MV",2*N5175*IF(L5175="1/C",O5175,1),0)</f>
        <v/>
      </c>
      <c r="Y5175" s="12">
        <f>IF(OR(LEFT(K5175,4)="LVAX",LEFT(K5175,6)="MV15AX",LEFT(K5175,4)="CTAX",LEFT(K5175,2)="W|"),2*N5175*O5175,0)</f>
        <v/>
      </c>
      <c r="Z5175" s="12" t="inlineStr">
        <is>
          <t>device-to-JB field wiring, one cable per device</t>
        </is>
      </c>
      <c r="AA5175" s="12">
        <f>N5175*O5175</f>
        <v/>
      </c>
    </row>
    <row r="5176">
      <c r="A5176" s="12" t="inlineStr">
        <is>
          <t>I-I-0566</t>
        </is>
      </c>
      <c r="B5176" s="12" t="inlineStr">
        <is>
          <t>I</t>
        </is>
      </c>
      <c r="C5176" s="12" t="inlineStr">
        <is>
          <t>Modular / portable power</t>
        </is>
      </c>
      <c r="D5176" s="12" t="inlineStr">
        <is>
          <t>Home run JB-SC-2-AI03 to the control / marshalling room</t>
        </is>
      </c>
      <c r="E5176" s="12" t="inlineStr"/>
      <c r="F5176" s="12" t="inlineStr">
        <is>
          <t>SC-2 PCM + 15 kV GCB</t>
        </is>
      </c>
      <c r="G5176" s="12" t="inlineStr">
        <is>
          <t>JB-SC-2-AI03</t>
        </is>
      </c>
      <c r="H5176" s="12" t="inlineStr">
        <is>
          <t>SC-2: aeroderivative simple-cycle unit (LM6000 class)</t>
        </is>
      </c>
      <c r="I5176" s="12" t="inlineStr">
        <is>
          <t>Instrumentation</t>
        </is>
      </c>
      <c r="J5176" s="12" t="inlineStr">
        <is>
          <t>Instrumentation PLTC / TC-ER 300 V, #18 twisted shielded pairs, overall shield</t>
        </is>
      </c>
      <c r="K5176" s="12" t="inlineStr">
        <is>
          <t>PLTC|24 pr|18</t>
        </is>
      </c>
      <c r="L5176" s="12" t="inlineStr">
        <is>
          <t>24 pr</t>
        </is>
      </c>
      <c r="M5176" s="12" t="inlineStr">
        <is>
          <t>18</t>
        </is>
      </c>
      <c r="N5176" s="12" t="n">
        <v>1</v>
      </c>
      <c r="O5176" s="12" t="n">
        <v>1</v>
      </c>
      <c r="P5176" s="12" t="n"/>
      <c r="Q5176" s="12" t="n"/>
      <c r="R5176" s="12" t="n"/>
      <c r="S5176" s="12" t="inlineStr">
        <is>
          <t>Duct bank</t>
        </is>
      </c>
      <c r="T5176" s="17" t="n">
        <v>25</v>
      </c>
      <c r="U5176" s="17" t="n">
        <v>32</v>
      </c>
      <c r="V5176" s="17">
        <f>ROUNDUP((T5176+U5176+2*'Read Me'!$B$13)*(1+'Read Me'!$B$12),-1)</f>
        <v/>
      </c>
      <c r="W5176" s="17">
        <f>V5176*N5176*O5176</f>
        <v/>
      </c>
      <c r="X5176" s="12">
        <f>IF(LEFT(I5176,2)="MV",2*N5176*IF(L5176="1/C",O5176,1),0)</f>
        <v/>
      </c>
      <c r="Y5176" s="12">
        <f>IF(OR(LEFT(K5176,4)="LVAX",LEFT(K5176,6)="MV15AX",LEFT(K5176,4)="CTAX",LEFT(K5176,2)="W|"),2*N5176*O5176,0)</f>
        <v/>
      </c>
      <c r="Z5176" s="12" t="inlineStr"/>
      <c r="AA5176" s="12">
        <f>N5176*O5176</f>
        <v/>
      </c>
    </row>
    <row r="5177">
      <c r="A5177" s="12" t="inlineStr">
        <is>
          <t>I-I-0567</t>
        </is>
      </c>
      <c r="B5177" s="12" t="inlineStr">
        <is>
          <t>I</t>
        </is>
      </c>
      <c r="C5177" s="12" t="inlineStr">
        <is>
          <t>Modular / portable power</t>
        </is>
      </c>
      <c r="D5177" s="12" t="inlineStr">
        <is>
          <t>Analog instrument to JB JB-SC-2-AI04: 20 x 1 pr (field cables)</t>
        </is>
      </c>
      <c r="E5177" s="12" t="inlineStr">
        <is>
          <t>SC-2</t>
        </is>
      </c>
      <c r="F5177" s="12" t="inlineStr">
        <is>
          <t>SC-2: aeroderivative simple-cycle unit (LM6000 class)</t>
        </is>
      </c>
      <c r="G5177" s="12" t="inlineStr">
        <is>
          <t>JB-SC-2-AI04</t>
        </is>
      </c>
      <c r="H5177" s="12" t="inlineStr">
        <is>
          <t>SC-2: aeroderivative simple-cycle unit (LM6000 class)</t>
        </is>
      </c>
      <c r="I5177" s="12" t="inlineStr">
        <is>
          <t>Instrumentation</t>
        </is>
      </c>
      <c r="J5177" s="12" t="inlineStr">
        <is>
          <t>Instrumentation PLTC / TC-ER 300 V, #18 twisted shielded pairs, overall shield</t>
        </is>
      </c>
      <c r="K5177" s="12" t="inlineStr">
        <is>
          <t>PLTC|1 pr|16</t>
        </is>
      </c>
      <c r="L5177" s="12" t="inlineStr">
        <is>
          <t>1 pr</t>
        </is>
      </c>
      <c r="M5177" s="12" t="inlineStr">
        <is>
          <t>16</t>
        </is>
      </c>
      <c r="N5177" s="12" t="n">
        <v>20</v>
      </c>
      <c r="O5177" s="12" t="n">
        <v>1</v>
      </c>
      <c r="P5177" s="12" t="n"/>
      <c r="Q5177" s="12" t="n"/>
      <c r="R5177" s="12" t="n"/>
      <c r="S5177" s="12" t="inlineStr">
        <is>
          <t>Tray / conduit</t>
        </is>
      </c>
      <c r="T5177" s="17" t="n">
        <v>99</v>
      </c>
      <c r="U5177" s="17" t="n">
        <v>10</v>
      </c>
      <c r="V5177" s="17">
        <f>ROUNDUP((T5177+U5177+2*'Read Me'!$B$13)*(1+'Read Me'!$B$12),-1)</f>
        <v/>
      </c>
      <c r="W5177" s="17">
        <f>V5177*N5177*O5177</f>
        <v/>
      </c>
      <c r="X5177" s="12">
        <f>IF(LEFT(I5177,2)="MV",2*N5177*IF(L5177="1/C",O5177,1),0)</f>
        <v/>
      </c>
      <c r="Y5177" s="12">
        <f>IF(OR(LEFT(K5177,4)="LVAX",LEFT(K5177,6)="MV15AX",LEFT(K5177,4)="CTAX",LEFT(K5177,2)="W|"),2*N5177*O5177,0)</f>
        <v/>
      </c>
      <c r="Z5177" s="12" t="inlineStr">
        <is>
          <t>device-to-JB field wiring, one cable per device</t>
        </is>
      </c>
      <c r="AA5177" s="12">
        <f>N5177*O5177</f>
        <v/>
      </c>
    </row>
    <row r="5178">
      <c r="A5178" s="12" t="inlineStr">
        <is>
          <t>I-I-0568</t>
        </is>
      </c>
      <c r="B5178" s="12" t="inlineStr">
        <is>
          <t>I</t>
        </is>
      </c>
      <c r="C5178" s="12" t="inlineStr">
        <is>
          <t>Modular / portable power</t>
        </is>
      </c>
      <c r="D5178" s="12" t="inlineStr">
        <is>
          <t>Home run JB-SC-2-AI04 to the control / marshalling room</t>
        </is>
      </c>
      <c r="E5178" s="12" t="inlineStr"/>
      <c r="F5178" s="12" t="inlineStr">
        <is>
          <t>SC-2 PCM + 15 kV GCB</t>
        </is>
      </c>
      <c r="G5178" s="12" t="inlineStr">
        <is>
          <t>JB-SC-2-AI04</t>
        </is>
      </c>
      <c r="H5178" s="12" t="inlineStr">
        <is>
          <t>SC-2: aeroderivative simple-cycle unit (LM6000 class)</t>
        </is>
      </c>
      <c r="I5178" s="12" t="inlineStr">
        <is>
          <t>Instrumentation</t>
        </is>
      </c>
      <c r="J5178" s="12" t="inlineStr">
        <is>
          <t>Instrumentation PLTC / TC-ER 300 V, #18 twisted shielded pairs, overall shield</t>
        </is>
      </c>
      <c r="K5178" s="12" t="inlineStr">
        <is>
          <t>PLTC|24 pr|18</t>
        </is>
      </c>
      <c r="L5178" s="12" t="inlineStr">
        <is>
          <t>24 pr</t>
        </is>
      </c>
      <c r="M5178" s="12" t="inlineStr">
        <is>
          <t>18</t>
        </is>
      </c>
      <c r="N5178" s="12" t="n">
        <v>1</v>
      </c>
      <c r="O5178" s="12" t="n">
        <v>1</v>
      </c>
      <c r="P5178" s="12" t="n"/>
      <c r="Q5178" s="12" t="n"/>
      <c r="R5178" s="12" t="n"/>
      <c r="S5178" s="12" t="inlineStr">
        <is>
          <t>Duct bank</t>
        </is>
      </c>
      <c r="T5178" s="17" t="n">
        <v>25</v>
      </c>
      <c r="U5178" s="17" t="n">
        <v>32</v>
      </c>
      <c r="V5178" s="17">
        <f>ROUNDUP((T5178+U5178+2*'Read Me'!$B$13)*(1+'Read Me'!$B$12),-1)</f>
        <v/>
      </c>
      <c r="W5178" s="17">
        <f>V5178*N5178*O5178</f>
        <v/>
      </c>
      <c r="X5178" s="12">
        <f>IF(LEFT(I5178,2)="MV",2*N5178*IF(L5178="1/C",O5178,1),0)</f>
        <v/>
      </c>
      <c r="Y5178" s="12">
        <f>IF(OR(LEFT(K5178,4)="LVAX",LEFT(K5178,6)="MV15AX",LEFT(K5178,4)="CTAX",LEFT(K5178,2)="W|"),2*N5178*O5178,0)</f>
        <v/>
      </c>
      <c r="Z5178" s="12" t="inlineStr"/>
      <c r="AA5178" s="12">
        <f>N5178*O5178</f>
        <v/>
      </c>
    </row>
    <row r="5179">
      <c r="A5179" s="12" t="inlineStr">
        <is>
          <t>I-I-0569</t>
        </is>
      </c>
      <c r="B5179" s="12" t="inlineStr">
        <is>
          <t>I</t>
        </is>
      </c>
      <c r="C5179" s="12" t="inlineStr">
        <is>
          <t>Modular / portable power</t>
        </is>
      </c>
      <c r="D5179" s="12" t="inlineStr">
        <is>
          <t>Analog instrument to JB JB-SC-2-AI05: 20 x 1 pr (field cables)</t>
        </is>
      </c>
      <c r="E5179" s="12" t="inlineStr">
        <is>
          <t>SC-2</t>
        </is>
      </c>
      <c r="F5179" s="12" t="inlineStr">
        <is>
          <t>SC-2: aeroderivative simple-cycle unit (LM6000 class)</t>
        </is>
      </c>
      <c r="G5179" s="12" t="inlineStr">
        <is>
          <t>JB-SC-2-AI05</t>
        </is>
      </c>
      <c r="H5179" s="12" t="inlineStr">
        <is>
          <t>SC-2: aeroderivative simple-cycle unit (LM6000 class)</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20</v>
      </c>
      <c r="O5179" s="12" t="n">
        <v>1</v>
      </c>
      <c r="P5179" s="12" t="n"/>
      <c r="Q5179" s="12" t="n"/>
      <c r="R5179" s="12" t="n"/>
      <c r="S5179" s="12" t="inlineStr">
        <is>
          <t>Tray / conduit</t>
        </is>
      </c>
      <c r="T5179" s="17" t="n">
        <v>99</v>
      </c>
      <c r="U5179" s="17" t="n">
        <v>10</v>
      </c>
      <c r="V5179" s="17">
        <f>ROUNDUP((T5179+U5179+2*'Read Me'!$B$13)*(1+'Read Me'!$B$12),-1)</f>
        <v/>
      </c>
      <c r="W5179" s="17">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I-I-0570</t>
        </is>
      </c>
      <c r="B5180" s="12" t="inlineStr">
        <is>
          <t>I</t>
        </is>
      </c>
      <c r="C5180" s="12" t="inlineStr">
        <is>
          <t>Modular / portable power</t>
        </is>
      </c>
      <c r="D5180" s="12" t="inlineStr">
        <is>
          <t>Home run JB-SC-2-AI05 to the control / marshalling room</t>
        </is>
      </c>
      <c r="E5180" s="12" t="inlineStr"/>
      <c r="F5180" s="12" t="inlineStr">
        <is>
          <t>SC-2 PCM + 15 kV GCB</t>
        </is>
      </c>
      <c r="G5180" s="12" t="inlineStr">
        <is>
          <t>JB-SC-2-AI05</t>
        </is>
      </c>
      <c r="H5180" s="12" t="inlineStr">
        <is>
          <t>SC-2: aeroderivative simple-cycle unit (LM6000 class)</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7" t="n">
        <v>25</v>
      </c>
      <c r="U5180" s="17" t="n">
        <v>32</v>
      </c>
      <c r="V5180" s="17">
        <f>ROUNDUP((T5180+U5180+2*'Read Me'!$B$13)*(1+'Read Me'!$B$12),-1)</f>
        <v/>
      </c>
      <c r="W5180" s="17">
        <f>V5180*N5180*O5180</f>
        <v/>
      </c>
      <c r="X5180" s="12">
        <f>IF(LEFT(I5180,2)="MV",2*N5180*IF(L5180="1/C",O5180,1),0)</f>
        <v/>
      </c>
      <c r="Y5180" s="12">
        <f>IF(OR(LEFT(K5180,4)="LVAX",LEFT(K5180,6)="MV15AX",LEFT(K5180,4)="CTAX",LEFT(K5180,2)="W|"),2*N5180*O5180,0)</f>
        <v/>
      </c>
      <c r="Z5180" s="12" t="inlineStr"/>
      <c r="AA5180" s="12">
        <f>N5180*O5180</f>
        <v/>
      </c>
    </row>
    <row r="5181">
      <c r="A5181" s="12" t="inlineStr">
        <is>
          <t>I-I-0571</t>
        </is>
      </c>
      <c r="B5181" s="12" t="inlineStr">
        <is>
          <t>I</t>
        </is>
      </c>
      <c r="C5181" s="12" t="inlineStr">
        <is>
          <t>Modular / portable power</t>
        </is>
      </c>
      <c r="D5181" s="12" t="inlineStr">
        <is>
          <t>Analog instrument to JB JB-SC-2-AI06: 20 x 1 pr (field cables)</t>
        </is>
      </c>
      <c r="E5181" s="12" t="inlineStr">
        <is>
          <t>SC-2</t>
        </is>
      </c>
      <c r="F5181" s="12" t="inlineStr">
        <is>
          <t>SC-2: aeroderivative simple-cycle unit (LM6000 class)</t>
        </is>
      </c>
      <c r="G5181" s="12" t="inlineStr">
        <is>
          <t>JB-SC-2-AI06</t>
        </is>
      </c>
      <c r="H5181" s="12" t="inlineStr">
        <is>
          <t>SC-2: aeroderivative simple-cycle unit (LM6000 class)</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20</v>
      </c>
      <c r="O5181" s="12" t="n">
        <v>1</v>
      </c>
      <c r="P5181" s="12" t="n"/>
      <c r="Q5181" s="12" t="n"/>
      <c r="R5181" s="12" t="n"/>
      <c r="S5181" s="12" t="inlineStr">
        <is>
          <t>Tray / conduit</t>
        </is>
      </c>
      <c r="T5181" s="17" t="n">
        <v>99</v>
      </c>
      <c r="U5181" s="17" t="n">
        <v>10</v>
      </c>
      <c r="V5181" s="17">
        <f>ROUNDUP((T5181+U5181+2*'Read Me'!$B$13)*(1+'Read Me'!$B$12),-1)</f>
        <v/>
      </c>
      <c r="W5181" s="17">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I-I-0572</t>
        </is>
      </c>
      <c r="B5182" s="12" t="inlineStr">
        <is>
          <t>I</t>
        </is>
      </c>
      <c r="C5182" s="12" t="inlineStr">
        <is>
          <t>Modular / portable power</t>
        </is>
      </c>
      <c r="D5182" s="12" t="inlineStr">
        <is>
          <t>Home run JB-SC-2-AI06 to the control / marshalling room</t>
        </is>
      </c>
      <c r="E5182" s="12" t="inlineStr"/>
      <c r="F5182" s="12" t="inlineStr">
        <is>
          <t>SC-2 PCM + 15 kV GCB</t>
        </is>
      </c>
      <c r="G5182" s="12" t="inlineStr">
        <is>
          <t>JB-SC-2-AI06</t>
        </is>
      </c>
      <c r="H5182" s="12" t="inlineStr">
        <is>
          <t>SC-2: aeroderivative simple-cycle unit (LM6000 class)</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7" t="n">
        <v>25</v>
      </c>
      <c r="U5182" s="17" t="n">
        <v>32</v>
      </c>
      <c r="V5182" s="17">
        <f>ROUNDUP((T5182+U5182+2*'Read Me'!$B$13)*(1+'Read Me'!$B$12),-1)</f>
        <v/>
      </c>
      <c r="W5182" s="17">
        <f>V5182*N5182*O5182</f>
        <v/>
      </c>
      <c r="X5182" s="12">
        <f>IF(LEFT(I5182,2)="MV",2*N5182*IF(L5182="1/C",O5182,1),0)</f>
        <v/>
      </c>
      <c r="Y5182" s="12">
        <f>IF(OR(LEFT(K5182,4)="LVAX",LEFT(K5182,6)="MV15AX",LEFT(K5182,4)="CTAX",LEFT(K5182,2)="W|"),2*N5182*O5182,0)</f>
        <v/>
      </c>
      <c r="Z5182" s="12" t="inlineStr"/>
      <c r="AA5182" s="12">
        <f>N5182*O5182</f>
        <v/>
      </c>
    </row>
    <row r="5183">
      <c r="A5183" s="12" t="inlineStr">
        <is>
          <t>I-I-0573</t>
        </is>
      </c>
      <c r="B5183" s="12" t="inlineStr">
        <is>
          <t>I</t>
        </is>
      </c>
      <c r="C5183" s="12" t="inlineStr">
        <is>
          <t>Modular / portable power</t>
        </is>
      </c>
      <c r="D5183" s="12" t="inlineStr">
        <is>
          <t>Analog instrument to JB JB-SC-2-AI07: 20 x 1 pr (field cables)</t>
        </is>
      </c>
      <c r="E5183" s="12" t="inlineStr">
        <is>
          <t>SC-2</t>
        </is>
      </c>
      <c r="F5183" s="12" t="inlineStr">
        <is>
          <t>SC-2: aeroderivative simple-cycle unit (LM6000 class)</t>
        </is>
      </c>
      <c r="G5183" s="12" t="inlineStr">
        <is>
          <t>JB-SC-2-AI07</t>
        </is>
      </c>
      <c r="H5183" s="12" t="inlineStr">
        <is>
          <t>SC-2: aeroderivative simple-cycle unit (LM6000 class)</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20</v>
      </c>
      <c r="O5183" s="12" t="n">
        <v>1</v>
      </c>
      <c r="P5183" s="12" t="n"/>
      <c r="Q5183" s="12" t="n"/>
      <c r="R5183" s="12" t="n"/>
      <c r="S5183" s="12" t="inlineStr">
        <is>
          <t>Tray / conduit</t>
        </is>
      </c>
      <c r="T5183" s="17" t="n">
        <v>99</v>
      </c>
      <c r="U5183" s="17" t="n">
        <v>10</v>
      </c>
      <c r="V5183" s="17">
        <f>ROUNDUP((T5183+U5183+2*'Read Me'!$B$13)*(1+'Read Me'!$B$12),-1)</f>
        <v/>
      </c>
      <c r="W5183" s="17">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I-I-0574</t>
        </is>
      </c>
      <c r="B5184" s="12" t="inlineStr">
        <is>
          <t>I</t>
        </is>
      </c>
      <c r="C5184" s="12" t="inlineStr">
        <is>
          <t>Modular / portable power</t>
        </is>
      </c>
      <c r="D5184" s="12" t="inlineStr">
        <is>
          <t>Home run JB-SC-2-AI07 to the control / marshalling room</t>
        </is>
      </c>
      <c r="E5184" s="12" t="inlineStr"/>
      <c r="F5184" s="12" t="inlineStr">
        <is>
          <t>SC-2 PCM + 15 kV GCB</t>
        </is>
      </c>
      <c r="G5184" s="12" t="inlineStr">
        <is>
          <t>JB-SC-2-AI07</t>
        </is>
      </c>
      <c r="H5184" s="12" t="inlineStr">
        <is>
          <t>SC-2: aeroderivative simple-cycle unit (LM6000 class)</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7" t="n">
        <v>25</v>
      </c>
      <c r="U5184" s="17" t="n">
        <v>32</v>
      </c>
      <c r="V5184" s="17">
        <f>ROUNDUP((T5184+U5184+2*'Read Me'!$B$13)*(1+'Read Me'!$B$12),-1)</f>
        <v/>
      </c>
      <c r="W5184" s="17">
        <f>V5184*N5184*O5184</f>
        <v/>
      </c>
      <c r="X5184" s="12">
        <f>IF(LEFT(I5184,2)="MV",2*N5184*IF(L5184="1/C",O5184,1),0)</f>
        <v/>
      </c>
      <c r="Y5184" s="12">
        <f>IF(OR(LEFT(K5184,4)="LVAX",LEFT(K5184,6)="MV15AX",LEFT(K5184,4)="CTAX",LEFT(K5184,2)="W|"),2*N5184*O5184,0)</f>
        <v/>
      </c>
      <c r="Z5184" s="12" t="inlineStr"/>
      <c r="AA5184" s="12">
        <f>N5184*O5184</f>
        <v/>
      </c>
    </row>
    <row r="5185">
      <c r="A5185" s="12" t="inlineStr">
        <is>
          <t>I-I-0575</t>
        </is>
      </c>
      <c r="B5185" s="12" t="inlineStr">
        <is>
          <t>I</t>
        </is>
      </c>
      <c r="C5185" s="12" t="inlineStr">
        <is>
          <t>Modular / portable power</t>
        </is>
      </c>
      <c r="D5185" s="12" t="inlineStr">
        <is>
          <t>Analog instrument to JB JB-SC-2-AI08: 10 x 1 pr (field cables)</t>
        </is>
      </c>
      <c r="E5185" s="12" t="inlineStr">
        <is>
          <t>SC-2</t>
        </is>
      </c>
      <c r="F5185" s="12" t="inlineStr">
        <is>
          <t>SC-2: aeroderivative simple-cycle unit (LM6000 class)</t>
        </is>
      </c>
      <c r="G5185" s="12" t="inlineStr">
        <is>
          <t>JB-SC-2-AI08</t>
        </is>
      </c>
      <c r="H5185" s="12" t="inlineStr">
        <is>
          <t>SC-2: aeroderivative simple-cycle unit (LM6000 class)</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10</v>
      </c>
      <c r="O5185" s="12" t="n">
        <v>1</v>
      </c>
      <c r="P5185" s="12" t="n"/>
      <c r="Q5185" s="12" t="n"/>
      <c r="R5185" s="12" t="n"/>
      <c r="S5185" s="12" t="inlineStr">
        <is>
          <t>Tray / conduit</t>
        </is>
      </c>
      <c r="T5185" s="17" t="n">
        <v>99</v>
      </c>
      <c r="U5185" s="17" t="n">
        <v>10</v>
      </c>
      <c r="V5185" s="17">
        <f>ROUNDUP((T5185+U5185+2*'Read Me'!$B$13)*(1+'Read Me'!$B$12),-1)</f>
        <v/>
      </c>
      <c r="W5185" s="17">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I-I-0576</t>
        </is>
      </c>
      <c r="B5186" s="12" t="inlineStr">
        <is>
          <t>I</t>
        </is>
      </c>
      <c r="C5186" s="12" t="inlineStr">
        <is>
          <t>Modular / portable power</t>
        </is>
      </c>
      <c r="D5186" s="12" t="inlineStr">
        <is>
          <t>Home run JB-SC-2-AI08 to the control / marshalling room</t>
        </is>
      </c>
      <c r="E5186" s="12" t="inlineStr"/>
      <c r="F5186" s="12" t="inlineStr">
        <is>
          <t>SC-2 PCM + 15 kV GCB</t>
        </is>
      </c>
      <c r="G5186" s="12" t="inlineStr">
        <is>
          <t>JB-SC-2-AI08</t>
        </is>
      </c>
      <c r="H5186" s="12" t="inlineStr">
        <is>
          <t>SC-2: aeroderivative simple-cycle unit (LM6000 class)</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7" t="n">
        <v>25</v>
      </c>
      <c r="U5186" s="17" t="n">
        <v>32</v>
      </c>
      <c r="V5186" s="17">
        <f>ROUNDUP((T5186+U5186+2*'Read Me'!$B$13)*(1+'Read Me'!$B$12),-1)</f>
        <v/>
      </c>
      <c r="W5186" s="17">
        <f>V5186*N5186*O5186</f>
        <v/>
      </c>
      <c r="X5186" s="12">
        <f>IF(LEFT(I5186,2)="MV",2*N5186*IF(L5186="1/C",O5186,1),0)</f>
        <v/>
      </c>
      <c r="Y5186" s="12">
        <f>IF(OR(LEFT(K5186,4)="LVAX",LEFT(K5186,6)="MV15AX",LEFT(K5186,4)="CTAX",LEFT(K5186,2)="W|"),2*N5186*O5186,0)</f>
        <v/>
      </c>
      <c r="Z5186" s="12" t="inlineStr"/>
      <c r="AA5186" s="12">
        <f>N5186*O5186</f>
        <v/>
      </c>
    </row>
    <row r="5187">
      <c r="A5187" s="12" t="inlineStr">
        <is>
          <t>I-I-0577</t>
        </is>
      </c>
      <c r="B5187" s="12" t="inlineStr">
        <is>
          <t>I</t>
        </is>
      </c>
      <c r="C5187" s="12" t="inlineStr">
        <is>
          <t>Modular / portable power</t>
        </is>
      </c>
      <c r="D5187" s="12" t="inlineStr">
        <is>
          <t>Discrete device to JB JB-SC-2-DI01: 20 x 1 pr (field cables)</t>
        </is>
      </c>
      <c r="E5187" s="12" t="inlineStr">
        <is>
          <t>SC-2</t>
        </is>
      </c>
      <c r="F5187" s="12" t="inlineStr">
        <is>
          <t>SC-2: aeroderivative simple-cycle unit (LM6000 class)</t>
        </is>
      </c>
      <c r="G5187" s="12" t="inlineStr">
        <is>
          <t>JB-SC-2-DI01</t>
        </is>
      </c>
      <c r="H5187" s="12" t="inlineStr">
        <is>
          <t>SC-2: aeroderivative simple-cycle unit (LM6000 class)</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7" t="n">
        <v>99</v>
      </c>
      <c r="U5187" s="17" t="n">
        <v>10</v>
      </c>
      <c r="V5187" s="17">
        <f>ROUNDUP((T5187+U5187+2*'Read Me'!$B$13)*(1+'Read Me'!$B$12),-1)</f>
        <v/>
      </c>
      <c r="W5187" s="17">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I-I-0578</t>
        </is>
      </c>
      <c r="B5188" s="12" t="inlineStr">
        <is>
          <t>I</t>
        </is>
      </c>
      <c r="C5188" s="12" t="inlineStr">
        <is>
          <t>Modular / portable power</t>
        </is>
      </c>
      <c r="D5188" s="12" t="inlineStr">
        <is>
          <t>Home run JB-SC-2-DI01 to the control / marshalling room</t>
        </is>
      </c>
      <c r="E5188" s="12" t="inlineStr"/>
      <c r="F5188" s="12" t="inlineStr">
        <is>
          <t>SC-2 PCM + 15 kV GCB</t>
        </is>
      </c>
      <c r="G5188" s="12" t="inlineStr">
        <is>
          <t>JB-SC-2-DI01</t>
        </is>
      </c>
      <c r="H5188" s="12" t="inlineStr">
        <is>
          <t>SC-2: aeroderivative simple-cycle unit (LM6000 class)</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Duct bank</t>
        </is>
      </c>
      <c r="T5188" s="17" t="n">
        <v>25</v>
      </c>
      <c r="U5188" s="17" t="n">
        <v>32</v>
      </c>
      <c r="V5188" s="17">
        <f>ROUNDUP((T5188+U5188+2*'Read Me'!$B$13)*(1+'Read Me'!$B$12),-1)</f>
        <v/>
      </c>
      <c r="W5188" s="17">
        <f>V5188*N5188*O5188</f>
        <v/>
      </c>
      <c r="X5188" s="12">
        <f>IF(LEFT(I5188,2)="MV",2*N5188*IF(L5188="1/C",O5188,1),0)</f>
        <v/>
      </c>
      <c r="Y5188" s="12">
        <f>IF(OR(LEFT(K5188,4)="LVAX",LEFT(K5188,6)="MV15AX",LEFT(K5188,4)="CTAX",LEFT(K5188,2)="W|"),2*N5188*O5188,0)</f>
        <v/>
      </c>
      <c r="Z5188" s="12" t="inlineStr"/>
      <c r="AA5188" s="12">
        <f>N5188*O5188</f>
        <v/>
      </c>
    </row>
    <row r="5189">
      <c r="A5189" s="12" t="inlineStr">
        <is>
          <t>I-I-0579</t>
        </is>
      </c>
      <c r="B5189" s="12" t="inlineStr">
        <is>
          <t>I</t>
        </is>
      </c>
      <c r="C5189" s="12" t="inlineStr">
        <is>
          <t>Modular / portable power</t>
        </is>
      </c>
      <c r="D5189" s="12" t="inlineStr">
        <is>
          <t>Discrete device to JB JB-SC-2-DI02: 20 x 1 pr (field cables)</t>
        </is>
      </c>
      <c r="E5189" s="12" t="inlineStr">
        <is>
          <t>SC-2</t>
        </is>
      </c>
      <c r="F5189" s="12" t="inlineStr">
        <is>
          <t>SC-2: aeroderivative simple-cycle unit (LM6000 class)</t>
        </is>
      </c>
      <c r="G5189" s="12" t="inlineStr">
        <is>
          <t>JB-SC-2-DI02</t>
        </is>
      </c>
      <c r="H5189" s="12" t="inlineStr">
        <is>
          <t>SC-2: aeroderivative simple-cycle unit (LM6000 class)</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20</v>
      </c>
      <c r="O5189" s="12" t="n">
        <v>1</v>
      </c>
      <c r="P5189" s="12" t="n"/>
      <c r="Q5189" s="12" t="n"/>
      <c r="R5189" s="12" t="n"/>
      <c r="S5189" s="12" t="inlineStr">
        <is>
          <t>Tray / conduit</t>
        </is>
      </c>
      <c r="T5189" s="17" t="n">
        <v>99</v>
      </c>
      <c r="U5189" s="17" t="n">
        <v>10</v>
      </c>
      <c r="V5189" s="17">
        <f>ROUNDUP((T5189+U5189+2*'Read Me'!$B$13)*(1+'Read Me'!$B$12),-1)</f>
        <v/>
      </c>
      <c r="W5189" s="17">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I-I-0580</t>
        </is>
      </c>
      <c r="B5190" s="12" t="inlineStr">
        <is>
          <t>I</t>
        </is>
      </c>
      <c r="C5190" s="12" t="inlineStr">
        <is>
          <t>Modular / portable power</t>
        </is>
      </c>
      <c r="D5190" s="12" t="inlineStr">
        <is>
          <t>Home run JB-SC-2-DI02 to the control / marshalling room</t>
        </is>
      </c>
      <c r="E5190" s="12" t="inlineStr"/>
      <c r="F5190" s="12" t="inlineStr">
        <is>
          <t>SC-2 PCM + 15 kV GCB</t>
        </is>
      </c>
      <c r="G5190" s="12" t="inlineStr">
        <is>
          <t>JB-SC-2-DI02</t>
        </is>
      </c>
      <c r="H5190" s="12" t="inlineStr">
        <is>
          <t>SC-2: aeroderivative simple-cycle unit (LM6000 class)</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Duct bank</t>
        </is>
      </c>
      <c r="T5190" s="17" t="n">
        <v>25</v>
      </c>
      <c r="U5190" s="17" t="n">
        <v>32</v>
      </c>
      <c r="V5190" s="17">
        <f>ROUNDUP((T5190+U5190+2*'Read Me'!$B$13)*(1+'Read Me'!$B$12),-1)</f>
        <v/>
      </c>
      <c r="W5190" s="17">
        <f>V5190*N5190*O5190</f>
        <v/>
      </c>
      <c r="X5190" s="12">
        <f>IF(LEFT(I5190,2)="MV",2*N5190*IF(L5190="1/C",O5190,1),0)</f>
        <v/>
      </c>
      <c r="Y5190" s="12">
        <f>IF(OR(LEFT(K5190,4)="LVAX",LEFT(K5190,6)="MV15AX",LEFT(K5190,4)="CTAX",LEFT(K5190,2)="W|"),2*N5190*O5190,0)</f>
        <v/>
      </c>
      <c r="Z5190" s="12" t="inlineStr"/>
      <c r="AA5190" s="12">
        <f>N5190*O5190</f>
        <v/>
      </c>
    </row>
    <row r="5191">
      <c r="A5191" s="12" t="inlineStr">
        <is>
          <t>I-I-0581</t>
        </is>
      </c>
      <c r="B5191" s="12" t="inlineStr">
        <is>
          <t>I</t>
        </is>
      </c>
      <c r="C5191" s="12" t="inlineStr">
        <is>
          <t>Modular / portable power</t>
        </is>
      </c>
      <c r="D5191" s="12" t="inlineStr">
        <is>
          <t>Discrete device to JB JB-SC-2-DI03: 20 x 1 pr (field cables)</t>
        </is>
      </c>
      <c r="E5191" s="12" t="inlineStr">
        <is>
          <t>SC-2</t>
        </is>
      </c>
      <c r="F5191" s="12" t="inlineStr">
        <is>
          <t>SC-2: aeroderivative simple-cycle unit (LM6000 class)</t>
        </is>
      </c>
      <c r="G5191" s="12" t="inlineStr">
        <is>
          <t>JB-SC-2-DI03</t>
        </is>
      </c>
      <c r="H5191" s="12" t="inlineStr">
        <is>
          <t>SC-2: aeroderivative simple-cycle unit (LM6000 class)</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7" t="n">
        <v>99</v>
      </c>
      <c r="U5191" s="17" t="n">
        <v>10</v>
      </c>
      <c r="V5191" s="17">
        <f>ROUNDUP((T5191+U5191+2*'Read Me'!$B$13)*(1+'Read Me'!$B$12),-1)</f>
        <v/>
      </c>
      <c r="W5191" s="17">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I-I-0582</t>
        </is>
      </c>
      <c r="B5192" s="12" t="inlineStr">
        <is>
          <t>I</t>
        </is>
      </c>
      <c r="C5192" s="12" t="inlineStr">
        <is>
          <t>Modular / portable power</t>
        </is>
      </c>
      <c r="D5192" s="12" t="inlineStr">
        <is>
          <t>Home run JB-SC-2-DI03 to the control / marshalling room</t>
        </is>
      </c>
      <c r="E5192" s="12" t="inlineStr"/>
      <c r="F5192" s="12" t="inlineStr">
        <is>
          <t>SC-2 PCM + 15 kV GCB</t>
        </is>
      </c>
      <c r="G5192" s="12" t="inlineStr">
        <is>
          <t>JB-SC-2-DI03</t>
        </is>
      </c>
      <c r="H5192" s="12" t="inlineStr">
        <is>
          <t>SC-2: aeroderivative simple-cycle unit (LM6000 class)</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Duct bank</t>
        </is>
      </c>
      <c r="T5192" s="17" t="n">
        <v>25</v>
      </c>
      <c r="U5192" s="17" t="n">
        <v>32</v>
      </c>
      <c r="V5192" s="17">
        <f>ROUNDUP((T5192+U5192+2*'Read Me'!$B$13)*(1+'Read Me'!$B$12),-1)</f>
        <v/>
      </c>
      <c r="W5192" s="17">
        <f>V5192*N5192*O5192</f>
        <v/>
      </c>
      <c r="X5192" s="12">
        <f>IF(LEFT(I5192,2)="MV",2*N5192*IF(L5192="1/C",O5192,1),0)</f>
        <v/>
      </c>
      <c r="Y5192" s="12">
        <f>IF(OR(LEFT(K5192,4)="LVAX",LEFT(K5192,6)="MV15AX",LEFT(K5192,4)="CTAX",LEFT(K5192,2)="W|"),2*N5192*O5192,0)</f>
        <v/>
      </c>
      <c r="Z5192" s="12" t="inlineStr"/>
      <c r="AA5192" s="12">
        <f>N5192*O5192</f>
        <v/>
      </c>
    </row>
    <row r="5193">
      <c r="A5193" s="12" t="inlineStr">
        <is>
          <t>I-I-0583</t>
        </is>
      </c>
      <c r="B5193" s="12" t="inlineStr">
        <is>
          <t>I</t>
        </is>
      </c>
      <c r="C5193" s="12" t="inlineStr">
        <is>
          <t>Modular / portable power</t>
        </is>
      </c>
      <c r="D5193" s="12" t="inlineStr">
        <is>
          <t>Discrete device to JB JB-SC-2-DI04: 20 x 1 pr (field cables)</t>
        </is>
      </c>
      <c r="E5193" s="12" t="inlineStr">
        <is>
          <t>SC-2</t>
        </is>
      </c>
      <c r="F5193" s="12" t="inlineStr">
        <is>
          <t>SC-2: aeroderivative simple-cycle unit (LM6000 class)</t>
        </is>
      </c>
      <c r="G5193" s="12" t="inlineStr">
        <is>
          <t>JB-SC-2-DI04</t>
        </is>
      </c>
      <c r="H5193" s="12" t="inlineStr">
        <is>
          <t>SC-2: aeroderivative simple-cycle unit (LM6000 class)</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20</v>
      </c>
      <c r="O5193" s="12" t="n">
        <v>1</v>
      </c>
      <c r="P5193" s="12" t="n"/>
      <c r="Q5193" s="12" t="n"/>
      <c r="R5193" s="12" t="n"/>
      <c r="S5193" s="12" t="inlineStr">
        <is>
          <t>Tray / conduit</t>
        </is>
      </c>
      <c r="T5193" s="17" t="n">
        <v>99</v>
      </c>
      <c r="U5193" s="17" t="n">
        <v>10</v>
      </c>
      <c r="V5193" s="17">
        <f>ROUNDUP((T5193+U5193+2*'Read Me'!$B$13)*(1+'Read Me'!$B$12),-1)</f>
        <v/>
      </c>
      <c r="W5193" s="17">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I-I-0584</t>
        </is>
      </c>
      <c r="B5194" s="12" t="inlineStr">
        <is>
          <t>I</t>
        </is>
      </c>
      <c r="C5194" s="12" t="inlineStr">
        <is>
          <t>Modular / portable power</t>
        </is>
      </c>
      <c r="D5194" s="12" t="inlineStr">
        <is>
          <t>Home run JB-SC-2-DI04 to the control / marshalling room</t>
        </is>
      </c>
      <c r="E5194" s="12" t="inlineStr"/>
      <c r="F5194" s="12" t="inlineStr">
        <is>
          <t>SC-2 PCM + 15 kV GCB</t>
        </is>
      </c>
      <c r="G5194" s="12" t="inlineStr">
        <is>
          <t>JB-SC-2-DI04</t>
        </is>
      </c>
      <c r="H5194" s="12" t="inlineStr">
        <is>
          <t>SC-2: aeroderivative simple-cycle unit (LM6000 class)</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Duct bank</t>
        </is>
      </c>
      <c r="T5194" s="17" t="n">
        <v>25</v>
      </c>
      <c r="U5194" s="17" t="n">
        <v>32</v>
      </c>
      <c r="V5194" s="17">
        <f>ROUNDUP((T5194+U5194+2*'Read Me'!$B$13)*(1+'Read Me'!$B$12),-1)</f>
        <v/>
      </c>
      <c r="W5194" s="17">
        <f>V5194*N5194*O5194</f>
        <v/>
      </c>
      <c r="X5194" s="12">
        <f>IF(LEFT(I5194,2)="MV",2*N5194*IF(L5194="1/C",O5194,1),0)</f>
        <v/>
      </c>
      <c r="Y5194" s="12">
        <f>IF(OR(LEFT(K5194,4)="LVAX",LEFT(K5194,6)="MV15AX",LEFT(K5194,4)="CTAX",LEFT(K5194,2)="W|"),2*N5194*O5194,0)</f>
        <v/>
      </c>
      <c r="Z5194" s="12" t="inlineStr"/>
      <c r="AA5194" s="12">
        <f>N5194*O5194</f>
        <v/>
      </c>
    </row>
    <row r="5195">
      <c r="A5195" s="12" t="inlineStr">
        <is>
          <t>I-I-0585</t>
        </is>
      </c>
      <c r="B5195" s="12" t="inlineStr">
        <is>
          <t>I</t>
        </is>
      </c>
      <c r="C5195" s="12" t="inlineStr">
        <is>
          <t>Modular / portable power</t>
        </is>
      </c>
      <c r="D5195" s="12" t="inlineStr">
        <is>
          <t>Discrete device to JB JB-SC-2-DI05: 20 x 1 pr (field cables)</t>
        </is>
      </c>
      <c r="E5195" s="12" t="inlineStr">
        <is>
          <t>SC-2</t>
        </is>
      </c>
      <c r="F5195" s="12" t="inlineStr">
        <is>
          <t>SC-2: aeroderivative simple-cycle unit (LM6000 class)</t>
        </is>
      </c>
      <c r="G5195" s="12" t="inlineStr">
        <is>
          <t>JB-SC-2-DI05</t>
        </is>
      </c>
      <c r="H5195" s="12" t="inlineStr">
        <is>
          <t>SC-2: aeroderivative simple-cycle unit (LM6000 class)</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7" t="n">
        <v>99</v>
      </c>
      <c r="U5195" s="17" t="n">
        <v>10</v>
      </c>
      <c r="V5195" s="17">
        <f>ROUNDUP((T5195+U5195+2*'Read Me'!$B$13)*(1+'Read Me'!$B$12),-1)</f>
        <v/>
      </c>
      <c r="W5195" s="17">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I-I-0586</t>
        </is>
      </c>
      <c r="B5196" s="12" t="inlineStr">
        <is>
          <t>I</t>
        </is>
      </c>
      <c r="C5196" s="12" t="inlineStr">
        <is>
          <t>Modular / portable power</t>
        </is>
      </c>
      <c r="D5196" s="12" t="inlineStr">
        <is>
          <t>Home run JB-SC-2-DI05 to the control / marshalling room</t>
        </is>
      </c>
      <c r="E5196" s="12" t="inlineStr"/>
      <c r="F5196" s="12" t="inlineStr">
        <is>
          <t>SC-2 PCM + 15 kV GCB</t>
        </is>
      </c>
      <c r="G5196" s="12" t="inlineStr">
        <is>
          <t>JB-SC-2-DI05</t>
        </is>
      </c>
      <c r="H5196" s="12" t="inlineStr">
        <is>
          <t>SC-2: aeroderivative simple-cycle unit (LM6000 class)</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7" t="n">
        <v>25</v>
      </c>
      <c r="U5196" s="17" t="n">
        <v>32</v>
      </c>
      <c r="V5196" s="17">
        <f>ROUNDUP((T5196+U5196+2*'Read Me'!$B$13)*(1+'Read Me'!$B$12),-1)</f>
        <v/>
      </c>
      <c r="W5196" s="17">
        <f>V5196*N5196*O5196</f>
        <v/>
      </c>
      <c r="X5196" s="12">
        <f>IF(LEFT(I5196,2)="MV",2*N5196*IF(L5196="1/C",O5196,1),0)</f>
        <v/>
      </c>
      <c r="Y5196" s="12">
        <f>IF(OR(LEFT(K5196,4)="LVAX",LEFT(K5196,6)="MV15AX",LEFT(K5196,4)="CTAX",LEFT(K5196,2)="W|"),2*N5196*O5196,0)</f>
        <v/>
      </c>
      <c r="Z5196" s="12" t="inlineStr"/>
      <c r="AA5196" s="12">
        <f>N5196*O5196</f>
        <v/>
      </c>
    </row>
    <row r="5197">
      <c r="A5197" s="12" t="inlineStr">
        <is>
          <t>I-I-0587</t>
        </is>
      </c>
      <c r="B5197" s="12" t="inlineStr">
        <is>
          <t>I</t>
        </is>
      </c>
      <c r="C5197" s="12" t="inlineStr">
        <is>
          <t>Modular / portable power</t>
        </is>
      </c>
      <c r="D5197" s="12" t="inlineStr">
        <is>
          <t>Thermocouple to TC JB JB-SC-2-TC01: 20 x 1 pr (field cables)</t>
        </is>
      </c>
      <c r="E5197" s="12" t="inlineStr">
        <is>
          <t>SC-2</t>
        </is>
      </c>
      <c r="F5197" s="12" t="inlineStr">
        <is>
          <t>SC-2: aeroderivative simple-cycle unit (LM6000 class)</t>
        </is>
      </c>
      <c r="G5197" s="12" t="inlineStr">
        <is>
          <t>JB-SC-2-TC01</t>
        </is>
      </c>
      <c r="H5197" s="12" t="inlineStr">
        <is>
          <t>SC-2: aeroderivative simple-cycle unit (LM6000 class)</t>
        </is>
      </c>
      <c r="I5197" s="12" t="inlineStr">
        <is>
          <t>Instrumentation</t>
        </is>
      </c>
      <c r="J5197" s="12" t="inlineStr">
        <is>
          <t>Thermocouple extension KX, #16 shielded pairs, PLTC</t>
        </is>
      </c>
      <c r="K5197" s="12" t="inlineStr">
        <is>
          <t>TCX|1 pr|16</t>
        </is>
      </c>
      <c r="L5197" s="12" t="inlineStr">
        <is>
          <t>1 pr</t>
        </is>
      </c>
      <c r="M5197" s="12" t="inlineStr">
        <is>
          <t>16</t>
        </is>
      </c>
      <c r="N5197" s="12" t="n">
        <v>20</v>
      </c>
      <c r="O5197" s="12" t="n">
        <v>1</v>
      </c>
      <c r="P5197" s="12" t="n"/>
      <c r="Q5197" s="12" t="n"/>
      <c r="R5197" s="12" t="n"/>
      <c r="S5197" s="12" t="inlineStr">
        <is>
          <t>Tray / conduit</t>
        </is>
      </c>
      <c r="T5197" s="17" t="n">
        <v>99</v>
      </c>
      <c r="U5197" s="17" t="n">
        <v>10</v>
      </c>
      <c r="V5197" s="17">
        <f>ROUNDUP((T5197+U5197+2*'Read Me'!$B$13)*(1+'Read Me'!$B$12),-1)</f>
        <v/>
      </c>
      <c r="W5197" s="17">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I-I-0588</t>
        </is>
      </c>
      <c r="B5198" s="12" t="inlineStr">
        <is>
          <t>I</t>
        </is>
      </c>
      <c r="C5198" s="12" t="inlineStr">
        <is>
          <t>Modular / portable power</t>
        </is>
      </c>
      <c r="D5198" s="12" t="inlineStr">
        <is>
          <t>Home run JB-SC-2-TC01 to the control / marshalling room</t>
        </is>
      </c>
      <c r="E5198" s="12" t="inlineStr"/>
      <c r="F5198" s="12" t="inlineStr">
        <is>
          <t>SC-2 PCM + 15 kV GCB</t>
        </is>
      </c>
      <c r="G5198" s="12" t="inlineStr">
        <is>
          <t>JB-SC-2-TC01</t>
        </is>
      </c>
      <c r="H5198" s="12" t="inlineStr">
        <is>
          <t>SC-2: aeroderivative simple-cycle unit (LM6000 class)</t>
        </is>
      </c>
      <c r="I5198" s="12" t="inlineStr">
        <is>
          <t>Instrumentation</t>
        </is>
      </c>
      <c r="J5198" s="12" t="inlineStr">
        <is>
          <t>Thermocouple extension KX, #16 shielded pairs, PLTC</t>
        </is>
      </c>
      <c r="K5198" s="12" t="inlineStr">
        <is>
          <t>TCX|24 pr|16</t>
        </is>
      </c>
      <c r="L5198" s="12" t="inlineStr">
        <is>
          <t>24 pr</t>
        </is>
      </c>
      <c r="M5198" s="12" t="inlineStr">
        <is>
          <t>16</t>
        </is>
      </c>
      <c r="N5198" s="12" t="n">
        <v>1</v>
      </c>
      <c r="O5198" s="12" t="n">
        <v>1</v>
      </c>
      <c r="P5198" s="12" t="n"/>
      <c r="Q5198" s="12" t="n"/>
      <c r="R5198" s="12" t="n"/>
      <c r="S5198" s="12" t="inlineStr">
        <is>
          <t>Duct bank</t>
        </is>
      </c>
      <c r="T5198" s="17" t="n">
        <v>25</v>
      </c>
      <c r="U5198" s="17" t="n">
        <v>32</v>
      </c>
      <c r="V5198" s="17">
        <f>ROUNDUP((T5198+U5198+2*'Read Me'!$B$13)*(1+'Read Me'!$B$12),-1)</f>
        <v/>
      </c>
      <c r="W5198" s="17">
        <f>V5198*N5198*O5198</f>
        <v/>
      </c>
      <c r="X5198" s="12">
        <f>IF(LEFT(I5198,2)="MV",2*N5198*IF(L5198="1/C",O5198,1),0)</f>
        <v/>
      </c>
      <c r="Y5198" s="12">
        <f>IF(OR(LEFT(K5198,4)="LVAX",LEFT(K5198,6)="MV15AX",LEFT(K5198,4)="CTAX",LEFT(K5198,2)="W|"),2*N5198*O5198,0)</f>
        <v/>
      </c>
      <c r="Z5198" s="12" t="inlineStr"/>
      <c r="AA5198" s="12">
        <f>N5198*O5198</f>
        <v/>
      </c>
    </row>
    <row r="5199">
      <c r="A5199" s="12" t="inlineStr">
        <is>
          <t>I-I-0589</t>
        </is>
      </c>
      <c r="B5199" s="12" t="inlineStr">
        <is>
          <t>I</t>
        </is>
      </c>
      <c r="C5199" s="12" t="inlineStr">
        <is>
          <t>Modular / portable power</t>
        </is>
      </c>
      <c r="D5199" s="12" t="inlineStr">
        <is>
          <t>Thermocouple to TC JB JB-SC-2-TC02: 20 x 1 pr (field cables)</t>
        </is>
      </c>
      <c r="E5199" s="12" t="inlineStr">
        <is>
          <t>SC-2</t>
        </is>
      </c>
      <c r="F5199" s="12" t="inlineStr">
        <is>
          <t>SC-2: aeroderivative simple-cycle unit (LM6000 class)</t>
        </is>
      </c>
      <c r="G5199" s="12" t="inlineStr">
        <is>
          <t>JB-SC-2-TC02</t>
        </is>
      </c>
      <c r="H5199" s="12" t="inlineStr">
        <is>
          <t>SC-2: aeroderivative simple-cycle unit (LM6000 class)</t>
        </is>
      </c>
      <c r="I5199" s="12" t="inlineStr">
        <is>
          <t>Instrumentation</t>
        </is>
      </c>
      <c r="J5199" s="12" t="inlineStr">
        <is>
          <t>Thermocouple extension KX, #16 shielded pairs, PLTC</t>
        </is>
      </c>
      <c r="K5199" s="12" t="inlineStr">
        <is>
          <t>TCX|1 pr|16</t>
        </is>
      </c>
      <c r="L5199" s="12" t="inlineStr">
        <is>
          <t>1 pr</t>
        </is>
      </c>
      <c r="M5199" s="12" t="inlineStr">
        <is>
          <t>16</t>
        </is>
      </c>
      <c r="N5199" s="12" t="n">
        <v>20</v>
      </c>
      <c r="O5199" s="12" t="n">
        <v>1</v>
      </c>
      <c r="P5199" s="12" t="n"/>
      <c r="Q5199" s="12" t="n"/>
      <c r="R5199" s="12" t="n"/>
      <c r="S5199" s="12" t="inlineStr">
        <is>
          <t>Tray / conduit</t>
        </is>
      </c>
      <c r="T5199" s="17" t="n">
        <v>99</v>
      </c>
      <c r="U5199" s="17" t="n">
        <v>10</v>
      </c>
      <c r="V5199" s="17">
        <f>ROUNDUP((T5199+U5199+2*'Read Me'!$B$13)*(1+'Read Me'!$B$12),-1)</f>
        <v/>
      </c>
      <c r="W5199" s="17">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I-I-0590</t>
        </is>
      </c>
      <c r="B5200" s="12" t="inlineStr">
        <is>
          <t>I</t>
        </is>
      </c>
      <c r="C5200" s="12" t="inlineStr">
        <is>
          <t>Modular / portable power</t>
        </is>
      </c>
      <c r="D5200" s="12" t="inlineStr">
        <is>
          <t>Home run JB-SC-2-TC02 to the control / marshalling room</t>
        </is>
      </c>
      <c r="E5200" s="12" t="inlineStr"/>
      <c r="F5200" s="12" t="inlineStr">
        <is>
          <t>SC-2 PCM + 15 kV GCB</t>
        </is>
      </c>
      <c r="G5200" s="12" t="inlineStr">
        <is>
          <t>JB-SC-2-TC02</t>
        </is>
      </c>
      <c r="H5200" s="12" t="inlineStr">
        <is>
          <t>SC-2: aeroderivative simple-cycle unit (LM6000 class)</t>
        </is>
      </c>
      <c r="I5200" s="12" t="inlineStr">
        <is>
          <t>Instrumentation</t>
        </is>
      </c>
      <c r="J5200" s="12" t="inlineStr">
        <is>
          <t>Thermocouple extension KX, #16 shielded pairs, PLTC</t>
        </is>
      </c>
      <c r="K5200" s="12" t="inlineStr">
        <is>
          <t>TCX|24 pr|16</t>
        </is>
      </c>
      <c r="L5200" s="12" t="inlineStr">
        <is>
          <t>24 pr</t>
        </is>
      </c>
      <c r="M5200" s="12" t="inlineStr">
        <is>
          <t>16</t>
        </is>
      </c>
      <c r="N5200" s="12" t="n">
        <v>1</v>
      </c>
      <c r="O5200" s="12" t="n">
        <v>1</v>
      </c>
      <c r="P5200" s="12" t="n"/>
      <c r="Q5200" s="12" t="n"/>
      <c r="R5200" s="12" t="n"/>
      <c r="S5200" s="12" t="inlineStr">
        <is>
          <t>Duct bank</t>
        </is>
      </c>
      <c r="T5200" s="17" t="n">
        <v>25</v>
      </c>
      <c r="U5200" s="17" t="n">
        <v>32</v>
      </c>
      <c r="V5200" s="17">
        <f>ROUNDUP((T5200+U5200+2*'Read Me'!$B$13)*(1+'Read Me'!$B$12),-1)</f>
        <v/>
      </c>
      <c r="W5200" s="17">
        <f>V5200*N5200*O5200</f>
        <v/>
      </c>
      <c r="X5200" s="12">
        <f>IF(LEFT(I5200,2)="MV",2*N5200*IF(L5200="1/C",O5200,1),0)</f>
        <v/>
      </c>
      <c r="Y5200" s="12">
        <f>IF(OR(LEFT(K5200,4)="LVAX",LEFT(K5200,6)="MV15AX",LEFT(K5200,4)="CTAX",LEFT(K5200,2)="W|"),2*N5200*O5200,0)</f>
        <v/>
      </c>
      <c r="Z5200" s="12" t="inlineStr"/>
      <c r="AA5200" s="12">
        <f>N5200*O5200</f>
        <v/>
      </c>
    </row>
    <row r="5201">
      <c r="A5201" s="12" t="inlineStr">
        <is>
          <t>I-I-0591</t>
        </is>
      </c>
      <c r="B5201" s="12" t="inlineStr">
        <is>
          <t>I</t>
        </is>
      </c>
      <c r="C5201" s="12" t="inlineStr">
        <is>
          <t>Modular / portable power</t>
        </is>
      </c>
      <c r="D5201" s="12" t="inlineStr">
        <is>
          <t>Analog instrument to JB JB-T-MOD 230 kV take--AI01: 8 x 1 pr (field cables)</t>
        </is>
      </c>
      <c r="E5201" s="12" t="inlineStr"/>
      <c r="F5201" s="12" t="inlineStr">
        <is>
          <t>T-MOD 230 kV take-off gantry with arresters</t>
        </is>
      </c>
      <c r="G5201" s="12" t="inlineStr">
        <is>
          <t>JB-T-MOD 230 kV take--AI01</t>
        </is>
      </c>
      <c r="H5201" s="12" t="inlineStr">
        <is>
          <t>T-MOD 230 kV take-off gantry with arresters</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8</v>
      </c>
      <c r="O5201" s="12" t="n">
        <v>1</v>
      </c>
      <c r="P5201" s="12" t="n"/>
      <c r="Q5201" s="12" t="n"/>
      <c r="R5201" s="12" t="n"/>
      <c r="S5201" s="12" t="inlineStr">
        <is>
          <t>Tray / conduit</t>
        </is>
      </c>
      <c r="T5201" s="17" t="n">
        <v>88</v>
      </c>
      <c r="U5201" s="17" t="n">
        <v>10</v>
      </c>
      <c r="V5201" s="17">
        <f>ROUNDUP((T5201+U5201+2*'Read Me'!$B$13)*(1+'Read Me'!$B$12),-1)</f>
        <v/>
      </c>
      <c r="W5201" s="17">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I-I-0592</t>
        </is>
      </c>
      <c r="B5202" s="12" t="inlineStr">
        <is>
          <t>I</t>
        </is>
      </c>
      <c r="C5202" s="12" t="inlineStr">
        <is>
          <t>Modular / portable power</t>
        </is>
      </c>
      <c r="D5202" s="12" t="inlineStr">
        <is>
          <t>Home run JB-T-MOD 230 kV take--AI01 to the control / marshalling room</t>
        </is>
      </c>
      <c r="E5202" s="12" t="inlineStr">
        <is>
          <t>PAD-EH</t>
        </is>
      </c>
      <c r="F5202" s="12" t="inlineStr">
        <is>
          <t>PAD-EH 13.8 kV switchgear e-house</t>
        </is>
      </c>
      <c r="G5202" s="12" t="inlineStr">
        <is>
          <t>JB-T-MOD 230 kV take--AI01</t>
        </is>
      </c>
      <c r="H5202" s="12" t="inlineStr">
        <is>
          <t>T-MOD 230 kV take-off gantry with arresters</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HV duct bank</t>
        </is>
      </c>
      <c r="T5202" s="17" t="n">
        <v>2426</v>
      </c>
      <c r="U5202" s="17" t="n">
        <v>141</v>
      </c>
      <c r="V5202" s="17">
        <f>ROUNDUP((T5202+U5202+2*'Read Me'!$B$13)*(1+'Read Me'!$B$12),-1)</f>
        <v/>
      </c>
      <c r="W5202" s="17">
        <f>V5202*N5202*O5202</f>
        <v/>
      </c>
      <c r="X5202" s="12">
        <f>IF(LEFT(I5202,2)="MV",2*N5202*IF(L5202="1/C",O5202,1),0)</f>
        <v/>
      </c>
      <c r="Y5202" s="12">
        <f>IF(OR(LEFT(K5202,4)="LVAX",LEFT(K5202,6)="MV15AX",LEFT(K5202,4)="CTAX",LEFT(K5202,2)="W|"),2*N5202*O5202,0)</f>
        <v/>
      </c>
      <c r="Z5202" s="12" t="inlineStr"/>
      <c r="AA5202" s="12">
        <f>N5202*O5202</f>
        <v/>
      </c>
    </row>
    <row r="5203">
      <c r="A5203" s="12" t="inlineStr">
        <is>
          <t>I-I-0593</t>
        </is>
      </c>
      <c r="B5203" s="12" t="inlineStr">
        <is>
          <t>I</t>
        </is>
      </c>
      <c r="C5203" s="12" t="inlineStr">
        <is>
          <t>Modular / portable power</t>
        </is>
      </c>
      <c r="D5203" s="12" t="inlineStr">
        <is>
          <t>Discrete device to JB JB-T-MOD 230 kV take--DI01: 16 x 1 pr (field cables)</t>
        </is>
      </c>
      <c r="E5203" s="12" t="inlineStr"/>
      <c r="F5203" s="12" t="inlineStr">
        <is>
          <t>T-MOD 230 kV take-off gantry with arresters</t>
        </is>
      </c>
      <c r="G5203" s="12" t="inlineStr">
        <is>
          <t>JB-T-MOD 230 kV take--DI01</t>
        </is>
      </c>
      <c r="H5203" s="12" t="inlineStr">
        <is>
          <t>T-MOD 230 kV take-off gantry with arresters</t>
        </is>
      </c>
      <c r="I5203" s="12" t="inlineStr">
        <is>
          <t>Instrumentation</t>
        </is>
      </c>
      <c r="J5203" s="12" t="inlineStr">
        <is>
          <t>Instrumentation PLTC / TC-ER 300 V, #18 twisted shielded pairs, overall shield</t>
        </is>
      </c>
      <c r="K5203" s="12" t="inlineStr">
        <is>
          <t>PLTC|1 pr|16</t>
        </is>
      </c>
      <c r="L5203" s="12" t="inlineStr">
        <is>
          <t>1 pr</t>
        </is>
      </c>
      <c r="M5203" s="12" t="inlineStr">
        <is>
          <t>16</t>
        </is>
      </c>
      <c r="N5203" s="12" t="n">
        <v>16</v>
      </c>
      <c r="O5203" s="12" t="n">
        <v>1</v>
      </c>
      <c r="P5203" s="12" t="n"/>
      <c r="Q5203" s="12" t="n"/>
      <c r="R5203" s="12" t="n"/>
      <c r="S5203" s="12" t="inlineStr">
        <is>
          <t>Tray / conduit</t>
        </is>
      </c>
      <c r="T5203" s="17" t="n">
        <v>88</v>
      </c>
      <c r="U5203" s="17" t="n">
        <v>10</v>
      </c>
      <c r="V5203" s="17">
        <f>ROUNDUP((T5203+U5203+2*'Read Me'!$B$13)*(1+'Read Me'!$B$12),-1)</f>
        <v/>
      </c>
      <c r="W5203" s="17">
        <f>V5203*N5203*O5203</f>
        <v/>
      </c>
      <c r="X5203" s="12">
        <f>IF(LEFT(I5203,2)="MV",2*N5203*IF(L5203="1/C",O5203,1),0)</f>
        <v/>
      </c>
      <c r="Y5203" s="12">
        <f>IF(OR(LEFT(K5203,4)="LVAX",LEFT(K5203,6)="MV15AX",LEFT(K5203,4)="CTAX",LEFT(K5203,2)="W|"),2*N5203*O5203,0)</f>
        <v/>
      </c>
      <c r="Z5203" s="12" t="inlineStr">
        <is>
          <t>device-to-JB field wiring, one cable per device</t>
        </is>
      </c>
      <c r="AA5203" s="12">
        <f>N5203*O5203</f>
        <v/>
      </c>
    </row>
    <row r="5204">
      <c r="A5204" s="12" t="inlineStr">
        <is>
          <t>I-I-0594</t>
        </is>
      </c>
      <c r="B5204" s="12" t="inlineStr">
        <is>
          <t>I</t>
        </is>
      </c>
      <c r="C5204" s="12" t="inlineStr">
        <is>
          <t>Modular / portable power</t>
        </is>
      </c>
      <c r="D5204" s="12" t="inlineStr">
        <is>
          <t>Home run JB-T-MOD 230 kV take--DI01 to the control / marshalling room</t>
        </is>
      </c>
      <c r="E5204" s="12" t="inlineStr">
        <is>
          <t>PAD-EH</t>
        </is>
      </c>
      <c r="F5204" s="12" t="inlineStr">
        <is>
          <t>PAD-EH 13.8 kV switchgear e-house</t>
        </is>
      </c>
      <c r="G5204" s="12" t="inlineStr">
        <is>
          <t>JB-T-MOD 230 kV take--DI01</t>
        </is>
      </c>
      <c r="H5204" s="12" t="inlineStr">
        <is>
          <t>T-MOD 230 kV take-off gantry with arresters</t>
        </is>
      </c>
      <c r="I5204" s="12" t="inlineStr">
        <is>
          <t>Instrumentation</t>
        </is>
      </c>
      <c r="J5204" s="12" t="inlineStr">
        <is>
          <t>Instrumentation PLTC / TC-ER 300 V, #18 twisted shielded pairs, overall shield</t>
        </is>
      </c>
      <c r="K5204" s="12" t="inlineStr">
        <is>
          <t>PLTC|24 pr|18</t>
        </is>
      </c>
      <c r="L5204" s="12" t="inlineStr">
        <is>
          <t>24 pr</t>
        </is>
      </c>
      <c r="M5204" s="12" t="inlineStr">
        <is>
          <t>18</t>
        </is>
      </c>
      <c r="N5204" s="12" t="n">
        <v>1</v>
      </c>
      <c r="O5204" s="12" t="n">
        <v>1</v>
      </c>
      <c r="P5204" s="12" t="n"/>
      <c r="Q5204" s="12" t="n"/>
      <c r="R5204" s="12" t="n"/>
      <c r="S5204" s="12" t="inlineStr">
        <is>
          <t>HV duct bank</t>
        </is>
      </c>
      <c r="T5204" s="17" t="n">
        <v>2426</v>
      </c>
      <c r="U5204" s="17" t="n">
        <v>141</v>
      </c>
      <c r="V5204" s="17">
        <f>ROUNDUP((T5204+U5204+2*'Read Me'!$B$13)*(1+'Read Me'!$B$12),-1)</f>
        <v/>
      </c>
      <c r="W5204" s="17">
        <f>V5204*N5204*O5204</f>
        <v/>
      </c>
      <c r="X5204" s="12">
        <f>IF(LEFT(I5204,2)="MV",2*N5204*IF(L5204="1/C",O5204,1),0)</f>
        <v/>
      </c>
      <c r="Y5204" s="12">
        <f>IF(OR(LEFT(K5204,4)="LVAX",LEFT(K5204,6)="MV15AX",LEFT(K5204,4)="CTAX",LEFT(K5204,2)="W|"),2*N5204*O5204,0)</f>
        <v/>
      </c>
      <c r="Z5204" s="12" t="inlineStr"/>
      <c r="AA5204" s="12">
        <f>N5204*O5204</f>
        <v/>
      </c>
    </row>
    <row r="5205">
      <c r="A5205" s="12" t="inlineStr">
        <is>
          <t>I-I-0595</t>
        </is>
      </c>
      <c r="B5205" s="12" t="inlineStr">
        <is>
          <t>I</t>
        </is>
      </c>
      <c r="C5205" s="12" t="inlineStr">
        <is>
          <t>Modular / portable power</t>
        </is>
      </c>
      <c r="D5205" s="12" t="inlineStr">
        <is>
          <t>Analog instrument to JB JB-T-MOD-1 / T-MOD-2 -AI01: 8 x 1 pr (field cables)</t>
        </is>
      </c>
      <c r="E5205" s="12" t="inlineStr"/>
      <c r="F5205" s="12" t="inlineStr">
        <is>
          <t>T-MOD-1 / T-MOD-2 firewall</t>
        </is>
      </c>
      <c r="G5205" s="12" t="inlineStr">
        <is>
          <t>JB-T-MOD-1 / T-MOD-2 -AI01</t>
        </is>
      </c>
      <c r="H5205" s="12" t="inlineStr">
        <is>
          <t>T-MOD-1 / T-MOD-2 firewall</t>
        </is>
      </c>
      <c r="I5205" s="12" t="inlineStr">
        <is>
          <t>Instrumentation</t>
        </is>
      </c>
      <c r="J5205" s="12" t="inlineStr">
        <is>
          <t>Instrumentation PLTC / TC-ER 300 V, #18 twisted shielded pairs, overall shield</t>
        </is>
      </c>
      <c r="K5205" s="12" t="inlineStr">
        <is>
          <t>PLTC|1 pr|16</t>
        </is>
      </c>
      <c r="L5205" s="12" t="inlineStr">
        <is>
          <t>1 pr</t>
        </is>
      </c>
      <c r="M5205" s="12" t="inlineStr">
        <is>
          <t>16</t>
        </is>
      </c>
      <c r="N5205" s="12" t="n">
        <v>8</v>
      </c>
      <c r="O5205" s="12" t="n">
        <v>1</v>
      </c>
      <c r="P5205" s="12" t="n"/>
      <c r="Q5205" s="12" t="n"/>
      <c r="R5205" s="12" t="n"/>
      <c r="S5205" s="12" t="inlineStr">
        <is>
          <t>Tray / conduit</t>
        </is>
      </c>
      <c r="T5205" s="17" t="n">
        <v>64</v>
      </c>
      <c r="U5205" s="17" t="n">
        <v>10</v>
      </c>
      <c r="V5205" s="17">
        <f>ROUNDUP((T5205+U5205+2*'Read Me'!$B$13)*(1+'Read Me'!$B$12),-1)</f>
        <v/>
      </c>
      <c r="W5205" s="17">
        <f>V5205*N5205*O5205</f>
        <v/>
      </c>
      <c r="X5205" s="12">
        <f>IF(LEFT(I5205,2)="MV",2*N5205*IF(L5205="1/C",O5205,1),0)</f>
        <v/>
      </c>
      <c r="Y5205" s="12">
        <f>IF(OR(LEFT(K5205,4)="LVAX",LEFT(K5205,6)="MV15AX",LEFT(K5205,4)="CTAX",LEFT(K5205,2)="W|"),2*N5205*O5205,0)</f>
        <v/>
      </c>
      <c r="Z5205" s="12" t="inlineStr">
        <is>
          <t>device-to-JB field wiring, one cable per device</t>
        </is>
      </c>
      <c r="AA5205" s="12">
        <f>N5205*O5205</f>
        <v/>
      </c>
    </row>
    <row r="5206">
      <c r="A5206" s="12" t="inlineStr">
        <is>
          <t>I-I-0596</t>
        </is>
      </c>
      <c r="B5206" s="12" t="inlineStr">
        <is>
          <t>I</t>
        </is>
      </c>
      <c r="C5206" s="12" t="inlineStr">
        <is>
          <t>Modular / portable power</t>
        </is>
      </c>
      <c r="D5206" s="12" t="inlineStr">
        <is>
          <t>Home run JB-T-MOD-1 / T-MOD-2 -AI01 to the control / marshalling room</t>
        </is>
      </c>
      <c r="E5206" s="12" t="inlineStr"/>
      <c r="F5206" s="12" t="inlineStr">
        <is>
          <t>PCM: power control module</t>
        </is>
      </c>
      <c r="G5206" s="12" t="inlineStr">
        <is>
          <t>JB-T-MOD-1 / T-MOD-2 -AI01</t>
        </is>
      </c>
      <c r="H5206" s="12" t="inlineStr">
        <is>
          <t>T-MOD-1 / T-MOD-2 firewall</t>
        </is>
      </c>
      <c r="I5206" s="12" t="inlineStr">
        <is>
          <t>Instrumentation</t>
        </is>
      </c>
      <c r="J5206" s="12" t="inlineStr">
        <is>
          <t>Instrumentation PLTC / TC-ER 300 V, #18 twisted shielded pairs, overall shield</t>
        </is>
      </c>
      <c r="K5206" s="12" t="inlineStr">
        <is>
          <t>PLTC|24 pr|18</t>
        </is>
      </c>
      <c r="L5206" s="12" t="inlineStr">
        <is>
          <t>24 pr</t>
        </is>
      </c>
      <c r="M5206" s="12" t="inlineStr">
        <is>
          <t>18</t>
        </is>
      </c>
      <c r="N5206" s="12" t="n">
        <v>1</v>
      </c>
      <c r="O5206" s="12" t="n">
        <v>1</v>
      </c>
      <c r="P5206" s="12" t="n"/>
      <c r="Q5206" s="12" t="n"/>
      <c r="R5206" s="12" t="n"/>
      <c r="S5206" s="12" t="inlineStr">
        <is>
          <t>Duct bank</t>
        </is>
      </c>
      <c r="T5206" s="17" t="n">
        <v>415</v>
      </c>
      <c r="U5206" s="17" t="n">
        <v>130</v>
      </c>
      <c r="V5206" s="17">
        <f>ROUNDUP((T5206+U5206+2*'Read Me'!$B$13)*(1+'Read Me'!$B$12),-1)</f>
        <v/>
      </c>
      <c r="W5206" s="17">
        <f>V5206*N5206*O5206</f>
        <v/>
      </c>
      <c r="X5206" s="12">
        <f>IF(LEFT(I5206,2)="MV",2*N5206*IF(L5206="1/C",O5206,1),0)</f>
        <v/>
      </c>
      <c r="Y5206" s="12">
        <f>IF(OR(LEFT(K5206,4)="LVAX",LEFT(K5206,6)="MV15AX",LEFT(K5206,4)="CTAX",LEFT(K5206,2)="W|"),2*N5206*O5206,0)</f>
        <v/>
      </c>
      <c r="Z5206" s="12" t="inlineStr"/>
      <c r="AA5206" s="12">
        <f>N5206*O5206</f>
        <v/>
      </c>
    </row>
    <row r="5207">
      <c r="A5207" s="12" t="inlineStr">
        <is>
          <t>I-I-0597</t>
        </is>
      </c>
      <c r="B5207" s="12" t="inlineStr">
        <is>
          <t>I</t>
        </is>
      </c>
      <c r="C5207" s="12" t="inlineStr">
        <is>
          <t>Modular / portable power</t>
        </is>
      </c>
      <c r="D5207" s="12" t="inlineStr">
        <is>
          <t>Discrete device to JB JB-T-MOD-1 / T-MOD-2 -DI01: 16 x 1 pr (field cables)</t>
        </is>
      </c>
      <c r="E5207" s="12" t="inlineStr"/>
      <c r="F5207" s="12" t="inlineStr">
        <is>
          <t>T-MOD-1 / T-MOD-2 firewall</t>
        </is>
      </c>
      <c r="G5207" s="12" t="inlineStr">
        <is>
          <t>JB-T-MOD-1 / T-MOD-2 -DI01</t>
        </is>
      </c>
      <c r="H5207" s="12" t="inlineStr">
        <is>
          <t>T-MOD-1 / T-MOD-2 firewall</t>
        </is>
      </c>
      <c r="I5207" s="12" t="inlineStr">
        <is>
          <t>Instrumentation</t>
        </is>
      </c>
      <c r="J5207" s="12" t="inlineStr">
        <is>
          <t>Instrumentation PLTC / TC-ER 300 V, #18 twisted shielded pairs, overall shield</t>
        </is>
      </c>
      <c r="K5207" s="12" t="inlineStr">
        <is>
          <t>PLTC|1 pr|16</t>
        </is>
      </c>
      <c r="L5207" s="12" t="inlineStr">
        <is>
          <t>1 pr</t>
        </is>
      </c>
      <c r="M5207" s="12" t="inlineStr">
        <is>
          <t>16</t>
        </is>
      </c>
      <c r="N5207" s="12" t="n">
        <v>16</v>
      </c>
      <c r="O5207" s="12" t="n">
        <v>1</v>
      </c>
      <c r="P5207" s="12" t="n"/>
      <c r="Q5207" s="12" t="n"/>
      <c r="R5207" s="12" t="n"/>
      <c r="S5207" s="12" t="inlineStr">
        <is>
          <t>Tray / conduit</t>
        </is>
      </c>
      <c r="T5207" s="17" t="n">
        <v>64</v>
      </c>
      <c r="U5207" s="17" t="n">
        <v>10</v>
      </c>
      <c r="V5207" s="17">
        <f>ROUNDUP((T5207+U5207+2*'Read Me'!$B$13)*(1+'Read Me'!$B$12),-1)</f>
        <v/>
      </c>
      <c r="W5207" s="17">
        <f>V5207*N5207*O5207</f>
        <v/>
      </c>
      <c r="X5207" s="12">
        <f>IF(LEFT(I5207,2)="MV",2*N5207*IF(L5207="1/C",O5207,1),0)</f>
        <v/>
      </c>
      <c r="Y5207" s="12">
        <f>IF(OR(LEFT(K5207,4)="LVAX",LEFT(K5207,6)="MV15AX",LEFT(K5207,4)="CTAX",LEFT(K5207,2)="W|"),2*N5207*O5207,0)</f>
        <v/>
      </c>
      <c r="Z5207" s="12" t="inlineStr">
        <is>
          <t>device-to-JB field wiring, one cable per device</t>
        </is>
      </c>
      <c r="AA5207" s="12">
        <f>N5207*O5207</f>
        <v/>
      </c>
    </row>
    <row r="5208">
      <c r="A5208" s="12" t="inlineStr">
        <is>
          <t>I-I-0598</t>
        </is>
      </c>
      <c r="B5208" s="12" t="inlineStr">
        <is>
          <t>I</t>
        </is>
      </c>
      <c r="C5208" s="12" t="inlineStr">
        <is>
          <t>Modular / portable power</t>
        </is>
      </c>
      <c r="D5208" s="12" t="inlineStr">
        <is>
          <t>Home run JB-T-MOD-1 / T-MOD-2 -DI01 to the control / marshalling room</t>
        </is>
      </c>
      <c r="E5208" s="12" t="inlineStr"/>
      <c r="F5208" s="12" t="inlineStr">
        <is>
          <t>PCM: power control module</t>
        </is>
      </c>
      <c r="G5208" s="12" t="inlineStr">
        <is>
          <t>JB-T-MOD-1 / T-MOD-2 -DI01</t>
        </is>
      </c>
      <c r="H5208" s="12" t="inlineStr">
        <is>
          <t>T-MOD-1 / T-MOD-2 firewall</t>
        </is>
      </c>
      <c r="I5208" s="12" t="inlineStr">
        <is>
          <t>Instrumentation</t>
        </is>
      </c>
      <c r="J5208" s="12" t="inlineStr">
        <is>
          <t>Instrumentation PLTC / TC-ER 300 V, #18 twisted shielded pairs, overall shield</t>
        </is>
      </c>
      <c r="K5208" s="12" t="inlineStr">
        <is>
          <t>PLTC|24 pr|18</t>
        </is>
      </c>
      <c r="L5208" s="12" t="inlineStr">
        <is>
          <t>24 pr</t>
        </is>
      </c>
      <c r="M5208" s="12" t="inlineStr">
        <is>
          <t>18</t>
        </is>
      </c>
      <c r="N5208" s="12" t="n">
        <v>1</v>
      </c>
      <c r="O5208" s="12" t="n">
        <v>1</v>
      </c>
      <c r="P5208" s="12" t="n"/>
      <c r="Q5208" s="12" t="n"/>
      <c r="R5208" s="12" t="n"/>
      <c r="S5208" s="12" t="inlineStr">
        <is>
          <t>Duct bank</t>
        </is>
      </c>
      <c r="T5208" s="17" t="n">
        <v>415</v>
      </c>
      <c r="U5208" s="17" t="n">
        <v>130</v>
      </c>
      <c r="V5208" s="17">
        <f>ROUNDUP((T5208+U5208+2*'Read Me'!$B$13)*(1+'Read Me'!$B$12),-1)</f>
        <v/>
      </c>
      <c r="W5208" s="17">
        <f>V5208*N5208*O5208</f>
        <v/>
      </c>
      <c r="X5208" s="12">
        <f>IF(LEFT(I5208,2)="MV",2*N5208*IF(L5208="1/C",O5208,1),0)</f>
        <v/>
      </c>
      <c r="Y5208" s="12">
        <f>IF(OR(LEFT(K5208,4)="LVAX",LEFT(K5208,6)="MV15AX",LEFT(K5208,4)="CTAX",LEFT(K5208,2)="W|"),2*N5208*O5208,0)</f>
        <v/>
      </c>
      <c r="Z5208" s="12" t="inlineStr"/>
      <c r="AA5208" s="12">
        <f>N5208*O5208</f>
        <v/>
      </c>
    </row>
    <row r="5209">
      <c r="A5209" s="12" t="inlineStr">
        <is>
          <t>I-I-0599</t>
        </is>
      </c>
      <c r="B5209" s="12" t="inlineStr">
        <is>
          <t>I</t>
        </is>
      </c>
      <c r="C5209" s="12" t="inlineStr">
        <is>
          <t>Modular / portable power</t>
        </is>
      </c>
      <c r="D5209" s="12" t="inlineStr">
        <is>
          <t>Analog instrument to JB JB-T-MOD-1-AI01: 8 x 1 pr (field cables)</t>
        </is>
      </c>
      <c r="E5209" s="12" t="inlineStr">
        <is>
          <t>T-MOD-1</t>
        </is>
      </c>
      <c r="F5209" s="12" t="inlineStr">
        <is>
          <t>T-MOD-1: 13.8/230 kV</t>
        </is>
      </c>
      <c r="G5209" s="12" t="inlineStr">
        <is>
          <t>JB-T-MOD-1-AI01</t>
        </is>
      </c>
      <c r="H5209" s="12" t="inlineStr">
        <is>
          <t>T-MOD-1: 13.8/230 kV</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8</v>
      </c>
      <c r="O5209" s="12" t="n">
        <v>1</v>
      </c>
      <c r="P5209" s="12" t="n"/>
      <c r="Q5209" s="12" t="n"/>
      <c r="R5209" s="12" t="n"/>
      <c r="S5209" s="12" t="inlineStr">
        <is>
          <t>Tray / conduit</t>
        </is>
      </c>
      <c r="T5209" s="17" t="n">
        <v>77</v>
      </c>
      <c r="U5209" s="17" t="n">
        <v>10</v>
      </c>
      <c r="V5209" s="17">
        <f>ROUNDUP((T5209+U5209+2*'Read Me'!$B$13)*(1+'Read Me'!$B$12),-1)</f>
        <v/>
      </c>
      <c r="W5209" s="17">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I-I-0600</t>
        </is>
      </c>
      <c r="B5210" s="12" t="inlineStr">
        <is>
          <t>I</t>
        </is>
      </c>
      <c r="C5210" s="12" t="inlineStr">
        <is>
          <t>Modular / portable power</t>
        </is>
      </c>
      <c r="D5210" s="12" t="inlineStr">
        <is>
          <t>Home run JB-T-MOD-1-AI01 to the control / marshalling room</t>
        </is>
      </c>
      <c r="E5210" s="12" t="inlineStr"/>
      <c r="F5210" s="12" t="inlineStr">
        <is>
          <t>PCM: power control module</t>
        </is>
      </c>
      <c r="G5210" s="12" t="inlineStr">
        <is>
          <t>JB-T-MOD-1-AI01</t>
        </is>
      </c>
      <c r="H5210" s="12" t="inlineStr">
        <is>
          <t>T-MOD-1: 13.8/230 kV</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7" t="n">
        <v>415</v>
      </c>
      <c r="U5210" s="17" t="n">
        <v>82</v>
      </c>
      <c r="V5210" s="17">
        <f>ROUNDUP((T5210+U5210+2*'Read Me'!$B$13)*(1+'Read Me'!$B$12),-1)</f>
        <v/>
      </c>
      <c r="W5210" s="17">
        <f>V5210*N5210*O5210</f>
        <v/>
      </c>
      <c r="X5210" s="12">
        <f>IF(LEFT(I5210,2)="MV",2*N5210*IF(L5210="1/C",O5210,1),0)</f>
        <v/>
      </c>
      <c r="Y5210" s="12">
        <f>IF(OR(LEFT(K5210,4)="LVAX",LEFT(K5210,6)="MV15AX",LEFT(K5210,4)="CTAX",LEFT(K5210,2)="W|"),2*N5210*O5210,0)</f>
        <v/>
      </c>
      <c r="Z5210" s="12" t="inlineStr"/>
      <c r="AA5210" s="12">
        <f>N5210*O5210</f>
        <v/>
      </c>
    </row>
    <row r="5211">
      <c r="A5211" s="12" t="inlineStr">
        <is>
          <t>I-I-0601</t>
        </is>
      </c>
      <c r="B5211" s="12" t="inlineStr">
        <is>
          <t>I</t>
        </is>
      </c>
      <c r="C5211" s="12" t="inlineStr">
        <is>
          <t>Modular / portable power</t>
        </is>
      </c>
      <c r="D5211" s="12" t="inlineStr">
        <is>
          <t>Discrete device to JB JB-T-MOD-1-DI01: 16 x 1 pr (field cables)</t>
        </is>
      </c>
      <c r="E5211" s="12" t="inlineStr">
        <is>
          <t>T-MOD-1</t>
        </is>
      </c>
      <c r="F5211" s="12" t="inlineStr">
        <is>
          <t>T-MOD-1: 13.8/230 kV</t>
        </is>
      </c>
      <c r="G5211" s="12" t="inlineStr">
        <is>
          <t>JB-T-MOD-1-DI01</t>
        </is>
      </c>
      <c r="H5211" s="12" t="inlineStr">
        <is>
          <t>T-MOD-1: 13.8/230 kV</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16</v>
      </c>
      <c r="O5211" s="12" t="n">
        <v>1</v>
      </c>
      <c r="P5211" s="12" t="n"/>
      <c r="Q5211" s="12" t="n"/>
      <c r="R5211" s="12" t="n"/>
      <c r="S5211" s="12" t="inlineStr">
        <is>
          <t>Tray / conduit</t>
        </is>
      </c>
      <c r="T5211" s="17" t="n">
        <v>77</v>
      </c>
      <c r="U5211" s="17" t="n">
        <v>10</v>
      </c>
      <c r="V5211" s="17">
        <f>ROUNDUP((T5211+U5211+2*'Read Me'!$B$13)*(1+'Read Me'!$B$12),-1)</f>
        <v/>
      </c>
      <c r="W5211" s="17">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I-I-0602</t>
        </is>
      </c>
      <c r="B5212" s="12" t="inlineStr">
        <is>
          <t>I</t>
        </is>
      </c>
      <c r="C5212" s="12" t="inlineStr">
        <is>
          <t>Modular / portable power</t>
        </is>
      </c>
      <c r="D5212" s="12" t="inlineStr">
        <is>
          <t>Home run JB-T-MOD-1-DI01 to the control / marshalling room</t>
        </is>
      </c>
      <c r="E5212" s="12" t="inlineStr"/>
      <c r="F5212" s="12" t="inlineStr">
        <is>
          <t>PCM: power control module</t>
        </is>
      </c>
      <c r="G5212" s="12" t="inlineStr">
        <is>
          <t>JB-T-MOD-1-DI01</t>
        </is>
      </c>
      <c r="H5212" s="12" t="inlineStr">
        <is>
          <t>T-MOD-1: 13.8/230 kV</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7" t="n">
        <v>415</v>
      </c>
      <c r="U5212" s="17" t="n">
        <v>82</v>
      </c>
      <c r="V5212" s="17">
        <f>ROUNDUP((T5212+U5212+2*'Read Me'!$B$13)*(1+'Read Me'!$B$12),-1)</f>
        <v/>
      </c>
      <c r="W5212" s="17">
        <f>V5212*N5212*O5212</f>
        <v/>
      </c>
      <c r="X5212" s="12">
        <f>IF(LEFT(I5212,2)="MV",2*N5212*IF(L5212="1/C",O5212,1),0)</f>
        <v/>
      </c>
      <c r="Y5212" s="12">
        <f>IF(OR(LEFT(K5212,4)="LVAX",LEFT(K5212,6)="MV15AX",LEFT(K5212,4)="CTAX",LEFT(K5212,2)="W|"),2*N5212*O5212,0)</f>
        <v/>
      </c>
      <c r="Z5212" s="12" t="inlineStr"/>
      <c r="AA5212" s="12">
        <f>N5212*O5212</f>
        <v/>
      </c>
    </row>
    <row r="5213">
      <c r="A5213" s="12" t="inlineStr">
        <is>
          <t>I-I-0603</t>
        </is>
      </c>
      <c r="B5213" s="12" t="inlineStr">
        <is>
          <t>I</t>
        </is>
      </c>
      <c r="C5213" s="12" t="inlineStr">
        <is>
          <t>Modular / portable power</t>
        </is>
      </c>
      <c r="D5213" s="12" t="inlineStr">
        <is>
          <t>Analog instrument to JB JB-T-MOD-2-AI01: 8 x 1 pr (field cables)</t>
        </is>
      </c>
      <c r="E5213" s="12" t="inlineStr">
        <is>
          <t>T-MOD-2</t>
        </is>
      </c>
      <c r="F5213" s="12" t="inlineStr">
        <is>
          <t>T-MOD-2: 13.8/230 kV</t>
        </is>
      </c>
      <c r="G5213" s="12" t="inlineStr">
        <is>
          <t>JB-T-MOD-2-AI01</t>
        </is>
      </c>
      <c r="H5213" s="12" t="inlineStr">
        <is>
          <t>T-MOD-2: 13.8/230 kV</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8</v>
      </c>
      <c r="O5213" s="12" t="n">
        <v>1</v>
      </c>
      <c r="P5213" s="12" t="n"/>
      <c r="Q5213" s="12" t="n"/>
      <c r="R5213" s="12" t="n"/>
      <c r="S5213" s="12" t="inlineStr">
        <is>
          <t>Tray / conduit</t>
        </is>
      </c>
      <c r="T5213" s="17" t="n">
        <v>77</v>
      </c>
      <c r="U5213" s="17" t="n">
        <v>10</v>
      </c>
      <c r="V5213" s="17">
        <f>ROUNDUP((T5213+U5213+2*'Read Me'!$B$13)*(1+'Read Me'!$B$12),-1)</f>
        <v/>
      </c>
      <c r="W5213" s="17">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I-I-0604</t>
        </is>
      </c>
      <c r="B5214" s="12" t="inlineStr">
        <is>
          <t>I</t>
        </is>
      </c>
      <c r="C5214" s="12" t="inlineStr">
        <is>
          <t>Modular / portable power</t>
        </is>
      </c>
      <c r="D5214" s="12" t="inlineStr">
        <is>
          <t>Home run JB-T-MOD-2-AI01 to the control / marshalling room</t>
        </is>
      </c>
      <c r="E5214" s="12" t="inlineStr"/>
      <c r="F5214" s="12" t="inlineStr">
        <is>
          <t>PCM: power control module</t>
        </is>
      </c>
      <c r="G5214" s="12" t="inlineStr">
        <is>
          <t>JB-T-MOD-2-AI01</t>
        </is>
      </c>
      <c r="H5214" s="12" t="inlineStr">
        <is>
          <t>T-MOD-2: 13.8/230 kV</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7" t="n">
        <v>698</v>
      </c>
      <c r="U5214" s="17" t="n">
        <v>144</v>
      </c>
      <c r="V5214" s="17">
        <f>ROUNDUP((T5214+U5214+2*'Read Me'!$B$13)*(1+'Read Me'!$B$12),-1)</f>
        <v/>
      </c>
      <c r="W5214" s="17">
        <f>V5214*N5214*O5214</f>
        <v/>
      </c>
      <c r="X5214" s="12">
        <f>IF(LEFT(I5214,2)="MV",2*N5214*IF(L5214="1/C",O5214,1),0)</f>
        <v/>
      </c>
      <c r="Y5214" s="12">
        <f>IF(OR(LEFT(K5214,4)="LVAX",LEFT(K5214,6)="MV15AX",LEFT(K5214,4)="CTAX",LEFT(K5214,2)="W|"),2*N5214*O5214,0)</f>
        <v/>
      </c>
      <c r="Z5214" s="12" t="inlineStr"/>
      <c r="AA5214" s="12">
        <f>N5214*O5214</f>
        <v/>
      </c>
    </row>
    <row r="5215">
      <c r="A5215" s="12" t="inlineStr">
        <is>
          <t>I-I-0605</t>
        </is>
      </c>
      <c r="B5215" s="12" t="inlineStr">
        <is>
          <t>I</t>
        </is>
      </c>
      <c r="C5215" s="12" t="inlineStr">
        <is>
          <t>Modular / portable power</t>
        </is>
      </c>
      <c r="D5215" s="12" t="inlineStr">
        <is>
          <t>Discrete device to JB JB-T-MOD-2-DI01: 16 x 1 pr (field cables)</t>
        </is>
      </c>
      <c r="E5215" s="12" t="inlineStr">
        <is>
          <t>T-MOD-2</t>
        </is>
      </c>
      <c r="F5215" s="12" t="inlineStr">
        <is>
          <t>T-MOD-2: 13.8/230 kV</t>
        </is>
      </c>
      <c r="G5215" s="12" t="inlineStr">
        <is>
          <t>JB-T-MOD-2-DI01</t>
        </is>
      </c>
      <c r="H5215" s="12" t="inlineStr">
        <is>
          <t>T-MOD-2: 13.8/230 kV</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16</v>
      </c>
      <c r="O5215" s="12" t="n">
        <v>1</v>
      </c>
      <c r="P5215" s="12" t="n"/>
      <c r="Q5215" s="12" t="n"/>
      <c r="R5215" s="12" t="n"/>
      <c r="S5215" s="12" t="inlineStr">
        <is>
          <t>Tray / conduit</t>
        </is>
      </c>
      <c r="T5215" s="17" t="n">
        <v>77</v>
      </c>
      <c r="U5215" s="17" t="n">
        <v>10</v>
      </c>
      <c r="V5215" s="17">
        <f>ROUNDUP((T5215+U5215+2*'Read Me'!$B$13)*(1+'Read Me'!$B$12),-1)</f>
        <v/>
      </c>
      <c r="W5215" s="17">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I-I-0606</t>
        </is>
      </c>
      <c r="B5216" s="12" t="inlineStr">
        <is>
          <t>I</t>
        </is>
      </c>
      <c r="C5216" s="12" t="inlineStr">
        <is>
          <t>Modular / portable power</t>
        </is>
      </c>
      <c r="D5216" s="12" t="inlineStr">
        <is>
          <t>Home run JB-T-MOD-2-DI01 to the control / marshalling room</t>
        </is>
      </c>
      <c r="E5216" s="12" t="inlineStr"/>
      <c r="F5216" s="12" t="inlineStr">
        <is>
          <t>PCM: power control module</t>
        </is>
      </c>
      <c r="G5216" s="12" t="inlineStr">
        <is>
          <t>JB-T-MOD-2-DI01</t>
        </is>
      </c>
      <c r="H5216" s="12" t="inlineStr">
        <is>
          <t>T-MOD-2: 13.8/230 kV</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7" t="n">
        <v>698</v>
      </c>
      <c r="U5216" s="17" t="n">
        <v>144</v>
      </c>
      <c r="V5216" s="17">
        <f>ROUNDUP((T5216+U5216+2*'Read Me'!$B$13)*(1+'Read Me'!$B$12),-1)</f>
        <v/>
      </c>
      <c r="W5216" s="17">
        <f>V5216*N5216*O5216</f>
        <v/>
      </c>
      <c r="X5216" s="12">
        <f>IF(LEFT(I5216,2)="MV",2*N5216*IF(L5216="1/C",O5216,1),0)</f>
        <v/>
      </c>
      <c r="Y5216" s="12">
        <f>IF(OR(LEFT(K5216,4)="LVAX",LEFT(K5216,6)="MV15AX",LEFT(K5216,4)="CTAX",LEFT(K5216,2)="W|"),2*N5216*O5216,0)</f>
        <v/>
      </c>
      <c r="Z5216" s="12" t="inlineStr"/>
      <c r="AA5216" s="12">
        <f>N5216*O5216</f>
        <v/>
      </c>
    </row>
    <row r="5217">
      <c r="A5217" s="12" t="inlineStr">
        <is>
          <t>I-I-0607</t>
        </is>
      </c>
      <c r="B5217" s="12" t="inlineStr">
        <is>
          <t>I</t>
        </is>
      </c>
      <c r="C5217" s="12" t="inlineStr">
        <is>
          <t>Modular / portable power</t>
        </is>
      </c>
      <c r="D5217" s="12" t="inlineStr">
        <is>
          <t>Analog instrument to JB JB-TM-1-AI01: 20 x 1 pr (field cables)</t>
        </is>
      </c>
      <c r="E5217" s="12" t="inlineStr">
        <is>
          <t>TM-1</t>
        </is>
      </c>
      <c r="F5217" s="12" t="inlineStr">
        <is>
          <t>TM-1: trailer-mounted aeroderivative GT (TM2500 class, ~35 MW)</t>
        </is>
      </c>
      <c r="G5217" s="12" t="inlineStr">
        <is>
          <t>JB-TM-1-AI01</t>
        </is>
      </c>
      <c r="H5217" s="12" t="inlineStr">
        <is>
          <t>TM-1: trailer-mounted aeroderivative GT (TM2500 class, ~35 MW)</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7" t="n">
        <v>108</v>
      </c>
      <c r="U5217" s="17" t="n">
        <v>10</v>
      </c>
      <c r="V5217" s="17">
        <f>ROUNDUP((T5217+U5217+2*'Read Me'!$B$13)*(1+'Read Me'!$B$12),-1)</f>
        <v/>
      </c>
      <c r="W5217" s="17">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I-I-0608</t>
        </is>
      </c>
      <c r="B5218" s="12" t="inlineStr">
        <is>
          <t>I</t>
        </is>
      </c>
      <c r="C5218" s="12" t="inlineStr">
        <is>
          <t>Modular / portable power</t>
        </is>
      </c>
      <c r="D5218" s="12" t="inlineStr">
        <is>
          <t>Home run JB-TM-1-AI01 to the control / marshalling room</t>
        </is>
      </c>
      <c r="E5218" s="12" t="inlineStr">
        <is>
          <t>PAD-EH</t>
        </is>
      </c>
      <c r="F5218" s="12" t="inlineStr">
        <is>
          <t>PAD-EH 13.8 kV switchgear e-house</t>
        </is>
      </c>
      <c r="G5218" s="12" t="inlineStr">
        <is>
          <t>JB-TM-1-AI01</t>
        </is>
      </c>
      <c r="H5218" s="12" t="inlineStr">
        <is>
          <t>TM-1: trailer-mounted aeroderivative GT (TM2500 class, ~35 MW)</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Surface</t>
        </is>
      </c>
      <c r="T5218" s="17" t="n">
        <v>370</v>
      </c>
      <c r="U5218" s="17" t="n">
        <v>50</v>
      </c>
      <c r="V5218" s="17">
        <f>ROUNDUP((T5218+U5218+2*'Read Me'!$B$13)*(1+'Read Me'!$B$12),-1)</f>
        <v/>
      </c>
      <c r="W5218" s="17">
        <f>V5218*N5218*O5218</f>
        <v/>
      </c>
      <c r="X5218" s="12">
        <f>IF(LEFT(I5218,2)="MV",2*N5218*IF(L5218="1/C",O5218,1),0)</f>
        <v/>
      </c>
      <c r="Y5218" s="12">
        <f>IF(OR(LEFT(K5218,4)="LVAX",LEFT(K5218,6)="MV15AX",LEFT(K5218,4)="CTAX",LEFT(K5218,2)="W|"),2*N5218*O5218,0)</f>
        <v/>
      </c>
      <c r="Z5218" s="12" t="inlineStr"/>
      <c r="AA5218" s="12">
        <f>N5218*O5218</f>
        <v/>
      </c>
    </row>
    <row r="5219">
      <c r="A5219" s="12" t="inlineStr">
        <is>
          <t>I-I-0609</t>
        </is>
      </c>
      <c r="B5219" s="12" t="inlineStr">
        <is>
          <t>I</t>
        </is>
      </c>
      <c r="C5219" s="12" t="inlineStr">
        <is>
          <t>Modular / portable power</t>
        </is>
      </c>
      <c r="D5219" s="12" t="inlineStr">
        <is>
          <t>Analog instrument to JB JB-TM-1-AI02: 20 x 1 pr (field cables)</t>
        </is>
      </c>
      <c r="E5219" s="12" t="inlineStr">
        <is>
          <t>TM-1</t>
        </is>
      </c>
      <c r="F5219" s="12" t="inlineStr">
        <is>
          <t>TM-1: trailer-mounted aeroderivative GT (TM2500 class, ~35 MW)</t>
        </is>
      </c>
      <c r="G5219" s="12" t="inlineStr">
        <is>
          <t>JB-TM-1-AI02</t>
        </is>
      </c>
      <c r="H5219" s="12" t="inlineStr">
        <is>
          <t>TM-1: trailer-mounted aeroderivative GT (TM2500 class, ~35 MW)</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20</v>
      </c>
      <c r="O5219" s="12" t="n">
        <v>1</v>
      </c>
      <c r="P5219" s="12" t="n"/>
      <c r="Q5219" s="12" t="n"/>
      <c r="R5219" s="12" t="n"/>
      <c r="S5219" s="12" t="inlineStr">
        <is>
          <t>Tray / conduit</t>
        </is>
      </c>
      <c r="T5219" s="17" t="n">
        <v>108</v>
      </c>
      <c r="U5219" s="17" t="n">
        <v>10</v>
      </c>
      <c r="V5219" s="17">
        <f>ROUNDUP((T5219+U5219+2*'Read Me'!$B$13)*(1+'Read Me'!$B$12),-1)</f>
        <v/>
      </c>
      <c r="W5219" s="17">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I-I-0610</t>
        </is>
      </c>
      <c r="B5220" s="12" t="inlineStr">
        <is>
          <t>I</t>
        </is>
      </c>
      <c r="C5220" s="12" t="inlineStr">
        <is>
          <t>Modular / portable power</t>
        </is>
      </c>
      <c r="D5220" s="12" t="inlineStr">
        <is>
          <t>Home run JB-TM-1-AI02 to the control / marshalling room</t>
        </is>
      </c>
      <c r="E5220" s="12" t="inlineStr">
        <is>
          <t>PAD-EH</t>
        </is>
      </c>
      <c r="F5220" s="12" t="inlineStr">
        <is>
          <t>PAD-EH 13.8 kV switchgear e-house</t>
        </is>
      </c>
      <c r="G5220" s="12" t="inlineStr">
        <is>
          <t>JB-TM-1-AI02</t>
        </is>
      </c>
      <c r="H5220" s="12" t="inlineStr">
        <is>
          <t>TM-1: trailer-mounted aeroderivative GT (TM2500 class, ~35 MW)</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Surface</t>
        </is>
      </c>
      <c r="T5220" s="17" t="n">
        <v>370</v>
      </c>
      <c r="U5220" s="17" t="n">
        <v>50</v>
      </c>
      <c r="V5220" s="17">
        <f>ROUNDUP((T5220+U5220+2*'Read Me'!$B$13)*(1+'Read Me'!$B$12),-1)</f>
        <v/>
      </c>
      <c r="W5220" s="17">
        <f>V5220*N5220*O5220</f>
        <v/>
      </c>
      <c r="X5220" s="12">
        <f>IF(LEFT(I5220,2)="MV",2*N5220*IF(L5220="1/C",O5220,1),0)</f>
        <v/>
      </c>
      <c r="Y5220" s="12">
        <f>IF(OR(LEFT(K5220,4)="LVAX",LEFT(K5220,6)="MV15AX",LEFT(K5220,4)="CTAX",LEFT(K5220,2)="W|"),2*N5220*O5220,0)</f>
        <v/>
      </c>
      <c r="Z5220" s="12" t="inlineStr"/>
      <c r="AA5220" s="12">
        <f>N5220*O5220</f>
        <v/>
      </c>
    </row>
    <row r="5221">
      <c r="A5221" s="12" t="inlineStr">
        <is>
          <t>I-I-0611</t>
        </is>
      </c>
      <c r="B5221" s="12" t="inlineStr">
        <is>
          <t>I</t>
        </is>
      </c>
      <c r="C5221" s="12" t="inlineStr">
        <is>
          <t>Modular / portable power</t>
        </is>
      </c>
      <c r="D5221" s="12" t="inlineStr">
        <is>
          <t>Analog instrument to JB JB-TM-1-AI03: 20 x 1 pr (field cables)</t>
        </is>
      </c>
      <c r="E5221" s="12" t="inlineStr">
        <is>
          <t>TM-1</t>
        </is>
      </c>
      <c r="F5221" s="12" t="inlineStr">
        <is>
          <t>TM-1: trailer-mounted aeroderivative GT (TM2500 class, ~35 MW)</t>
        </is>
      </c>
      <c r="G5221" s="12" t="inlineStr">
        <is>
          <t>JB-TM-1-AI03</t>
        </is>
      </c>
      <c r="H5221" s="12" t="inlineStr">
        <is>
          <t>TM-1: trailer-mounted aeroderivative GT (TM2500 class, ~35 MW)</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7" t="n">
        <v>108</v>
      </c>
      <c r="U5221" s="17" t="n">
        <v>10</v>
      </c>
      <c r="V5221" s="17">
        <f>ROUNDUP((T5221+U5221+2*'Read Me'!$B$13)*(1+'Read Me'!$B$12),-1)</f>
        <v/>
      </c>
      <c r="W5221" s="17">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I-I-0612</t>
        </is>
      </c>
      <c r="B5222" s="12" t="inlineStr">
        <is>
          <t>I</t>
        </is>
      </c>
      <c r="C5222" s="12" t="inlineStr">
        <is>
          <t>Modular / portable power</t>
        </is>
      </c>
      <c r="D5222" s="12" t="inlineStr">
        <is>
          <t>Home run JB-TM-1-AI03 to the control / marshalling room</t>
        </is>
      </c>
      <c r="E5222" s="12" t="inlineStr">
        <is>
          <t>PAD-EH</t>
        </is>
      </c>
      <c r="F5222" s="12" t="inlineStr">
        <is>
          <t>PAD-EH 13.8 kV switchgear e-house</t>
        </is>
      </c>
      <c r="G5222" s="12" t="inlineStr">
        <is>
          <t>JB-TM-1-AI03</t>
        </is>
      </c>
      <c r="H5222" s="12" t="inlineStr">
        <is>
          <t>TM-1: trailer-mounted aeroderivative GT (TM2500 class, ~35 MW)</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Surface</t>
        </is>
      </c>
      <c r="T5222" s="17" t="n">
        <v>370</v>
      </c>
      <c r="U5222" s="17" t="n">
        <v>50</v>
      </c>
      <c r="V5222" s="17">
        <f>ROUNDUP((T5222+U5222+2*'Read Me'!$B$13)*(1+'Read Me'!$B$12),-1)</f>
        <v/>
      </c>
      <c r="W5222" s="17">
        <f>V5222*N5222*O5222</f>
        <v/>
      </c>
      <c r="X5222" s="12">
        <f>IF(LEFT(I5222,2)="MV",2*N5222*IF(L5222="1/C",O5222,1),0)</f>
        <v/>
      </c>
      <c r="Y5222" s="12">
        <f>IF(OR(LEFT(K5222,4)="LVAX",LEFT(K5222,6)="MV15AX",LEFT(K5222,4)="CTAX",LEFT(K5222,2)="W|"),2*N5222*O5222,0)</f>
        <v/>
      </c>
      <c r="Z5222" s="12" t="inlineStr"/>
      <c r="AA5222" s="12">
        <f>N5222*O5222</f>
        <v/>
      </c>
    </row>
    <row r="5223">
      <c r="A5223" s="12" t="inlineStr">
        <is>
          <t>I-I-0613</t>
        </is>
      </c>
      <c r="B5223" s="12" t="inlineStr">
        <is>
          <t>I</t>
        </is>
      </c>
      <c r="C5223" s="12" t="inlineStr">
        <is>
          <t>Modular / portable power</t>
        </is>
      </c>
      <c r="D5223" s="12" t="inlineStr">
        <is>
          <t>Analog instrument to JB JB-TM-1-AI04: 20 x 1 pr (field cables)</t>
        </is>
      </c>
      <c r="E5223" s="12" t="inlineStr">
        <is>
          <t>TM-1</t>
        </is>
      </c>
      <c r="F5223" s="12" t="inlineStr">
        <is>
          <t>TM-1: trailer-mounted aeroderivative GT (TM2500 class, ~35 MW)</t>
        </is>
      </c>
      <c r="G5223" s="12" t="inlineStr">
        <is>
          <t>JB-TM-1-AI04</t>
        </is>
      </c>
      <c r="H5223" s="12" t="inlineStr">
        <is>
          <t>TM-1: trailer-mounted aeroderivative GT (TM2500 class, ~35 MW)</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20</v>
      </c>
      <c r="O5223" s="12" t="n">
        <v>1</v>
      </c>
      <c r="P5223" s="12" t="n"/>
      <c r="Q5223" s="12" t="n"/>
      <c r="R5223" s="12" t="n"/>
      <c r="S5223" s="12" t="inlineStr">
        <is>
          <t>Tray / conduit</t>
        </is>
      </c>
      <c r="T5223" s="17" t="n">
        <v>108</v>
      </c>
      <c r="U5223" s="17" t="n">
        <v>10</v>
      </c>
      <c r="V5223" s="17">
        <f>ROUNDUP((T5223+U5223+2*'Read Me'!$B$13)*(1+'Read Me'!$B$12),-1)</f>
        <v/>
      </c>
      <c r="W5223" s="17">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I-I-0614</t>
        </is>
      </c>
      <c r="B5224" s="12" t="inlineStr">
        <is>
          <t>I</t>
        </is>
      </c>
      <c r="C5224" s="12" t="inlineStr">
        <is>
          <t>Modular / portable power</t>
        </is>
      </c>
      <c r="D5224" s="12" t="inlineStr">
        <is>
          <t>Home run JB-TM-1-AI04 to the control / marshalling room</t>
        </is>
      </c>
      <c r="E5224" s="12" t="inlineStr">
        <is>
          <t>PAD-EH</t>
        </is>
      </c>
      <c r="F5224" s="12" t="inlineStr">
        <is>
          <t>PAD-EH 13.8 kV switchgear e-house</t>
        </is>
      </c>
      <c r="G5224" s="12" t="inlineStr">
        <is>
          <t>JB-TM-1-AI04</t>
        </is>
      </c>
      <c r="H5224" s="12" t="inlineStr">
        <is>
          <t>TM-1: trailer-mounted aeroderivative GT (TM2500 class, ~35 MW)</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Surface</t>
        </is>
      </c>
      <c r="T5224" s="17" t="n">
        <v>370</v>
      </c>
      <c r="U5224" s="17" t="n">
        <v>50</v>
      </c>
      <c r="V5224" s="17">
        <f>ROUNDUP((T5224+U5224+2*'Read Me'!$B$13)*(1+'Read Me'!$B$12),-1)</f>
        <v/>
      </c>
      <c r="W5224" s="17">
        <f>V5224*N5224*O5224</f>
        <v/>
      </c>
      <c r="X5224" s="12">
        <f>IF(LEFT(I5224,2)="MV",2*N5224*IF(L5224="1/C",O5224,1),0)</f>
        <v/>
      </c>
      <c r="Y5224" s="12">
        <f>IF(OR(LEFT(K5224,4)="LVAX",LEFT(K5224,6)="MV15AX",LEFT(K5224,4)="CTAX",LEFT(K5224,2)="W|"),2*N5224*O5224,0)</f>
        <v/>
      </c>
      <c r="Z5224" s="12" t="inlineStr"/>
      <c r="AA5224" s="12">
        <f>N5224*O5224</f>
        <v/>
      </c>
    </row>
    <row r="5225">
      <c r="A5225" s="12" t="inlineStr">
        <is>
          <t>I-I-0615</t>
        </is>
      </c>
      <c r="B5225" s="12" t="inlineStr">
        <is>
          <t>I</t>
        </is>
      </c>
      <c r="C5225" s="12" t="inlineStr">
        <is>
          <t>Modular / portable power</t>
        </is>
      </c>
      <c r="D5225" s="12" t="inlineStr">
        <is>
          <t>Analog instrument to JB JB-TM-1-AI05: 20 x 1 pr (field cables)</t>
        </is>
      </c>
      <c r="E5225" s="12" t="inlineStr">
        <is>
          <t>TM-1</t>
        </is>
      </c>
      <c r="F5225" s="12" t="inlineStr">
        <is>
          <t>TM-1: trailer-mounted aeroderivative GT (TM2500 class, ~35 MW)</t>
        </is>
      </c>
      <c r="G5225" s="12" t="inlineStr">
        <is>
          <t>JB-TM-1-AI05</t>
        </is>
      </c>
      <c r="H5225" s="12" t="inlineStr">
        <is>
          <t>TM-1: trailer-mounted aeroderivative GT (TM2500 class, ~35 MW)</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7" t="n">
        <v>108</v>
      </c>
      <c r="U5225" s="17" t="n">
        <v>10</v>
      </c>
      <c r="V5225" s="17">
        <f>ROUNDUP((T5225+U5225+2*'Read Me'!$B$13)*(1+'Read Me'!$B$12),-1)</f>
        <v/>
      </c>
      <c r="W5225" s="17">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I-I-0616</t>
        </is>
      </c>
      <c r="B5226" s="12" t="inlineStr">
        <is>
          <t>I</t>
        </is>
      </c>
      <c r="C5226" s="12" t="inlineStr">
        <is>
          <t>Modular / portable power</t>
        </is>
      </c>
      <c r="D5226" s="12" t="inlineStr">
        <is>
          <t>Home run JB-TM-1-AI05 to the control / marshalling room</t>
        </is>
      </c>
      <c r="E5226" s="12" t="inlineStr">
        <is>
          <t>PAD-EH</t>
        </is>
      </c>
      <c r="F5226" s="12" t="inlineStr">
        <is>
          <t>PAD-EH 13.8 kV switchgear e-house</t>
        </is>
      </c>
      <c r="G5226" s="12" t="inlineStr">
        <is>
          <t>JB-TM-1-AI05</t>
        </is>
      </c>
      <c r="H5226" s="12" t="inlineStr">
        <is>
          <t>TM-1: trailer-mounted aeroderivative GT (TM2500 class, ~35 MW)</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Surface</t>
        </is>
      </c>
      <c r="T5226" s="17" t="n">
        <v>370</v>
      </c>
      <c r="U5226" s="17" t="n">
        <v>50</v>
      </c>
      <c r="V5226" s="17">
        <f>ROUNDUP((T5226+U5226+2*'Read Me'!$B$13)*(1+'Read Me'!$B$12),-1)</f>
        <v/>
      </c>
      <c r="W5226" s="17">
        <f>V5226*N5226*O5226</f>
        <v/>
      </c>
      <c r="X5226" s="12">
        <f>IF(LEFT(I5226,2)="MV",2*N5226*IF(L5226="1/C",O5226,1),0)</f>
        <v/>
      </c>
      <c r="Y5226" s="12">
        <f>IF(OR(LEFT(K5226,4)="LVAX",LEFT(K5226,6)="MV15AX",LEFT(K5226,4)="CTAX",LEFT(K5226,2)="W|"),2*N5226*O5226,0)</f>
        <v/>
      </c>
      <c r="Z5226" s="12" t="inlineStr"/>
      <c r="AA5226" s="12">
        <f>N5226*O5226</f>
        <v/>
      </c>
    </row>
    <row r="5227">
      <c r="A5227" s="12" t="inlineStr">
        <is>
          <t>I-I-0617</t>
        </is>
      </c>
      <c r="B5227" s="12" t="inlineStr">
        <is>
          <t>I</t>
        </is>
      </c>
      <c r="C5227" s="12" t="inlineStr">
        <is>
          <t>Modular / portable power</t>
        </is>
      </c>
      <c r="D5227" s="12" t="inlineStr">
        <is>
          <t>Discrete device to JB JB-TM-1-DI01: 20 x 1 pr (field cables)</t>
        </is>
      </c>
      <c r="E5227" s="12" t="inlineStr">
        <is>
          <t>TM-1</t>
        </is>
      </c>
      <c r="F5227" s="12" t="inlineStr">
        <is>
          <t>TM-1: trailer-mounted aeroderivative GT (TM2500 class, ~35 MW)</t>
        </is>
      </c>
      <c r="G5227" s="12" t="inlineStr">
        <is>
          <t>JB-TM-1-DI01</t>
        </is>
      </c>
      <c r="H5227" s="12" t="inlineStr">
        <is>
          <t>TM-1: trailer-mounted aeroderivative GT (TM2500 class, ~35 MW)</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7" t="n">
        <v>108</v>
      </c>
      <c r="U5227" s="17" t="n">
        <v>10</v>
      </c>
      <c r="V5227" s="17">
        <f>ROUNDUP((T5227+U5227+2*'Read Me'!$B$13)*(1+'Read Me'!$B$12),-1)</f>
        <v/>
      </c>
      <c r="W5227" s="17">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I-I-0618</t>
        </is>
      </c>
      <c r="B5228" s="12" t="inlineStr">
        <is>
          <t>I</t>
        </is>
      </c>
      <c r="C5228" s="12" t="inlineStr">
        <is>
          <t>Modular / portable power</t>
        </is>
      </c>
      <c r="D5228" s="12" t="inlineStr">
        <is>
          <t>Home run JB-TM-1-DI01 to the control / marshalling room</t>
        </is>
      </c>
      <c r="E5228" s="12" t="inlineStr">
        <is>
          <t>PAD-EH</t>
        </is>
      </c>
      <c r="F5228" s="12" t="inlineStr">
        <is>
          <t>PAD-EH 13.8 kV switchgear e-house</t>
        </is>
      </c>
      <c r="G5228" s="12" t="inlineStr">
        <is>
          <t>JB-TM-1-DI01</t>
        </is>
      </c>
      <c r="H5228" s="12" t="inlineStr">
        <is>
          <t>TM-1: trailer-mounted aeroderivative GT (TM2500 class, ~35 MW)</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Surface</t>
        </is>
      </c>
      <c r="T5228" s="17" t="n">
        <v>370</v>
      </c>
      <c r="U5228" s="17" t="n">
        <v>50</v>
      </c>
      <c r="V5228" s="17">
        <f>ROUNDUP((T5228+U5228+2*'Read Me'!$B$13)*(1+'Read Me'!$B$12),-1)</f>
        <v/>
      </c>
      <c r="W5228" s="17">
        <f>V5228*N5228*O5228</f>
        <v/>
      </c>
      <c r="X5228" s="12">
        <f>IF(LEFT(I5228,2)="MV",2*N5228*IF(L5228="1/C",O5228,1),0)</f>
        <v/>
      </c>
      <c r="Y5228" s="12">
        <f>IF(OR(LEFT(K5228,4)="LVAX",LEFT(K5228,6)="MV15AX",LEFT(K5228,4)="CTAX",LEFT(K5228,2)="W|"),2*N5228*O5228,0)</f>
        <v/>
      </c>
      <c r="Z5228" s="12" t="inlineStr"/>
      <c r="AA5228" s="12">
        <f>N5228*O5228</f>
        <v/>
      </c>
    </row>
    <row r="5229">
      <c r="A5229" s="12" t="inlineStr">
        <is>
          <t>I-I-0619</t>
        </is>
      </c>
      <c r="B5229" s="12" t="inlineStr">
        <is>
          <t>I</t>
        </is>
      </c>
      <c r="C5229" s="12" t="inlineStr">
        <is>
          <t>Modular / portable power</t>
        </is>
      </c>
      <c r="D5229" s="12" t="inlineStr">
        <is>
          <t>Discrete device to JB JB-TM-1-DI02: 20 x 1 pr (field cables)</t>
        </is>
      </c>
      <c r="E5229" s="12" t="inlineStr">
        <is>
          <t>TM-1</t>
        </is>
      </c>
      <c r="F5229" s="12" t="inlineStr">
        <is>
          <t>TM-1: trailer-mounted aeroderivative GT (TM2500 class, ~35 MW)</t>
        </is>
      </c>
      <c r="G5229" s="12" t="inlineStr">
        <is>
          <t>JB-TM-1-DI02</t>
        </is>
      </c>
      <c r="H5229" s="12" t="inlineStr">
        <is>
          <t>TM-1: trailer-mounted aeroderivative GT (TM2500 class, ~35 MW)</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7" t="n">
        <v>108</v>
      </c>
      <c r="U5229" s="17" t="n">
        <v>10</v>
      </c>
      <c r="V5229" s="17">
        <f>ROUNDUP((T5229+U5229+2*'Read Me'!$B$13)*(1+'Read Me'!$B$12),-1)</f>
        <v/>
      </c>
      <c r="W5229" s="17">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I-I-0620</t>
        </is>
      </c>
      <c r="B5230" s="12" t="inlineStr">
        <is>
          <t>I</t>
        </is>
      </c>
      <c r="C5230" s="12" t="inlineStr">
        <is>
          <t>Modular / portable power</t>
        </is>
      </c>
      <c r="D5230" s="12" t="inlineStr">
        <is>
          <t>Home run JB-TM-1-DI02 to the control / marshalling room</t>
        </is>
      </c>
      <c r="E5230" s="12" t="inlineStr">
        <is>
          <t>PAD-EH</t>
        </is>
      </c>
      <c r="F5230" s="12" t="inlineStr">
        <is>
          <t>PAD-EH 13.8 kV switchgear e-house</t>
        </is>
      </c>
      <c r="G5230" s="12" t="inlineStr">
        <is>
          <t>JB-TM-1-DI02</t>
        </is>
      </c>
      <c r="H5230" s="12" t="inlineStr">
        <is>
          <t>TM-1: trailer-mounted aeroderivative GT (TM2500 class, ~35 MW)</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Surface</t>
        </is>
      </c>
      <c r="T5230" s="17" t="n">
        <v>370</v>
      </c>
      <c r="U5230" s="17" t="n">
        <v>50</v>
      </c>
      <c r="V5230" s="17">
        <f>ROUNDUP((T5230+U5230+2*'Read Me'!$B$13)*(1+'Read Me'!$B$12),-1)</f>
        <v/>
      </c>
      <c r="W5230" s="17">
        <f>V5230*N5230*O5230</f>
        <v/>
      </c>
      <c r="X5230" s="12">
        <f>IF(LEFT(I5230,2)="MV",2*N5230*IF(L5230="1/C",O5230,1),0)</f>
        <v/>
      </c>
      <c r="Y5230" s="12">
        <f>IF(OR(LEFT(K5230,4)="LVAX",LEFT(K5230,6)="MV15AX",LEFT(K5230,4)="CTAX",LEFT(K5230,2)="W|"),2*N5230*O5230,0)</f>
        <v/>
      </c>
      <c r="Z5230" s="12" t="inlineStr"/>
      <c r="AA5230" s="12">
        <f>N5230*O5230</f>
        <v/>
      </c>
    </row>
    <row r="5231">
      <c r="A5231" s="12" t="inlineStr">
        <is>
          <t>I-I-0621</t>
        </is>
      </c>
      <c r="B5231" s="12" t="inlineStr">
        <is>
          <t>I</t>
        </is>
      </c>
      <c r="C5231" s="12" t="inlineStr">
        <is>
          <t>Modular / portable power</t>
        </is>
      </c>
      <c r="D5231" s="12" t="inlineStr">
        <is>
          <t>Discrete device to JB JB-TM-1-DI03: 20 x 1 pr (field cables)</t>
        </is>
      </c>
      <c r="E5231" s="12" t="inlineStr">
        <is>
          <t>TM-1</t>
        </is>
      </c>
      <c r="F5231" s="12" t="inlineStr">
        <is>
          <t>TM-1: trailer-mounted aeroderivative GT (TM2500 class, ~35 MW)</t>
        </is>
      </c>
      <c r="G5231" s="12" t="inlineStr">
        <is>
          <t>JB-TM-1-DI03</t>
        </is>
      </c>
      <c r="H5231" s="12" t="inlineStr">
        <is>
          <t>TM-1: trailer-mounted aeroderivative GT (TM2500 class, ~35 MW)</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7" t="n">
        <v>108</v>
      </c>
      <c r="U5231" s="17" t="n">
        <v>10</v>
      </c>
      <c r="V5231" s="17">
        <f>ROUNDUP((T5231+U5231+2*'Read Me'!$B$13)*(1+'Read Me'!$B$12),-1)</f>
        <v/>
      </c>
      <c r="W5231" s="17">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I-I-0622</t>
        </is>
      </c>
      <c r="B5232" s="12" t="inlineStr">
        <is>
          <t>I</t>
        </is>
      </c>
      <c r="C5232" s="12" t="inlineStr">
        <is>
          <t>Modular / portable power</t>
        </is>
      </c>
      <c r="D5232" s="12" t="inlineStr">
        <is>
          <t>Home run JB-TM-1-DI03 to the control / marshalling room</t>
        </is>
      </c>
      <c r="E5232" s="12" t="inlineStr">
        <is>
          <t>PAD-EH</t>
        </is>
      </c>
      <c r="F5232" s="12" t="inlineStr">
        <is>
          <t>PAD-EH 13.8 kV switchgear e-house</t>
        </is>
      </c>
      <c r="G5232" s="12" t="inlineStr">
        <is>
          <t>JB-TM-1-DI03</t>
        </is>
      </c>
      <c r="H5232" s="12" t="inlineStr">
        <is>
          <t>TM-1: trailer-mounted aeroderivative GT (TM2500 class, ~35 MW)</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Surface</t>
        </is>
      </c>
      <c r="T5232" s="17" t="n">
        <v>370</v>
      </c>
      <c r="U5232" s="17" t="n">
        <v>50</v>
      </c>
      <c r="V5232" s="17">
        <f>ROUNDUP((T5232+U5232+2*'Read Me'!$B$13)*(1+'Read Me'!$B$12),-1)</f>
        <v/>
      </c>
      <c r="W5232" s="17">
        <f>V5232*N5232*O5232</f>
        <v/>
      </c>
      <c r="X5232" s="12">
        <f>IF(LEFT(I5232,2)="MV",2*N5232*IF(L5232="1/C",O5232,1),0)</f>
        <v/>
      </c>
      <c r="Y5232" s="12">
        <f>IF(OR(LEFT(K5232,4)="LVAX",LEFT(K5232,6)="MV15AX",LEFT(K5232,4)="CTAX",LEFT(K5232,2)="W|"),2*N5232*O5232,0)</f>
        <v/>
      </c>
      <c r="Z5232" s="12" t="inlineStr"/>
      <c r="AA5232" s="12">
        <f>N5232*O5232</f>
        <v/>
      </c>
    </row>
    <row r="5233">
      <c r="A5233" s="12" t="inlineStr">
        <is>
          <t>I-I-0623</t>
        </is>
      </c>
      <c r="B5233" s="12" t="inlineStr">
        <is>
          <t>I</t>
        </is>
      </c>
      <c r="C5233" s="12" t="inlineStr">
        <is>
          <t>Modular / portable power</t>
        </is>
      </c>
      <c r="D5233" s="12" t="inlineStr">
        <is>
          <t>Thermocouple to TC JB JB-TM-1-TC01: 20 x 1 pr (field cables)</t>
        </is>
      </c>
      <c r="E5233" s="12" t="inlineStr">
        <is>
          <t>TM-1</t>
        </is>
      </c>
      <c r="F5233" s="12" t="inlineStr">
        <is>
          <t>TM-1: trailer-mounted aeroderivative GT (TM2500 class, ~35 MW)</t>
        </is>
      </c>
      <c r="G5233" s="12" t="inlineStr">
        <is>
          <t>JB-TM-1-TC01</t>
        </is>
      </c>
      <c r="H5233" s="12" t="inlineStr">
        <is>
          <t>TM-1: trailer-mounted aeroderivative GT (TM2500 class, ~35 MW)</t>
        </is>
      </c>
      <c r="I5233" s="12" t="inlineStr">
        <is>
          <t>Instrumentation</t>
        </is>
      </c>
      <c r="J5233" s="12" t="inlineStr">
        <is>
          <t>Thermocouple extension KX, #16 shielded pairs, PLTC</t>
        </is>
      </c>
      <c r="K5233" s="12" t="inlineStr">
        <is>
          <t>TCX|1 pr|16</t>
        </is>
      </c>
      <c r="L5233" s="12" t="inlineStr">
        <is>
          <t>1 pr</t>
        </is>
      </c>
      <c r="M5233" s="12" t="inlineStr">
        <is>
          <t>16</t>
        </is>
      </c>
      <c r="N5233" s="12" t="n">
        <v>20</v>
      </c>
      <c r="O5233" s="12" t="n">
        <v>1</v>
      </c>
      <c r="P5233" s="12" t="n"/>
      <c r="Q5233" s="12" t="n"/>
      <c r="R5233" s="12" t="n"/>
      <c r="S5233" s="12" t="inlineStr">
        <is>
          <t>Tray / conduit</t>
        </is>
      </c>
      <c r="T5233" s="17" t="n">
        <v>108</v>
      </c>
      <c r="U5233" s="17" t="n">
        <v>10</v>
      </c>
      <c r="V5233" s="17">
        <f>ROUNDUP((T5233+U5233+2*'Read Me'!$B$13)*(1+'Read Me'!$B$12),-1)</f>
        <v/>
      </c>
      <c r="W5233" s="17">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I-I-0624</t>
        </is>
      </c>
      <c r="B5234" s="12" t="inlineStr">
        <is>
          <t>I</t>
        </is>
      </c>
      <c r="C5234" s="12" t="inlineStr">
        <is>
          <t>Modular / portable power</t>
        </is>
      </c>
      <c r="D5234" s="12" t="inlineStr">
        <is>
          <t>Home run JB-TM-1-TC01 to the control / marshalling room</t>
        </is>
      </c>
      <c r="E5234" s="12" t="inlineStr">
        <is>
          <t>PAD-EH</t>
        </is>
      </c>
      <c r="F5234" s="12" t="inlineStr">
        <is>
          <t>PAD-EH 13.8 kV switchgear e-house</t>
        </is>
      </c>
      <c r="G5234" s="12" t="inlineStr">
        <is>
          <t>JB-TM-1-TC01</t>
        </is>
      </c>
      <c r="H5234" s="12" t="inlineStr">
        <is>
          <t>TM-1: trailer-mounted aeroderivative GT (TM2500 class, ~35 MW)</t>
        </is>
      </c>
      <c r="I5234" s="12" t="inlineStr">
        <is>
          <t>Instrumentation</t>
        </is>
      </c>
      <c r="J5234" s="12" t="inlineStr">
        <is>
          <t>Thermocouple extension KX, #16 shielded pairs, PLTC</t>
        </is>
      </c>
      <c r="K5234" s="12" t="inlineStr">
        <is>
          <t>TCX|24 pr|16</t>
        </is>
      </c>
      <c r="L5234" s="12" t="inlineStr">
        <is>
          <t>24 pr</t>
        </is>
      </c>
      <c r="M5234" s="12" t="inlineStr">
        <is>
          <t>16</t>
        </is>
      </c>
      <c r="N5234" s="12" t="n">
        <v>1</v>
      </c>
      <c r="O5234" s="12" t="n">
        <v>1</v>
      </c>
      <c r="P5234" s="12" t="n"/>
      <c r="Q5234" s="12" t="n"/>
      <c r="R5234" s="12" t="n"/>
      <c r="S5234" s="12" t="inlineStr">
        <is>
          <t>Surface</t>
        </is>
      </c>
      <c r="T5234" s="17" t="n">
        <v>370</v>
      </c>
      <c r="U5234" s="17" t="n">
        <v>50</v>
      </c>
      <c r="V5234" s="17">
        <f>ROUNDUP((T5234+U5234+2*'Read Me'!$B$13)*(1+'Read Me'!$B$12),-1)</f>
        <v/>
      </c>
      <c r="W5234" s="17">
        <f>V5234*N5234*O5234</f>
        <v/>
      </c>
      <c r="X5234" s="12">
        <f>IF(LEFT(I5234,2)="MV",2*N5234*IF(L5234="1/C",O5234,1),0)</f>
        <v/>
      </c>
      <c r="Y5234" s="12">
        <f>IF(OR(LEFT(K5234,4)="LVAX",LEFT(K5234,6)="MV15AX",LEFT(K5234,4)="CTAX",LEFT(K5234,2)="W|"),2*N5234*O5234,0)</f>
        <v/>
      </c>
      <c r="Z5234" s="12" t="inlineStr"/>
      <c r="AA5234" s="12">
        <f>N5234*O5234</f>
        <v/>
      </c>
    </row>
    <row r="5235">
      <c r="A5235" s="12" t="inlineStr">
        <is>
          <t>I-I-0625</t>
        </is>
      </c>
      <c r="B5235" s="12" t="inlineStr">
        <is>
          <t>I</t>
        </is>
      </c>
      <c r="C5235" s="12" t="inlineStr">
        <is>
          <t>Modular / portable power</t>
        </is>
      </c>
      <c r="D5235" s="12" t="inlineStr">
        <is>
          <t>Analog instrument to JB JB-TM-2-AI01: 20 x 1 pr (field cables)</t>
        </is>
      </c>
      <c r="E5235" s="12" t="inlineStr">
        <is>
          <t>TM-2</t>
        </is>
      </c>
      <c r="F5235" s="12" t="inlineStr">
        <is>
          <t>TM-2: trailer-mounted aeroderivative GT (TM2500 class, ~35 MW)</t>
        </is>
      </c>
      <c r="G5235" s="12" t="inlineStr">
        <is>
          <t>JB-TM-2-AI01</t>
        </is>
      </c>
      <c r="H5235" s="12" t="inlineStr">
        <is>
          <t>TM-2: trailer-mounted aeroderivative GT (TM2500 class, ~35 MW)</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7" t="n">
        <v>108</v>
      </c>
      <c r="U5235" s="17" t="n">
        <v>10</v>
      </c>
      <c r="V5235" s="17">
        <f>ROUNDUP((T5235+U5235+2*'Read Me'!$B$13)*(1+'Read Me'!$B$12),-1)</f>
        <v/>
      </c>
      <c r="W5235" s="17">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I-I-0626</t>
        </is>
      </c>
      <c r="B5236" s="12" t="inlineStr">
        <is>
          <t>I</t>
        </is>
      </c>
      <c r="C5236" s="12" t="inlineStr">
        <is>
          <t>Modular / portable power</t>
        </is>
      </c>
      <c r="D5236" s="12" t="inlineStr">
        <is>
          <t>Home run JB-TM-2-AI01 to the control / marshalling room</t>
        </is>
      </c>
      <c r="E5236" s="12" t="inlineStr">
        <is>
          <t>PAD-EH</t>
        </is>
      </c>
      <c r="F5236" s="12" t="inlineStr">
        <is>
          <t>PAD-EH 13.8 kV switchgear e-house</t>
        </is>
      </c>
      <c r="G5236" s="12" t="inlineStr">
        <is>
          <t>JB-TM-2-AI01</t>
        </is>
      </c>
      <c r="H5236" s="12" t="inlineStr">
        <is>
          <t>TM-2: trailer-mounted aeroderivative GT (TM2500 class, ~35 MW)</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Surface</t>
        </is>
      </c>
      <c r="T5236" s="17" t="n">
        <v>370</v>
      </c>
      <c r="U5236" s="17" t="n">
        <v>56</v>
      </c>
      <c r="V5236" s="17">
        <f>ROUNDUP((T5236+U5236+2*'Read Me'!$B$13)*(1+'Read Me'!$B$12),-1)</f>
        <v/>
      </c>
      <c r="W5236" s="17">
        <f>V5236*N5236*O5236</f>
        <v/>
      </c>
      <c r="X5236" s="12">
        <f>IF(LEFT(I5236,2)="MV",2*N5236*IF(L5236="1/C",O5236,1),0)</f>
        <v/>
      </c>
      <c r="Y5236" s="12">
        <f>IF(OR(LEFT(K5236,4)="LVAX",LEFT(K5236,6)="MV15AX",LEFT(K5236,4)="CTAX",LEFT(K5236,2)="W|"),2*N5236*O5236,0)</f>
        <v/>
      </c>
      <c r="Z5236" s="12" t="inlineStr"/>
      <c r="AA5236" s="12">
        <f>N5236*O5236</f>
        <v/>
      </c>
    </row>
    <row r="5237">
      <c r="A5237" s="12" t="inlineStr">
        <is>
          <t>I-I-0627</t>
        </is>
      </c>
      <c r="B5237" s="12" t="inlineStr">
        <is>
          <t>I</t>
        </is>
      </c>
      <c r="C5237" s="12" t="inlineStr">
        <is>
          <t>Modular / portable power</t>
        </is>
      </c>
      <c r="D5237" s="12" t="inlineStr">
        <is>
          <t>Analog instrument to JB JB-TM-2-AI02: 20 x 1 pr (field cables)</t>
        </is>
      </c>
      <c r="E5237" s="12" t="inlineStr">
        <is>
          <t>TM-2</t>
        </is>
      </c>
      <c r="F5237" s="12" t="inlineStr">
        <is>
          <t>TM-2: trailer-mounted aeroderivative GT (TM2500 class, ~35 MW)</t>
        </is>
      </c>
      <c r="G5237" s="12" t="inlineStr">
        <is>
          <t>JB-TM-2-AI02</t>
        </is>
      </c>
      <c r="H5237" s="12" t="inlineStr">
        <is>
          <t>TM-2: trailer-mounted aeroderivative GT (TM2500 class, ~35 MW)</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7" t="n">
        <v>108</v>
      </c>
      <c r="U5237" s="17" t="n">
        <v>10</v>
      </c>
      <c r="V5237" s="17">
        <f>ROUNDUP((T5237+U5237+2*'Read Me'!$B$13)*(1+'Read Me'!$B$12),-1)</f>
        <v/>
      </c>
      <c r="W5237" s="17">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I-I-0628</t>
        </is>
      </c>
      <c r="B5238" s="12" t="inlineStr">
        <is>
          <t>I</t>
        </is>
      </c>
      <c r="C5238" s="12" t="inlineStr">
        <is>
          <t>Modular / portable power</t>
        </is>
      </c>
      <c r="D5238" s="12" t="inlineStr">
        <is>
          <t>Home run JB-TM-2-AI02 to the control / marshalling room</t>
        </is>
      </c>
      <c r="E5238" s="12" t="inlineStr">
        <is>
          <t>PAD-EH</t>
        </is>
      </c>
      <c r="F5238" s="12" t="inlineStr">
        <is>
          <t>PAD-EH 13.8 kV switchgear e-house</t>
        </is>
      </c>
      <c r="G5238" s="12" t="inlineStr">
        <is>
          <t>JB-TM-2-AI02</t>
        </is>
      </c>
      <c r="H5238" s="12" t="inlineStr">
        <is>
          <t>TM-2: trailer-mounted aeroderivative GT (TM2500 class, ~35 MW)</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Surface</t>
        </is>
      </c>
      <c r="T5238" s="17" t="n">
        <v>370</v>
      </c>
      <c r="U5238" s="17" t="n">
        <v>56</v>
      </c>
      <c r="V5238" s="17">
        <f>ROUNDUP((T5238+U5238+2*'Read Me'!$B$13)*(1+'Read Me'!$B$12),-1)</f>
        <v/>
      </c>
      <c r="W5238" s="17">
        <f>V5238*N5238*O5238</f>
        <v/>
      </c>
      <c r="X5238" s="12">
        <f>IF(LEFT(I5238,2)="MV",2*N5238*IF(L5238="1/C",O5238,1),0)</f>
        <v/>
      </c>
      <c r="Y5238" s="12">
        <f>IF(OR(LEFT(K5238,4)="LVAX",LEFT(K5238,6)="MV15AX",LEFT(K5238,4)="CTAX",LEFT(K5238,2)="W|"),2*N5238*O5238,0)</f>
        <v/>
      </c>
      <c r="Z5238" s="12" t="inlineStr"/>
      <c r="AA5238" s="12">
        <f>N5238*O5238</f>
        <v/>
      </c>
    </row>
    <row r="5239">
      <c r="A5239" s="12" t="inlineStr">
        <is>
          <t>I-I-0629</t>
        </is>
      </c>
      <c r="B5239" s="12" t="inlineStr">
        <is>
          <t>I</t>
        </is>
      </c>
      <c r="C5239" s="12" t="inlineStr">
        <is>
          <t>Modular / portable power</t>
        </is>
      </c>
      <c r="D5239" s="12" t="inlineStr">
        <is>
          <t>Analog instrument to JB JB-TM-2-AI03: 20 x 1 pr (field cables)</t>
        </is>
      </c>
      <c r="E5239" s="12" t="inlineStr">
        <is>
          <t>TM-2</t>
        </is>
      </c>
      <c r="F5239" s="12" t="inlineStr">
        <is>
          <t>TM-2: trailer-mounted aeroderivative GT (TM2500 class, ~35 MW)</t>
        </is>
      </c>
      <c r="G5239" s="12" t="inlineStr">
        <is>
          <t>JB-TM-2-AI03</t>
        </is>
      </c>
      <c r="H5239" s="12" t="inlineStr">
        <is>
          <t>TM-2: trailer-mounted aeroderivative GT (TM2500 class, ~35 MW)</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7" t="n">
        <v>108</v>
      </c>
      <c r="U5239" s="17" t="n">
        <v>10</v>
      </c>
      <c r="V5239" s="17">
        <f>ROUNDUP((T5239+U5239+2*'Read Me'!$B$13)*(1+'Read Me'!$B$12),-1)</f>
        <v/>
      </c>
      <c r="W5239" s="17">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I-I-0630</t>
        </is>
      </c>
      <c r="B5240" s="12" t="inlineStr">
        <is>
          <t>I</t>
        </is>
      </c>
      <c r="C5240" s="12" t="inlineStr">
        <is>
          <t>Modular / portable power</t>
        </is>
      </c>
      <c r="D5240" s="12" t="inlineStr">
        <is>
          <t>Home run JB-TM-2-AI03 to the control / marshalling room</t>
        </is>
      </c>
      <c r="E5240" s="12" t="inlineStr">
        <is>
          <t>PAD-EH</t>
        </is>
      </c>
      <c r="F5240" s="12" t="inlineStr">
        <is>
          <t>PAD-EH 13.8 kV switchgear e-house</t>
        </is>
      </c>
      <c r="G5240" s="12" t="inlineStr">
        <is>
          <t>JB-TM-2-AI03</t>
        </is>
      </c>
      <c r="H5240" s="12" t="inlineStr">
        <is>
          <t>TM-2: trailer-mounted aeroderivative GT (TM2500 class, ~35 MW)</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Surface</t>
        </is>
      </c>
      <c r="T5240" s="17" t="n">
        <v>370</v>
      </c>
      <c r="U5240" s="17" t="n">
        <v>56</v>
      </c>
      <c r="V5240" s="17">
        <f>ROUNDUP((T5240+U5240+2*'Read Me'!$B$13)*(1+'Read Me'!$B$12),-1)</f>
        <v/>
      </c>
      <c r="W5240" s="17">
        <f>V5240*N5240*O5240</f>
        <v/>
      </c>
      <c r="X5240" s="12">
        <f>IF(LEFT(I5240,2)="MV",2*N5240*IF(L5240="1/C",O5240,1),0)</f>
        <v/>
      </c>
      <c r="Y5240" s="12">
        <f>IF(OR(LEFT(K5240,4)="LVAX",LEFT(K5240,6)="MV15AX",LEFT(K5240,4)="CTAX",LEFT(K5240,2)="W|"),2*N5240*O5240,0)</f>
        <v/>
      </c>
      <c r="Z5240" s="12" t="inlineStr"/>
      <c r="AA5240" s="12">
        <f>N5240*O5240</f>
        <v/>
      </c>
    </row>
    <row r="5241">
      <c r="A5241" s="12" t="inlineStr">
        <is>
          <t>I-I-0631</t>
        </is>
      </c>
      <c r="B5241" s="12" t="inlineStr">
        <is>
          <t>I</t>
        </is>
      </c>
      <c r="C5241" s="12" t="inlineStr">
        <is>
          <t>Modular / portable power</t>
        </is>
      </c>
      <c r="D5241" s="12" t="inlineStr">
        <is>
          <t>Analog instrument to JB JB-TM-2-AI04: 20 x 1 pr (field cables)</t>
        </is>
      </c>
      <c r="E5241" s="12" t="inlineStr">
        <is>
          <t>TM-2</t>
        </is>
      </c>
      <c r="F5241" s="12" t="inlineStr">
        <is>
          <t>TM-2: trailer-mounted aeroderivative GT (TM2500 class, ~35 MW)</t>
        </is>
      </c>
      <c r="G5241" s="12" t="inlineStr">
        <is>
          <t>JB-TM-2-AI04</t>
        </is>
      </c>
      <c r="H5241" s="12" t="inlineStr">
        <is>
          <t>TM-2: trailer-mounted aeroderivative GT (TM2500 class, ~35 MW)</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7" t="n">
        <v>108</v>
      </c>
      <c r="U5241" s="17" t="n">
        <v>10</v>
      </c>
      <c r="V5241" s="17">
        <f>ROUNDUP((T5241+U5241+2*'Read Me'!$B$13)*(1+'Read Me'!$B$12),-1)</f>
        <v/>
      </c>
      <c r="W5241" s="17">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I-I-0632</t>
        </is>
      </c>
      <c r="B5242" s="12" t="inlineStr">
        <is>
          <t>I</t>
        </is>
      </c>
      <c r="C5242" s="12" t="inlineStr">
        <is>
          <t>Modular / portable power</t>
        </is>
      </c>
      <c r="D5242" s="12" t="inlineStr">
        <is>
          <t>Home run JB-TM-2-AI04 to the control / marshalling room</t>
        </is>
      </c>
      <c r="E5242" s="12" t="inlineStr">
        <is>
          <t>PAD-EH</t>
        </is>
      </c>
      <c r="F5242" s="12" t="inlineStr">
        <is>
          <t>PAD-EH 13.8 kV switchgear e-house</t>
        </is>
      </c>
      <c r="G5242" s="12" t="inlineStr">
        <is>
          <t>JB-TM-2-AI04</t>
        </is>
      </c>
      <c r="H5242" s="12" t="inlineStr">
        <is>
          <t>TM-2: trailer-mounted aeroderivative GT (TM2500 class, ~35 MW)</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Surface</t>
        </is>
      </c>
      <c r="T5242" s="17" t="n">
        <v>370</v>
      </c>
      <c r="U5242" s="17" t="n">
        <v>56</v>
      </c>
      <c r="V5242" s="17">
        <f>ROUNDUP((T5242+U5242+2*'Read Me'!$B$13)*(1+'Read Me'!$B$12),-1)</f>
        <v/>
      </c>
      <c r="W5242" s="17">
        <f>V5242*N5242*O5242</f>
        <v/>
      </c>
      <c r="X5242" s="12">
        <f>IF(LEFT(I5242,2)="MV",2*N5242*IF(L5242="1/C",O5242,1),0)</f>
        <v/>
      </c>
      <c r="Y5242" s="12">
        <f>IF(OR(LEFT(K5242,4)="LVAX",LEFT(K5242,6)="MV15AX",LEFT(K5242,4)="CTAX",LEFT(K5242,2)="W|"),2*N5242*O5242,0)</f>
        <v/>
      </c>
      <c r="Z5242" s="12" t="inlineStr"/>
      <c r="AA5242" s="12">
        <f>N5242*O5242</f>
        <v/>
      </c>
    </row>
    <row r="5243">
      <c r="A5243" s="12" t="inlineStr">
        <is>
          <t>I-I-0633</t>
        </is>
      </c>
      <c r="B5243" s="12" t="inlineStr">
        <is>
          <t>I</t>
        </is>
      </c>
      <c r="C5243" s="12" t="inlineStr">
        <is>
          <t>Modular / portable power</t>
        </is>
      </c>
      <c r="D5243" s="12" t="inlineStr">
        <is>
          <t>Analog instrument to JB JB-TM-2-AI05: 20 x 1 pr (field cables)</t>
        </is>
      </c>
      <c r="E5243" s="12" t="inlineStr">
        <is>
          <t>TM-2</t>
        </is>
      </c>
      <c r="F5243" s="12" t="inlineStr">
        <is>
          <t>TM-2: trailer-mounted aeroderivative GT (TM2500 class, ~35 MW)</t>
        </is>
      </c>
      <c r="G5243" s="12" t="inlineStr">
        <is>
          <t>JB-TM-2-AI05</t>
        </is>
      </c>
      <c r="H5243" s="12" t="inlineStr">
        <is>
          <t>TM-2: trailer-mounted aeroderivative GT (TM2500 class, ~35 MW)</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7" t="n">
        <v>108</v>
      </c>
      <c r="U5243" s="17" t="n">
        <v>10</v>
      </c>
      <c r="V5243" s="17">
        <f>ROUNDUP((T5243+U5243+2*'Read Me'!$B$13)*(1+'Read Me'!$B$12),-1)</f>
        <v/>
      </c>
      <c r="W5243" s="17">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I-I-0634</t>
        </is>
      </c>
      <c r="B5244" s="12" t="inlineStr">
        <is>
          <t>I</t>
        </is>
      </c>
      <c r="C5244" s="12" t="inlineStr">
        <is>
          <t>Modular / portable power</t>
        </is>
      </c>
      <c r="D5244" s="12" t="inlineStr">
        <is>
          <t>Home run JB-TM-2-AI05 to the control / marshalling room</t>
        </is>
      </c>
      <c r="E5244" s="12" t="inlineStr">
        <is>
          <t>PAD-EH</t>
        </is>
      </c>
      <c r="F5244" s="12" t="inlineStr">
        <is>
          <t>PAD-EH 13.8 kV switchgear e-house</t>
        </is>
      </c>
      <c r="G5244" s="12" t="inlineStr">
        <is>
          <t>JB-TM-2-AI05</t>
        </is>
      </c>
      <c r="H5244" s="12" t="inlineStr">
        <is>
          <t>TM-2: trailer-mounted aeroderivative GT (TM2500 class, ~35 MW)</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Surface</t>
        </is>
      </c>
      <c r="T5244" s="17" t="n">
        <v>370</v>
      </c>
      <c r="U5244" s="17" t="n">
        <v>56</v>
      </c>
      <c r="V5244" s="17">
        <f>ROUNDUP((T5244+U5244+2*'Read Me'!$B$13)*(1+'Read Me'!$B$12),-1)</f>
        <v/>
      </c>
      <c r="W5244" s="17">
        <f>V5244*N5244*O5244</f>
        <v/>
      </c>
      <c r="X5244" s="12">
        <f>IF(LEFT(I5244,2)="MV",2*N5244*IF(L5244="1/C",O5244,1),0)</f>
        <v/>
      </c>
      <c r="Y5244" s="12">
        <f>IF(OR(LEFT(K5244,4)="LVAX",LEFT(K5244,6)="MV15AX",LEFT(K5244,4)="CTAX",LEFT(K5244,2)="W|"),2*N5244*O5244,0)</f>
        <v/>
      </c>
      <c r="Z5244" s="12" t="inlineStr"/>
      <c r="AA5244" s="12">
        <f>N5244*O5244</f>
        <v/>
      </c>
    </row>
    <row r="5245">
      <c r="A5245" s="12" t="inlineStr">
        <is>
          <t>I-I-0635</t>
        </is>
      </c>
      <c r="B5245" s="12" t="inlineStr">
        <is>
          <t>I</t>
        </is>
      </c>
      <c r="C5245" s="12" t="inlineStr">
        <is>
          <t>Modular / portable power</t>
        </is>
      </c>
      <c r="D5245" s="12" t="inlineStr">
        <is>
          <t>Discrete device to JB JB-TM-2-DI01: 20 x 1 pr (field cables)</t>
        </is>
      </c>
      <c r="E5245" s="12" t="inlineStr">
        <is>
          <t>TM-2</t>
        </is>
      </c>
      <c r="F5245" s="12" t="inlineStr">
        <is>
          <t>TM-2: trailer-mounted aeroderivative GT (TM2500 class, ~35 MW)</t>
        </is>
      </c>
      <c r="G5245" s="12" t="inlineStr">
        <is>
          <t>JB-TM-2-DI01</t>
        </is>
      </c>
      <c r="H5245" s="12" t="inlineStr">
        <is>
          <t>TM-2: trailer-mounted aeroderivative GT (TM2500 class, ~35 MW)</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7" t="n">
        <v>108</v>
      </c>
      <c r="U5245" s="17" t="n">
        <v>10</v>
      </c>
      <c r="V5245" s="17">
        <f>ROUNDUP((T5245+U5245+2*'Read Me'!$B$13)*(1+'Read Me'!$B$12),-1)</f>
        <v/>
      </c>
      <c r="W5245" s="17">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I-I-0636</t>
        </is>
      </c>
      <c r="B5246" s="12" t="inlineStr">
        <is>
          <t>I</t>
        </is>
      </c>
      <c r="C5246" s="12" t="inlineStr">
        <is>
          <t>Modular / portable power</t>
        </is>
      </c>
      <c r="D5246" s="12" t="inlineStr">
        <is>
          <t>Home run JB-TM-2-DI01 to the control / marshalling room</t>
        </is>
      </c>
      <c r="E5246" s="12" t="inlineStr">
        <is>
          <t>PAD-EH</t>
        </is>
      </c>
      <c r="F5246" s="12" t="inlineStr">
        <is>
          <t>PAD-EH 13.8 kV switchgear e-house</t>
        </is>
      </c>
      <c r="G5246" s="12" t="inlineStr">
        <is>
          <t>JB-TM-2-DI01</t>
        </is>
      </c>
      <c r="H5246" s="12" t="inlineStr">
        <is>
          <t>TM-2: trailer-mounted aeroderivative GT (TM2500 class, ~35 MW)</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Surface</t>
        </is>
      </c>
      <c r="T5246" s="17" t="n">
        <v>370</v>
      </c>
      <c r="U5246" s="17" t="n">
        <v>56</v>
      </c>
      <c r="V5246" s="17">
        <f>ROUNDUP((T5246+U5246+2*'Read Me'!$B$13)*(1+'Read Me'!$B$12),-1)</f>
        <v/>
      </c>
      <c r="W5246" s="17">
        <f>V5246*N5246*O5246</f>
        <v/>
      </c>
      <c r="X5246" s="12">
        <f>IF(LEFT(I5246,2)="MV",2*N5246*IF(L5246="1/C",O5246,1),0)</f>
        <v/>
      </c>
      <c r="Y5246" s="12">
        <f>IF(OR(LEFT(K5246,4)="LVAX",LEFT(K5246,6)="MV15AX",LEFT(K5246,4)="CTAX",LEFT(K5246,2)="W|"),2*N5246*O5246,0)</f>
        <v/>
      </c>
      <c r="Z5246" s="12" t="inlineStr"/>
      <c r="AA5246" s="12">
        <f>N5246*O5246</f>
        <v/>
      </c>
    </row>
    <row r="5247">
      <c r="A5247" s="12" t="inlineStr">
        <is>
          <t>I-I-0637</t>
        </is>
      </c>
      <c r="B5247" s="12" t="inlineStr">
        <is>
          <t>I</t>
        </is>
      </c>
      <c r="C5247" s="12" t="inlineStr">
        <is>
          <t>Modular / portable power</t>
        </is>
      </c>
      <c r="D5247" s="12" t="inlineStr">
        <is>
          <t>Discrete device to JB JB-TM-2-DI02: 20 x 1 pr (field cables)</t>
        </is>
      </c>
      <c r="E5247" s="12" t="inlineStr">
        <is>
          <t>TM-2</t>
        </is>
      </c>
      <c r="F5247" s="12" t="inlineStr">
        <is>
          <t>TM-2: trailer-mounted aeroderivative GT (TM2500 class, ~35 MW)</t>
        </is>
      </c>
      <c r="G5247" s="12" t="inlineStr">
        <is>
          <t>JB-TM-2-DI02</t>
        </is>
      </c>
      <c r="H5247" s="12" t="inlineStr">
        <is>
          <t>TM-2: trailer-mounted aeroderivative GT (TM2500 class, ~35 MW)</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7" t="n">
        <v>108</v>
      </c>
      <c r="U5247" s="17" t="n">
        <v>10</v>
      </c>
      <c r="V5247" s="17">
        <f>ROUNDUP((T5247+U5247+2*'Read Me'!$B$13)*(1+'Read Me'!$B$12),-1)</f>
        <v/>
      </c>
      <c r="W5247" s="17">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I-I-0638</t>
        </is>
      </c>
      <c r="B5248" s="12" t="inlineStr">
        <is>
          <t>I</t>
        </is>
      </c>
      <c r="C5248" s="12" t="inlineStr">
        <is>
          <t>Modular / portable power</t>
        </is>
      </c>
      <c r="D5248" s="12" t="inlineStr">
        <is>
          <t>Home run JB-TM-2-DI02 to the control / marshalling room</t>
        </is>
      </c>
      <c r="E5248" s="12" t="inlineStr">
        <is>
          <t>PAD-EH</t>
        </is>
      </c>
      <c r="F5248" s="12" t="inlineStr">
        <is>
          <t>PAD-EH 13.8 kV switchgear e-house</t>
        </is>
      </c>
      <c r="G5248" s="12" t="inlineStr">
        <is>
          <t>JB-TM-2-DI02</t>
        </is>
      </c>
      <c r="H5248" s="12" t="inlineStr">
        <is>
          <t>TM-2: trailer-mounted aeroderivative GT (TM2500 class, ~35 MW)</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Surface</t>
        </is>
      </c>
      <c r="T5248" s="17" t="n">
        <v>370</v>
      </c>
      <c r="U5248" s="17" t="n">
        <v>56</v>
      </c>
      <c r="V5248" s="17">
        <f>ROUNDUP((T5248+U5248+2*'Read Me'!$B$13)*(1+'Read Me'!$B$12),-1)</f>
        <v/>
      </c>
      <c r="W5248" s="17">
        <f>V5248*N5248*O5248</f>
        <v/>
      </c>
      <c r="X5248" s="12">
        <f>IF(LEFT(I5248,2)="MV",2*N5248*IF(L5248="1/C",O5248,1),0)</f>
        <v/>
      </c>
      <c r="Y5248" s="12">
        <f>IF(OR(LEFT(K5248,4)="LVAX",LEFT(K5248,6)="MV15AX",LEFT(K5248,4)="CTAX",LEFT(K5248,2)="W|"),2*N5248*O5248,0)</f>
        <v/>
      </c>
      <c r="Z5248" s="12" t="inlineStr"/>
      <c r="AA5248" s="12">
        <f>N5248*O5248</f>
        <v/>
      </c>
    </row>
    <row r="5249">
      <c r="A5249" s="12" t="inlineStr">
        <is>
          <t>I-I-0639</t>
        </is>
      </c>
      <c r="B5249" s="12" t="inlineStr">
        <is>
          <t>I</t>
        </is>
      </c>
      <c r="C5249" s="12" t="inlineStr">
        <is>
          <t>Modular / portable power</t>
        </is>
      </c>
      <c r="D5249" s="12" t="inlineStr">
        <is>
          <t>Discrete device to JB JB-TM-2-DI03: 20 x 1 pr (field cables)</t>
        </is>
      </c>
      <c r="E5249" s="12" t="inlineStr">
        <is>
          <t>TM-2</t>
        </is>
      </c>
      <c r="F5249" s="12" t="inlineStr">
        <is>
          <t>TM-2: trailer-mounted aeroderivative GT (TM2500 class, ~35 MW)</t>
        </is>
      </c>
      <c r="G5249" s="12" t="inlineStr">
        <is>
          <t>JB-TM-2-DI03</t>
        </is>
      </c>
      <c r="H5249" s="12" t="inlineStr">
        <is>
          <t>TM-2: trailer-mounted aeroderivative GT (TM2500 class, ~35 MW)</t>
        </is>
      </c>
      <c r="I5249" s="12" t="inlineStr">
        <is>
          <t>Instrumentation</t>
        </is>
      </c>
      <c r="J5249" s="12" t="inlineStr">
        <is>
          <t>Instrumentation PLTC / TC-ER 300 V, #18 twisted shielded pairs, overall shield</t>
        </is>
      </c>
      <c r="K5249" s="12" t="inlineStr">
        <is>
          <t>PLTC|1 pr|16</t>
        </is>
      </c>
      <c r="L5249" s="12" t="inlineStr">
        <is>
          <t>1 pr</t>
        </is>
      </c>
      <c r="M5249" s="12" t="inlineStr">
        <is>
          <t>16</t>
        </is>
      </c>
      <c r="N5249" s="12" t="n">
        <v>20</v>
      </c>
      <c r="O5249" s="12" t="n">
        <v>1</v>
      </c>
      <c r="P5249" s="12" t="n"/>
      <c r="Q5249" s="12" t="n"/>
      <c r="R5249" s="12" t="n"/>
      <c r="S5249" s="12" t="inlineStr">
        <is>
          <t>Tray / conduit</t>
        </is>
      </c>
      <c r="T5249" s="17" t="n">
        <v>108</v>
      </c>
      <c r="U5249" s="17" t="n">
        <v>10</v>
      </c>
      <c r="V5249" s="17">
        <f>ROUNDUP((T5249+U5249+2*'Read Me'!$B$13)*(1+'Read Me'!$B$12),-1)</f>
        <v/>
      </c>
      <c r="W5249" s="17">
        <f>V5249*N5249*O5249</f>
        <v/>
      </c>
      <c r="X5249" s="12">
        <f>IF(LEFT(I5249,2)="MV",2*N5249*IF(L5249="1/C",O5249,1),0)</f>
        <v/>
      </c>
      <c r="Y5249" s="12">
        <f>IF(OR(LEFT(K5249,4)="LVAX",LEFT(K5249,6)="MV15AX",LEFT(K5249,4)="CTAX",LEFT(K5249,2)="W|"),2*N5249*O5249,0)</f>
        <v/>
      </c>
      <c r="Z5249" s="12" t="inlineStr">
        <is>
          <t>device-to-JB field wiring, one cable per device</t>
        </is>
      </c>
      <c r="AA5249" s="12">
        <f>N5249*O5249</f>
        <v/>
      </c>
    </row>
    <row r="5250">
      <c r="A5250" s="12" t="inlineStr">
        <is>
          <t>I-I-0640</t>
        </is>
      </c>
      <c r="B5250" s="12" t="inlineStr">
        <is>
          <t>I</t>
        </is>
      </c>
      <c r="C5250" s="12" t="inlineStr">
        <is>
          <t>Modular / portable power</t>
        </is>
      </c>
      <c r="D5250" s="12" t="inlineStr">
        <is>
          <t>Home run JB-TM-2-DI03 to the control / marshalling room</t>
        </is>
      </c>
      <c r="E5250" s="12" t="inlineStr">
        <is>
          <t>PAD-EH</t>
        </is>
      </c>
      <c r="F5250" s="12" t="inlineStr">
        <is>
          <t>PAD-EH 13.8 kV switchgear e-house</t>
        </is>
      </c>
      <c r="G5250" s="12" t="inlineStr">
        <is>
          <t>JB-TM-2-DI03</t>
        </is>
      </c>
      <c r="H5250" s="12" t="inlineStr">
        <is>
          <t>TM-2: trailer-mounted aeroderivative GT (TM2500 class, ~35 MW)</t>
        </is>
      </c>
      <c r="I5250" s="12" t="inlineStr">
        <is>
          <t>Instrumentation</t>
        </is>
      </c>
      <c r="J5250" s="12" t="inlineStr">
        <is>
          <t>Instrumentation PLTC / TC-ER 300 V, #18 twisted shielded pairs, overall shield</t>
        </is>
      </c>
      <c r="K5250" s="12" t="inlineStr">
        <is>
          <t>PLTC|24 pr|18</t>
        </is>
      </c>
      <c r="L5250" s="12" t="inlineStr">
        <is>
          <t>24 pr</t>
        </is>
      </c>
      <c r="M5250" s="12" t="inlineStr">
        <is>
          <t>18</t>
        </is>
      </c>
      <c r="N5250" s="12" t="n">
        <v>1</v>
      </c>
      <c r="O5250" s="12" t="n">
        <v>1</v>
      </c>
      <c r="P5250" s="12" t="n"/>
      <c r="Q5250" s="12" t="n"/>
      <c r="R5250" s="12" t="n"/>
      <c r="S5250" s="12" t="inlineStr">
        <is>
          <t>Surface</t>
        </is>
      </c>
      <c r="T5250" s="17" t="n">
        <v>370</v>
      </c>
      <c r="U5250" s="17" t="n">
        <v>56</v>
      </c>
      <c r="V5250" s="17">
        <f>ROUNDUP((T5250+U5250+2*'Read Me'!$B$13)*(1+'Read Me'!$B$12),-1)</f>
        <v/>
      </c>
      <c r="W5250" s="17">
        <f>V5250*N5250*O5250</f>
        <v/>
      </c>
      <c r="X5250" s="12">
        <f>IF(LEFT(I5250,2)="MV",2*N5250*IF(L5250="1/C",O5250,1),0)</f>
        <v/>
      </c>
      <c r="Y5250" s="12">
        <f>IF(OR(LEFT(K5250,4)="LVAX",LEFT(K5250,6)="MV15AX",LEFT(K5250,4)="CTAX",LEFT(K5250,2)="W|"),2*N5250*O5250,0)</f>
        <v/>
      </c>
      <c r="Z5250" s="12" t="inlineStr"/>
      <c r="AA5250" s="12">
        <f>N5250*O5250</f>
        <v/>
      </c>
    </row>
    <row r="5251">
      <c r="A5251" s="12" t="inlineStr">
        <is>
          <t>I-I-0641</t>
        </is>
      </c>
      <c r="B5251" s="12" t="inlineStr">
        <is>
          <t>I</t>
        </is>
      </c>
      <c r="C5251" s="12" t="inlineStr">
        <is>
          <t>Modular / portable power</t>
        </is>
      </c>
      <c r="D5251" s="12" t="inlineStr">
        <is>
          <t>Thermocouple to TC JB JB-TM-2-TC01: 20 x 1 pr (field cables)</t>
        </is>
      </c>
      <c r="E5251" s="12" t="inlineStr">
        <is>
          <t>TM-2</t>
        </is>
      </c>
      <c r="F5251" s="12" t="inlineStr">
        <is>
          <t>TM-2: trailer-mounted aeroderivative GT (TM2500 class, ~35 MW)</t>
        </is>
      </c>
      <c r="G5251" s="12" t="inlineStr">
        <is>
          <t>JB-TM-2-TC01</t>
        </is>
      </c>
      <c r="H5251" s="12" t="inlineStr">
        <is>
          <t>TM-2: trailer-mounted aeroderivative GT (TM2500 class, ~35 MW)</t>
        </is>
      </c>
      <c r="I5251" s="12" t="inlineStr">
        <is>
          <t>Instrumentation</t>
        </is>
      </c>
      <c r="J5251" s="12" t="inlineStr">
        <is>
          <t>Thermocouple extension KX, #16 shielded pairs, PLTC</t>
        </is>
      </c>
      <c r="K5251" s="12" t="inlineStr">
        <is>
          <t>TCX|1 pr|16</t>
        </is>
      </c>
      <c r="L5251" s="12" t="inlineStr">
        <is>
          <t>1 pr</t>
        </is>
      </c>
      <c r="M5251" s="12" t="inlineStr">
        <is>
          <t>16</t>
        </is>
      </c>
      <c r="N5251" s="12" t="n">
        <v>20</v>
      </c>
      <c r="O5251" s="12" t="n">
        <v>1</v>
      </c>
      <c r="P5251" s="12" t="n"/>
      <c r="Q5251" s="12" t="n"/>
      <c r="R5251" s="12" t="n"/>
      <c r="S5251" s="12" t="inlineStr">
        <is>
          <t>Tray / conduit</t>
        </is>
      </c>
      <c r="T5251" s="17" t="n">
        <v>108</v>
      </c>
      <c r="U5251" s="17" t="n">
        <v>10</v>
      </c>
      <c r="V5251" s="17">
        <f>ROUNDUP((T5251+U5251+2*'Read Me'!$B$13)*(1+'Read Me'!$B$12),-1)</f>
        <v/>
      </c>
      <c r="W5251" s="17">
        <f>V5251*N5251*O5251</f>
        <v/>
      </c>
      <c r="X5251" s="12">
        <f>IF(LEFT(I5251,2)="MV",2*N5251*IF(L5251="1/C",O5251,1),0)</f>
        <v/>
      </c>
      <c r="Y5251" s="12">
        <f>IF(OR(LEFT(K5251,4)="LVAX",LEFT(K5251,6)="MV15AX",LEFT(K5251,4)="CTAX",LEFT(K5251,2)="W|"),2*N5251*O5251,0)</f>
        <v/>
      </c>
      <c r="Z5251" s="12" t="inlineStr">
        <is>
          <t>device-to-JB field wiring, one cable per device</t>
        </is>
      </c>
      <c r="AA5251" s="12">
        <f>N5251*O5251</f>
        <v/>
      </c>
    </row>
    <row r="5252">
      <c r="A5252" s="12" t="inlineStr">
        <is>
          <t>I-I-0642</t>
        </is>
      </c>
      <c r="B5252" s="12" t="inlineStr">
        <is>
          <t>I</t>
        </is>
      </c>
      <c r="C5252" s="12" t="inlineStr">
        <is>
          <t>Modular / portable power</t>
        </is>
      </c>
      <c r="D5252" s="12" t="inlineStr">
        <is>
          <t>Home run JB-TM-2-TC01 to the control / marshalling room</t>
        </is>
      </c>
      <c r="E5252" s="12" t="inlineStr">
        <is>
          <t>PAD-EH</t>
        </is>
      </c>
      <c r="F5252" s="12" t="inlineStr">
        <is>
          <t>PAD-EH 13.8 kV switchgear e-house</t>
        </is>
      </c>
      <c r="G5252" s="12" t="inlineStr">
        <is>
          <t>JB-TM-2-TC01</t>
        </is>
      </c>
      <c r="H5252" s="12" t="inlineStr">
        <is>
          <t>TM-2: trailer-mounted aeroderivative GT (TM2500 class, ~35 MW)</t>
        </is>
      </c>
      <c r="I5252" s="12" t="inlineStr">
        <is>
          <t>Instrumentation</t>
        </is>
      </c>
      <c r="J5252" s="12" t="inlineStr">
        <is>
          <t>Thermocouple extension KX, #16 shielded pairs, PLTC</t>
        </is>
      </c>
      <c r="K5252" s="12" t="inlineStr">
        <is>
          <t>TCX|24 pr|16</t>
        </is>
      </c>
      <c r="L5252" s="12" t="inlineStr">
        <is>
          <t>24 pr</t>
        </is>
      </c>
      <c r="M5252" s="12" t="inlineStr">
        <is>
          <t>16</t>
        </is>
      </c>
      <c r="N5252" s="12" t="n">
        <v>1</v>
      </c>
      <c r="O5252" s="12" t="n">
        <v>1</v>
      </c>
      <c r="P5252" s="12" t="n"/>
      <c r="Q5252" s="12" t="n"/>
      <c r="R5252" s="12" t="n"/>
      <c r="S5252" s="12" t="inlineStr">
        <is>
          <t>Surface</t>
        </is>
      </c>
      <c r="T5252" s="17" t="n">
        <v>370</v>
      </c>
      <c r="U5252" s="17" t="n">
        <v>56</v>
      </c>
      <c r="V5252" s="17">
        <f>ROUNDUP((T5252+U5252+2*'Read Me'!$B$13)*(1+'Read Me'!$B$12),-1)</f>
        <v/>
      </c>
      <c r="W5252" s="17">
        <f>V5252*N5252*O5252</f>
        <v/>
      </c>
      <c r="X5252" s="12">
        <f>IF(LEFT(I5252,2)="MV",2*N5252*IF(L5252="1/C",O5252,1),0)</f>
        <v/>
      </c>
      <c r="Y5252" s="12">
        <f>IF(OR(LEFT(K5252,4)="LVAX",LEFT(K5252,6)="MV15AX",LEFT(K5252,4)="CTAX",LEFT(K5252,2)="W|"),2*N5252*O5252,0)</f>
        <v/>
      </c>
      <c r="Z5252" s="12" t="inlineStr"/>
      <c r="AA5252" s="12">
        <f>N5252*O5252</f>
        <v/>
      </c>
    </row>
    <row r="5253">
      <c r="A5253" s="12" t="inlineStr">
        <is>
          <t>I-I-0643</t>
        </is>
      </c>
      <c r="B5253" s="12" t="inlineStr">
        <is>
          <t>I</t>
        </is>
      </c>
      <c r="C5253" s="12" t="inlineStr">
        <is>
          <t>Modular / portable power</t>
        </is>
      </c>
      <c r="D5253" s="12" t="inlineStr">
        <is>
          <t>Analog instrument to JB JB-Water-injection sk-AI01: 10 x 1 pr (field cables)</t>
        </is>
      </c>
      <c r="E5253" s="12" t="inlineStr"/>
      <c r="F5253" s="12" t="inlineStr">
        <is>
          <t>Water-injection skid</t>
        </is>
      </c>
      <c r="G5253" s="12" t="inlineStr">
        <is>
          <t>JB-Water-injection sk-AI01</t>
        </is>
      </c>
      <c r="H5253" s="12" t="inlineStr">
        <is>
          <t>Water-injection skid</t>
        </is>
      </c>
      <c r="I5253" s="12" t="inlineStr">
        <is>
          <t>Instrumentation</t>
        </is>
      </c>
      <c r="J5253" s="12" t="inlineStr">
        <is>
          <t>Instrumentation PLTC / TC-ER 300 V, #18 twisted shielded pairs, overall shield</t>
        </is>
      </c>
      <c r="K5253" s="12" t="inlineStr">
        <is>
          <t>PLTC|1 pr|16</t>
        </is>
      </c>
      <c r="L5253" s="12" t="inlineStr">
        <is>
          <t>1 pr</t>
        </is>
      </c>
      <c r="M5253" s="12" t="inlineStr">
        <is>
          <t>16</t>
        </is>
      </c>
      <c r="N5253" s="12" t="n">
        <v>10</v>
      </c>
      <c r="O5253" s="12" t="n">
        <v>1</v>
      </c>
      <c r="P5253" s="12" t="n"/>
      <c r="Q5253" s="12" t="n"/>
      <c r="R5253" s="12" t="n"/>
      <c r="S5253" s="12" t="inlineStr">
        <is>
          <t>Tray / conduit</t>
        </is>
      </c>
      <c r="T5253" s="17" t="n">
        <v>43</v>
      </c>
      <c r="U5253" s="17" t="n">
        <v>10</v>
      </c>
      <c r="V5253" s="17">
        <f>ROUNDUP((T5253+U5253+2*'Read Me'!$B$13)*(1+'Read Me'!$B$12),-1)</f>
        <v/>
      </c>
      <c r="W5253" s="17">
        <f>V5253*N5253*O5253</f>
        <v/>
      </c>
      <c r="X5253" s="12">
        <f>IF(LEFT(I5253,2)="MV",2*N5253*IF(L5253="1/C",O5253,1),0)</f>
        <v/>
      </c>
      <c r="Y5253" s="12">
        <f>IF(OR(LEFT(K5253,4)="LVAX",LEFT(K5253,6)="MV15AX",LEFT(K5253,4)="CTAX",LEFT(K5253,2)="W|"),2*N5253*O5253,0)</f>
        <v/>
      </c>
      <c r="Z5253" s="12" t="inlineStr">
        <is>
          <t>device-to-JB field wiring, one cable per device</t>
        </is>
      </c>
      <c r="AA5253" s="12">
        <f>N5253*O5253</f>
        <v/>
      </c>
    </row>
    <row r="5254">
      <c r="A5254" s="12" t="inlineStr">
        <is>
          <t>I-I-0644</t>
        </is>
      </c>
      <c r="B5254" s="12" t="inlineStr">
        <is>
          <t>I</t>
        </is>
      </c>
      <c r="C5254" s="12" t="inlineStr">
        <is>
          <t>Modular / portable power</t>
        </is>
      </c>
      <c r="D5254" s="12" t="inlineStr">
        <is>
          <t>Home run JB-Water-injection sk-AI01 to the control / marshalling room</t>
        </is>
      </c>
      <c r="E5254" s="12" t="inlineStr"/>
      <c r="F5254" s="12" t="inlineStr">
        <is>
          <t>SC-2 PCM + 15 kV GCB</t>
        </is>
      </c>
      <c r="G5254" s="12" t="inlineStr">
        <is>
          <t>JB-Water-injection sk-AI01</t>
        </is>
      </c>
      <c r="H5254" s="12" t="inlineStr">
        <is>
          <t>Water-injection skid</t>
        </is>
      </c>
      <c r="I5254" s="12" t="inlineStr">
        <is>
          <t>Instrumentation</t>
        </is>
      </c>
      <c r="J5254" s="12" t="inlineStr">
        <is>
          <t>Instrumentation PLTC / TC-ER 300 V, #18 twisted shielded pairs, overall shield</t>
        </is>
      </c>
      <c r="K5254" s="12" t="inlineStr">
        <is>
          <t>PLTC|24 pr|18</t>
        </is>
      </c>
      <c r="L5254" s="12" t="inlineStr">
        <is>
          <t>24 pr</t>
        </is>
      </c>
      <c r="M5254" s="12" t="inlineStr">
        <is>
          <t>18</t>
        </is>
      </c>
      <c r="N5254" s="12" t="n">
        <v>1</v>
      </c>
      <c r="O5254" s="12" t="n">
        <v>1</v>
      </c>
      <c r="P5254" s="12" t="n"/>
      <c r="Q5254" s="12" t="n"/>
      <c r="R5254" s="12" t="n"/>
      <c r="S5254" s="12" t="inlineStr">
        <is>
          <t>Tray</t>
        </is>
      </c>
      <c r="T5254" s="17" t="n">
        <v>0</v>
      </c>
      <c r="U5254" s="17" t="n">
        <v>60</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I-I-0645</t>
        </is>
      </c>
      <c r="B5255" s="12" t="inlineStr">
        <is>
          <t>I</t>
        </is>
      </c>
      <c r="C5255" s="12" t="inlineStr">
        <is>
          <t>Modular / portable power</t>
        </is>
      </c>
      <c r="D5255" s="12" t="inlineStr">
        <is>
          <t>Discrete device to JB JB-Water-injection sk-DI01: 10 x 1 pr (field cables)</t>
        </is>
      </c>
      <c r="E5255" s="12" t="inlineStr"/>
      <c r="F5255" s="12" t="inlineStr">
        <is>
          <t>Water-injection skid</t>
        </is>
      </c>
      <c r="G5255" s="12" t="inlineStr">
        <is>
          <t>JB-Water-injection sk-DI01</t>
        </is>
      </c>
      <c r="H5255" s="12" t="inlineStr">
        <is>
          <t>Water-injection skid</t>
        </is>
      </c>
      <c r="I5255" s="12" t="inlineStr">
        <is>
          <t>Instrumentation</t>
        </is>
      </c>
      <c r="J5255" s="12" t="inlineStr">
        <is>
          <t>Instrumentation PLTC / TC-ER 300 V, #18 twisted shielded pairs, overall shield</t>
        </is>
      </c>
      <c r="K5255" s="12" t="inlineStr">
        <is>
          <t>PLTC|1 pr|16</t>
        </is>
      </c>
      <c r="L5255" s="12" t="inlineStr">
        <is>
          <t>1 pr</t>
        </is>
      </c>
      <c r="M5255" s="12" t="inlineStr">
        <is>
          <t>16</t>
        </is>
      </c>
      <c r="N5255" s="12" t="n">
        <v>10</v>
      </c>
      <c r="O5255" s="12" t="n">
        <v>1</v>
      </c>
      <c r="P5255" s="12" t="n"/>
      <c r="Q5255" s="12" t="n"/>
      <c r="R5255" s="12" t="n"/>
      <c r="S5255" s="12" t="inlineStr">
        <is>
          <t>Tray / conduit</t>
        </is>
      </c>
      <c r="T5255" s="17" t="n">
        <v>43</v>
      </c>
      <c r="U5255" s="17" t="n">
        <v>10</v>
      </c>
      <c r="V5255" s="17">
        <f>ROUNDUP((T5255+U5255+2*'Read Me'!$B$13)*(1+'Read Me'!$B$12),-1)</f>
        <v/>
      </c>
      <c r="W5255" s="17">
        <f>V5255*N5255*O5255</f>
        <v/>
      </c>
      <c r="X5255" s="12">
        <f>IF(LEFT(I5255,2)="MV",2*N5255*IF(L5255="1/C",O5255,1),0)</f>
        <v/>
      </c>
      <c r="Y5255" s="12">
        <f>IF(OR(LEFT(K5255,4)="LVAX",LEFT(K5255,6)="MV15AX",LEFT(K5255,4)="CTAX",LEFT(K5255,2)="W|"),2*N5255*O5255,0)</f>
        <v/>
      </c>
      <c r="Z5255" s="12" t="inlineStr">
        <is>
          <t>device-to-JB field wiring, one cable per device</t>
        </is>
      </c>
      <c r="AA5255" s="12">
        <f>N5255*O5255</f>
        <v/>
      </c>
    </row>
    <row r="5256">
      <c r="A5256" s="12" t="inlineStr">
        <is>
          <t>I-I-0646</t>
        </is>
      </c>
      <c r="B5256" s="12" t="inlineStr">
        <is>
          <t>I</t>
        </is>
      </c>
      <c r="C5256" s="12" t="inlineStr">
        <is>
          <t>Modular / portable power</t>
        </is>
      </c>
      <c r="D5256" s="12" t="inlineStr">
        <is>
          <t>Home run JB-Water-injection sk-DI01 to the control / marshalling room</t>
        </is>
      </c>
      <c r="E5256" s="12" t="inlineStr"/>
      <c r="F5256" s="12" t="inlineStr">
        <is>
          <t>SC-2 PCM + 15 kV GCB</t>
        </is>
      </c>
      <c r="G5256" s="12" t="inlineStr">
        <is>
          <t>JB-Water-injection sk-DI01</t>
        </is>
      </c>
      <c r="H5256" s="12" t="inlineStr">
        <is>
          <t>Water-injection skid</t>
        </is>
      </c>
      <c r="I5256" s="12" t="inlineStr">
        <is>
          <t>Instrumentation</t>
        </is>
      </c>
      <c r="J5256" s="12" t="inlineStr">
        <is>
          <t>Instrumentation PLTC / TC-ER 300 V, #18 twisted shielded pairs, overall shield</t>
        </is>
      </c>
      <c r="K5256" s="12" t="inlineStr">
        <is>
          <t>PLTC|24 pr|18</t>
        </is>
      </c>
      <c r="L5256" s="12" t="inlineStr">
        <is>
          <t>24 pr</t>
        </is>
      </c>
      <c r="M5256" s="12" t="inlineStr">
        <is>
          <t>18</t>
        </is>
      </c>
      <c r="N5256" s="12" t="n">
        <v>1</v>
      </c>
      <c r="O5256" s="12" t="n">
        <v>1</v>
      </c>
      <c r="P5256" s="12" t="n"/>
      <c r="Q5256" s="12" t="n"/>
      <c r="R5256" s="12" t="n"/>
      <c r="S5256" s="12" t="inlineStr">
        <is>
          <t>Tray</t>
        </is>
      </c>
      <c r="T5256" s="17" t="n">
        <v>0</v>
      </c>
      <c r="U5256" s="17" t="n">
        <v>60</v>
      </c>
      <c r="V5256" s="17">
        <f>ROUNDUP((T5256+U5256+2*'Read Me'!$B$13)*(1+'Read Me'!$B$12),-1)</f>
        <v/>
      </c>
      <c r="W5256" s="17">
        <f>V5256*N5256*O5256</f>
        <v/>
      </c>
      <c r="X5256" s="12">
        <f>IF(LEFT(I5256,2)="MV",2*N5256*IF(L5256="1/C",O5256,1),0)</f>
        <v/>
      </c>
      <c r="Y5256" s="12">
        <f>IF(OR(LEFT(K5256,4)="LVAX",LEFT(K5256,6)="MV15AX",LEFT(K5256,4)="CTAX",LEFT(K5256,2)="W|"),2*N5256*O5256,0)</f>
        <v/>
      </c>
      <c r="Z5256" s="12" t="inlineStr"/>
      <c r="AA5256" s="12">
        <f>N5256*O5256</f>
        <v/>
      </c>
    </row>
    <row r="5257">
      <c r="A5257" s="12" t="inlineStr">
        <is>
          <t>I-P-0001</t>
        </is>
      </c>
      <c r="B5257" s="12" t="inlineStr">
        <is>
          <t>I</t>
        </is>
      </c>
      <c r="C5257" s="12" t="inlineStr">
        <is>
          <t>Modular / portable power</t>
        </is>
      </c>
      <c r="D5257" s="12" t="inlineStr">
        <is>
          <t>Motor 1 of 2, 3.7 kW</t>
        </is>
      </c>
      <c r="E5257" s="12" t="inlineStr"/>
      <c r="F5257" s="12" t="inlineStr">
        <is>
          <t>SC-2 PCM + 15 kV GCB</t>
        </is>
      </c>
      <c r="G5257" s="12" t="inlineStr"/>
      <c r="H5257" s="12" t="inlineStr">
        <is>
          <t>Aqueous ammonia (SC units)</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3.7</v>
      </c>
      <c r="R5257" s="12" t="n">
        <v>5.2</v>
      </c>
      <c r="S5257" s="12" t="inlineStr">
        <is>
          <t>Tray</t>
        </is>
      </c>
      <c r="T5257" s="17" t="n">
        <v>0</v>
      </c>
      <c r="U5257" s="17" t="n">
        <v>98</v>
      </c>
      <c r="V5257" s="17">
        <f>ROUNDUP((T5257+U5257+2*'Read Me'!$B$13)*(1+'Read Me'!$B$12),-1)</f>
        <v/>
      </c>
      <c r="W5257" s="17">
        <f>V5257*N5257*O5257</f>
        <v/>
      </c>
      <c r="X5257" s="12">
        <f>IF(LEFT(I5257,2)="MV",2*N5257*IF(L5257="1/C",O5257,1),0)</f>
        <v/>
      </c>
      <c r="Y5257" s="12">
        <f>IF(OR(LEFT(K5257,4)="LVAX",LEFT(K5257,6)="MV15AX",LEFT(K5257,4)="CTAX",LEFT(K5257,2)="W|"),2*N5257*O5257,0)</f>
        <v/>
      </c>
      <c r="Z5257" s="12" t="inlineStr">
        <is>
          <t>VD 0.2 %</t>
        </is>
      </c>
      <c r="AA5257" s="12">
        <f>N5257*O5257</f>
        <v/>
      </c>
    </row>
    <row r="5258">
      <c r="A5258" s="12" t="inlineStr">
        <is>
          <t>I-P-0002</t>
        </is>
      </c>
      <c r="B5258" s="12" t="inlineStr">
        <is>
          <t>I</t>
        </is>
      </c>
      <c r="C5258" s="12" t="inlineStr">
        <is>
          <t>Modular / portable power</t>
        </is>
      </c>
      <c r="D5258" s="12" t="inlineStr">
        <is>
          <t>Motor 2 of 2, 3.7 kW</t>
        </is>
      </c>
      <c r="E5258" s="12" t="inlineStr"/>
      <c r="F5258" s="12" t="inlineStr">
        <is>
          <t>SC-2 PCM + 15 kV GCB</t>
        </is>
      </c>
      <c r="G5258" s="12" t="inlineStr"/>
      <c r="H5258" s="12" t="inlineStr">
        <is>
          <t>Aqueous ammonia (SC units)</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3.7</v>
      </c>
      <c r="R5258" s="12" t="n">
        <v>5.2</v>
      </c>
      <c r="S5258" s="12" t="inlineStr">
        <is>
          <t>Tray</t>
        </is>
      </c>
      <c r="T5258" s="17" t="n">
        <v>0</v>
      </c>
      <c r="U5258" s="17" t="n">
        <v>98</v>
      </c>
      <c r="V5258" s="17">
        <f>ROUNDUP((T5258+U5258+2*'Read Me'!$B$13)*(1+'Read Me'!$B$12),-1)</f>
        <v/>
      </c>
      <c r="W5258" s="17">
        <f>V5258*N5258*O5258</f>
        <v/>
      </c>
      <c r="X5258" s="12">
        <f>IF(LEFT(I5258,2)="MV",2*N5258*IF(L5258="1/C",O5258,1),0)</f>
        <v/>
      </c>
      <c r="Y5258" s="12">
        <f>IF(OR(LEFT(K5258,4)="LVAX",LEFT(K5258,6)="MV15AX",LEFT(K5258,4)="CTAX",LEFT(K5258,2)="W|"),2*N5258*O5258,0)</f>
        <v/>
      </c>
      <c r="Z5258" s="12" t="inlineStr">
        <is>
          <t>VD 0.2 %</t>
        </is>
      </c>
      <c r="AA5258" s="12">
        <f>N5258*O5258</f>
        <v/>
      </c>
    </row>
    <row r="5259">
      <c r="A5259" s="12" t="inlineStr">
        <is>
          <t>I-P-0003</t>
        </is>
      </c>
      <c r="B5259" s="12" t="inlineStr">
        <is>
          <t>I</t>
        </is>
      </c>
      <c r="C5259" s="12" t="inlineStr">
        <is>
          <t>Modular / portable power</t>
        </is>
      </c>
      <c r="D5259" s="12" t="inlineStr">
        <is>
          <t>Black-start genset output</t>
        </is>
      </c>
      <c r="E5259" s="12" t="inlineStr"/>
      <c r="F5259" s="12" t="inlineStr">
        <is>
          <t>Black-start genset (proposed; requires study)</t>
        </is>
      </c>
      <c r="G5259" s="12" t="inlineStr"/>
      <c r="H5259" s="12" t="inlineStr">
        <is>
          <t>BS black-start switchgear</t>
        </is>
      </c>
      <c r="I5259" s="12" t="inlineStr">
        <is>
          <t>LV 600 V</t>
        </is>
      </c>
      <c r="J5259" s="12" t="inlineStr">
        <is>
          <t>Type TC-ER 600 V 3/C Cu XHHW-2 + ground, PVC jacket</t>
        </is>
      </c>
      <c r="K5259" s="12" t="inlineStr">
        <is>
          <t>LV|3/C+G|500</t>
        </is>
      </c>
      <c r="L5259" s="12" t="inlineStr">
        <is>
          <t>3/C+G</t>
        </is>
      </c>
      <c r="M5259" s="12" t="inlineStr">
        <is>
          <t>500 kcmil</t>
        </is>
      </c>
      <c r="N5259" s="12" t="n">
        <v>10</v>
      </c>
      <c r="O5259" s="12" t="n">
        <v>1</v>
      </c>
      <c r="P5259" s="12" t="n">
        <v>480</v>
      </c>
      <c r="Q5259" s="12" t="n">
        <v>2000</v>
      </c>
      <c r="R5259" s="12" t="n">
        <v>2532.3</v>
      </c>
      <c r="S5259" s="12" t="inlineStr">
        <is>
          <t>Tray</t>
        </is>
      </c>
      <c r="T5259" s="17" t="n">
        <v>0</v>
      </c>
      <c r="U5259" s="17" t="n">
        <v>41</v>
      </c>
      <c r="V5259" s="17">
        <f>ROUNDUP((T5259+U5259+2*'Read Me'!$B$13)*(1+'Read Me'!$B$12),-1)</f>
        <v/>
      </c>
      <c r="W5259" s="17">
        <f>V5259*N5259*O5259</f>
        <v/>
      </c>
      <c r="X5259" s="12">
        <f>IF(LEFT(I5259,2)="MV",2*N5259*IF(L5259="1/C",O5259,1),0)</f>
        <v/>
      </c>
      <c r="Y5259" s="12">
        <f>IF(OR(LEFT(K5259,4)="LVAX",LEFT(K5259,6)="MV15AX",LEFT(K5259,4)="CTAX",LEFT(K5259,2)="W|"),2*N5259*O5259,0)</f>
        <v/>
      </c>
      <c r="Z5259" s="12" t="inlineStr">
        <is>
          <t>VD 0.1 %</t>
        </is>
      </c>
      <c r="AA5259" s="12">
        <f>N5259*O5259</f>
        <v/>
      </c>
    </row>
    <row r="5260">
      <c r="A5260" s="12" t="inlineStr">
        <is>
          <t>I-P-0004</t>
        </is>
      </c>
      <c r="B5260" s="12" t="inlineStr">
        <is>
          <t>I</t>
        </is>
      </c>
      <c r="C5260" s="12" t="inlineStr">
        <is>
          <t>Modular / portable power</t>
        </is>
      </c>
      <c r="D5260" s="12" t="inlineStr">
        <is>
          <t>Black-start genset output</t>
        </is>
      </c>
      <c r="E5260" s="12" t="inlineStr"/>
      <c r="F5260" s="12" t="inlineStr">
        <is>
          <t>Black-start genset (proposed; requires study)</t>
        </is>
      </c>
      <c r="G5260" s="12" t="inlineStr"/>
      <c r="H5260" s="12" t="inlineStr">
        <is>
          <t>BS black-start switchgear</t>
        </is>
      </c>
      <c r="I5260" s="12" t="inlineStr">
        <is>
          <t>LV 600 V</t>
        </is>
      </c>
      <c r="J5260" s="12" t="inlineStr">
        <is>
          <t>Type TC-ER 600 V 3/C Cu XHHW-2 + ground, PVC jacket</t>
        </is>
      </c>
      <c r="K5260" s="12" t="inlineStr">
        <is>
          <t>LV|3/C+G|500</t>
        </is>
      </c>
      <c r="L5260" s="12" t="inlineStr">
        <is>
          <t>3/C+G</t>
        </is>
      </c>
      <c r="M5260" s="12" t="inlineStr">
        <is>
          <t>500 kcmil</t>
        </is>
      </c>
      <c r="N5260" s="12" t="n">
        <v>10</v>
      </c>
      <c r="O5260" s="12" t="n">
        <v>1</v>
      </c>
      <c r="P5260" s="12" t="n">
        <v>480</v>
      </c>
      <c r="Q5260" s="12" t="n">
        <v>2000</v>
      </c>
      <c r="R5260" s="12" t="n">
        <v>2532.3</v>
      </c>
      <c r="S5260" s="12" t="inlineStr">
        <is>
          <t>Tray</t>
        </is>
      </c>
      <c r="T5260" s="17" t="n">
        <v>0</v>
      </c>
      <c r="U5260" s="17" t="n">
        <v>49</v>
      </c>
      <c r="V5260" s="17">
        <f>ROUNDUP((T5260+U5260+2*'Read Me'!$B$13)*(1+'Read Me'!$B$12),-1)</f>
        <v/>
      </c>
      <c r="W5260" s="17">
        <f>V5260*N5260*O5260</f>
        <v/>
      </c>
      <c r="X5260" s="12">
        <f>IF(LEFT(I5260,2)="MV",2*N5260*IF(L5260="1/C",O5260,1),0)</f>
        <v/>
      </c>
      <c r="Y5260" s="12">
        <f>IF(OR(LEFT(K5260,4)="LVAX",LEFT(K5260,6)="MV15AX",LEFT(K5260,4)="CTAX",LEFT(K5260,2)="W|"),2*N5260*O5260,0)</f>
        <v/>
      </c>
      <c r="Z5260" s="12" t="inlineStr">
        <is>
          <t>VD 0.1 %</t>
        </is>
      </c>
      <c r="AA5260" s="12">
        <f>N5260*O5260</f>
        <v/>
      </c>
    </row>
    <row r="5261">
      <c r="A5261" s="12" t="inlineStr">
        <is>
          <t>I-P-0005</t>
        </is>
      </c>
      <c r="B5261" s="12" t="inlineStr">
        <is>
          <t>I</t>
        </is>
      </c>
      <c r="C5261" s="12" t="inlineStr">
        <is>
          <t>Modular / portable power</t>
        </is>
      </c>
      <c r="D5261" s="12" t="inlineStr">
        <is>
          <t>LV power feeder</t>
        </is>
      </c>
      <c r="E5261" s="12" t="inlineStr"/>
      <c r="F5261" s="12" t="inlineStr">
        <is>
          <t>PCM: power control module</t>
        </is>
      </c>
      <c r="G5261" s="12" t="inlineStr"/>
      <c r="H5261" s="12" t="inlineStr">
        <is>
          <t>BS black-start switchgear</t>
        </is>
      </c>
      <c r="I5261" s="12" t="inlineStr">
        <is>
          <t>LV 600 V</t>
        </is>
      </c>
      <c r="J5261" s="12" t="inlineStr">
        <is>
          <t>Type TC-ER 600 V 3/C Cu XHHW-2 + ground, PVC jacket</t>
        </is>
      </c>
      <c r="K5261" s="12" t="inlineStr">
        <is>
          <t>LV|3/C+G|6</t>
        </is>
      </c>
      <c r="L5261" s="12" t="inlineStr">
        <is>
          <t>3/C+G</t>
        </is>
      </c>
      <c r="M5261" s="12" t="inlineStr">
        <is>
          <t>6</t>
        </is>
      </c>
      <c r="N5261" s="12" t="n">
        <v>1</v>
      </c>
      <c r="O5261" s="12" t="n">
        <v>1</v>
      </c>
      <c r="P5261" s="12" t="n">
        <v>480</v>
      </c>
      <c r="Q5261" s="12" t="n">
        <v>15</v>
      </c>
      <c r="R5261" s="12" t="n">
        <v>21.2</v>
      </c>
      <c r="S5261" s="12" t="inlineStr">
        <is>
          <t>Duct bank</t>
        </is>
      </c>
      <c r="T5261" s="17" t="n">
        <v>562</v>
      </c>
      <c r="U5261" s="17" t="n">
        <v>64</v>
      </c>
      <c r="V5261" s="17">
        <f>ROUNDUP((T5261+U5261+2*'Read Me'!$B$13)*(1+'Read Me'!$B$12),-1)</f>
        <v/>
      </c>
      <c r="W5261" s="17">
        <f>V5261*N5261*O5261</f>
        <v/>
      </c>
      <c r="X5261" s="12">
        <f>IF(LEFT(I5261,2)="MV",2*N5261*IF(L5261="1/C",O5261,1),0)</f>
        <v/>
      </c>
      <c r="Y5261" s="12">
        <f>IF(OR(LEFT(K5261,4)="LVAX",LEFT(K5261,6)="MV15AX",LEFT(K5261,4)="CTAX",LEFT(K5261,2)="W|"),2*N5261*O5261,0)</f>
        <v/>
      </c>
      <c r="Z5261" s="12" t="inlineStr">
        <is>
          <t>VD 2.6 %</t>
        </is>
      </c>
      <c r="AA5261" s="12">
        <f>N5261*O5261</f>
        <v/>
      </c>
    </row>
    <row r="5262">
      <c r="A5262" s="12" t="inlineStr">
        <is>
          <t>I-P-0006</t>
        </is>
      </c>
      <c r="B5262" s="12" t="inlineStr">
        <is>
          <t>I</t>
        </is>
      </c>
      <c r="C5262" s="12" t="inlineStr">
        <is>
          <t>Modular / portable power</t>
        </is>
      </c>
      <c r="D5262" s="12" t="inlineStr">
        <is>
          <t>LV power feeder</t>
        </is>
      </c>
      <c r="E5262" s="12" t="inlineStr"/>
      <c r="F5262" s="12" t="inlineStr">
        <is>
          <t>PCM: power control module</t>
        </is>
      </c>
      <c r="G5262" s="12" t="inlineStr"/>
      <c r="H5262" s="12" t="inlineStr">
        <is>
          <t>CONDITIONAL: BESS black-start alternative</t>
        </is>
      </c>
      <c r="I5262" s="12" t="inlineStr">
        <is>
          <t>LV 600 V</t>
        </is>
      </c>
      <c r="J5262" s="12" t="inlineStr">
        <is>
          <t>Type TC-ER 600 V 3/C Cu XHHW-2 + ground, PVC jacket</t>
        </is>
      </c>
      <c r="K5262" s="12" t="inlineStr">
        <is>
          <t>LV|3/C+G|6</t>
        </is>
      </c>
      <c r="L5262" s="12" t="inlineStr">
        <is>
          <t>3/C+G</t>
        </is>
      </c>
      <c r="M5262" s="12" t="inlineStr">
        <is>
          <t>6</t>
        </is>
      </c>
      <c r="N5262" s="12" t="n">
        <v>1</v>
      </c>
      <c r="O5262" s="12" t="n">
        <v>1</v>
      </c>
      <c r="P5262" s="12" t="n">
        <v>480</v>
      </c>
      <c r="Q5262" s="12" t="n">
        <v>15</v>
      </c>
      <c r="R5262" s="12" t="n">
        <v>21.2</v>
      </c>
      <c r="S5262" s="12" t="inlineStr">
        <is>
          <t>Duct bank</t>
        </is>
      </c>
      <c r="T5262" s="17" t="n">
        <v>550</v>
      </c>
      <c r="U5262" s="17" t="n">
        <v>32</v>
      </c>
      <c r="V5262" s="17">
        <f>ROUNDUP((T5262+U5262+2*'Read Me'!$B$13)*(1+'Read Me'!$B$12),-1)</f>
        <v/>
      </c>
      <c r="W5262" s="17">
        <f>V5262*N5262*O5262</f>
        <v/>
      </c>
      <c r="X5262" s="12">
        <f>IF(LEFT(I5262,2)="MV",2*N5262*IF(L5262="1/C",O5262,1),0)</f>
        <v/>
      </c>
      <c r="Y5262" s="12">
        <f>IF(OR(LEFT(K5262,4)="LVAX",LEFT(K5262,6)="MV15AX",LEFT(K5262,4)="CTAX",LEFT(K5262,2)="W|"),2*N5262*O5262,0)</f>
        <v/>
      </c>
      <c r="Z5262" s="12" t="inlineStr">
        <is>
          <t>VD 2.4 %</t>
        </is>
      </c>
      <c r="AA5262" s="12">
        <f>N5262*O5262</f>
        <v/>
      </c>
    </row>
    <row r="5263">
      <c r="A5263" s="12" t="inlineStr">
        <is>
          <t>I-P-0007</t>
        </is>
      </c>
      <c r="B5263" s="12" t="inlineStr">
        <is>
          <t>I</t>
        </is>
      </c>
      <c r="C5263" s="12" t="inlineStr">
        <is>
          <t>Modular / portable power</t>
        </is>
      </c>
      <c r="D5263" s="12" t="inlineStr">
        <is>
          <t>LV power feeder</t>
        </is>
      </c>
      <c r="E5263" s="12" t="inlineStr"/>
      <c r="F5263" s="12" t="inlineStr">
        <is>
          <t>SC-1 PCM + 15 kV GCB</t>
        </is>
      </c>
      <c r="G5263" s="12" t="inlineStr"/>
      <c r="H5263" s="12" t="inlineStr">
        <is>
          <t>CONDITIONAL: SC-1 inlet chiller / evaporative cooler</t>
        </is>
      </c>
      <c r="I5263" s="12" t="inlineStr">
        <is>
          <t>LV 600 V</t>
        </is>
      </c>
      <c r="J5263" s="12" t="inlineStr">
        <is>
          <t>Type TC-ER 600 V 3/C Cu XHHW-2 + ground, PVC jacket</t>
        </is>
      </c>
      <c r="K5263" s="12" t="inlineStr">
        <is>
          <t>LV|3/C+G|350</t>
        </is>
      </c>
      <c r="L5263" s="12" t="inlineStr">
        <is>
          <t>3/C+G</t>
        </is>
      </c>
      <c r="M5263" s="12" t="inlineStr">
        <is>
          <t>350 kcmil</t>
        </is>
      </c>
      <c r="N5263" s="12" t="n">
        <v>3</v>
      </c>
      <c r="O5263" s="12" t="n">
        <v>1</v>
      </c>
      <c r="P5263" s="12" t="n">
        <v>480</v>
      </c>
      <c r="Q5263" s="12" t="n">
        <v>500</v>
      </c>
      <c r="R5263" s="12" t="n">
        <v>707.6</v>
      </c>
      <c r="S5263" s="12" t="inlineStr">
        <is>
          <t>Tray</t>
        </is>
      </c>
      <c r="T5263" s="17" t="n">
        <v>0</v>
      </c>
      <c r="U5263" s="17" t="n">
        <v>114</v>
      </c>
      <c r="V5263" s="17">
        <f>ROUNDUP((T5263+U5263+2*'Read Me'!$B$13)*(1+'Read Me'!$B$12),-1)</f>
        <v/>
      </c>
      <c r="W5263" s="17">
        <f>V5263*N5263*O5263</f>
        <v/>
      </c>
      <c r="X5263" s="12">
        <f>IF(LEFT(I5263,2)="MV",2*N5263*IF(L5263="1/C",O5263,1),0)</f>
        <v/>
      </c>
      <c r="Y5263" s="12">
        <f>IF(OR(LEFT(K5263,4)="LVAX",LEFT(K5263,6)="MV15AX",LEFT(K5263,4)="CTAX",LEFT(K5263,2)="W|"),2*N5263*O5263,0)</f>
        <v/>
      </c>
      <c r="Z5263" s="12" t="inlineStr">
        <is>
          <t>VD 0.4 %</t>
        </is>
      </c>
      <c r="AA5263" s="12">
        <f>N5263*O5263</f>
        <v/>
      </c>
    </row>
    <row r="5264">
      <c r="A5264" s="12" t="inlineStr">
        <is>
          <t>I-P-0008</t>
        </is>
      </c>
      <c r="B5264" s="12" t="inlineStr">
        <is>
          <t>I</t>
        </is>
      </c>
      <c r="C5264" s="12" t="inlineStr">
        <is>
          <t>Modular / portable power</t>
        </is>
      </c>
      <c r="D5264" s="12" t="inlineStr">
        <is>
          <t>LV power feeder</t>
        </is>
      </c>
      <c r="E5264" s="12" t="inlineStr"/>
      <c r="F5264" s="12" t="inlineStr">
        <is>
          <t>SC-2 PCM + 15 kV GCB</t>
        </is>
      </c>
      <c r="G5264" s="12" t="inlineStr"/>
      <c r="H5264" s="12" t="inlineStr">
        <is>
          <t>CONDITIONAL: SC-2 inlet chiller / evaporative cooler</t>
        </is>
      </c>
      <c r="I5264" s="12" t="inlineStr">
        <is>
          <t>LV 600 V</t>
        </is>
      </c>
      <c r="J5264" s="12" t="inlineStr">
        <is>
          <t>Type TC-ER 600 V 3/C Cu XHHW-2 + ground, PVC jacket</t>
        </is>
      </c>
      <c r="K5264" s="12" t="inlineStr">
        <is>
          <t>LV|3/C+G|350</t>
        </is>
      </c>
      <c r="L5264" s="12" t="inlineStr">
        <is>
          <t>3/C+G</t>
        </is>
      </c>
      <c r="M5264" s="12" t="inlineStr">
        <is>
          <t>350 kcmil</t>
        </is>
      </c>
      <c r="N5264" s="12" t="n">
        <v>3</v>
      </c>
      <c r="O5264" s="12" t="n">
        <v>1</v>
      </c>
      <c r="P5264" s="12" t="n">
        <v>480</v>
      </c>
      <c r="Q5264" s="12" t="n">
        <v>500</v>
      </c>
      <c r="R5264" s="12" t="n">
        <v>707.6</v>
      </c>
      <c r="S5264" s="12" t="inlineStr">
        <is>
          <t>Duct bank</t>
        </is>
      </c>
      <c r="T5264" s="17" t="n">
        <v>75</v>
      </c>
      <c r="U5264" s="17" t="n">
        <v>32</v>
      </c>
      <c r="V5264" s="17">
        <f>ROUNDUP((T5264+U5264+2*'Read Me'!$B$13)*(1+'Read Me'!$B$12),-1)</f>
        <v/>
      </c>
      <c r="W5264" s="17">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I-P-0009</t>
        </is>
      </c>
      <c r="B5265" s="12" t="inlineStr">
        <is>
          <t>I</t>
        </is>
      </c>
      <c r="C5265" s="12" t="inlineStr">
        <is>
          <t>Modular / portable power</t>
        </is>
      </c>
      <c r="D5265" s="12" t="inlineStr">
        <is>
          <t>FC-5 SOFC output to inverter / AC cabinet</t>
        </is>
      </c>
      <c r="E5265" s="12" t="inlineStr">
        <is>
          <t>FC-5</t>
        </is>
      </c>
      <c r="F5265" s="12" t="inlineStr">
        <is>
          <t>FC-5: SOFC module (Bloom ES5 class, 200-300 kW)</t>
        </is>
      </c>
      <c r="G5265" s="12" t="inlineStr"/>
      <c r="H5265" s="12" t="inlineStr">
        <is>
          <t>FC-5..12 inverter / AC cabinet / desulfurizer</t>
        </is>
      </c>
      <c r="I5265" s="12" t="inlineStr">
        <is>
          <t>LV 600 V</t>
        </is>
      </c>
      <c r="J5265" s="12" t="inlineStr">
        <is>
          <t>Type TC-ER 600 V 3/C Cu XHHW-2 + ground, PVC jacket</t>
        </is>
      </c>
      <c r="K5265" s="12" t="inlineStr">
        <is>
          <t>LV|3/C+G|3/0</t>
        </is>
      </c>
      <c r="L5265" s="12" t="inlineStr">
        <is>
          <t>3/C+G</t>
        </is>
      </c>
      <c r="M5265" s="12" t="inlineStr">
        <is>
          <t>3/0</t>
        </is>
      </c>
      <c r="N5265" s="12" t="n">
        <v>2</v>
      </c>
      <c r="O5265" s="12" t="n">
        <v>1</v>
      </c>
      <c r="P5265" s="12" t="n">
        <v>480</v>
      </c>
      <c r="Q5265" s="12" t="n">
        <v>250</v>
      </c>
      <c r="R5265" s="12" t="n">
        <v>316.5</v>
      </c>
      <c r="S5265" s="12" t="inlineStr">
        <is>
          <t>Duct bank</t>
        </is>
      </c>
      <c r="T5265" s="17" t="n">
        <v>139</v>
      </c>
      <c r="U5265" s="17" t="n">
        <v>32</v>
      </c>
      <c r="V5265" s="17">
        <f>ROUNDUP((T5265+U5265+2*'Read Me'!$B$13)*(1+'Read Me'!$B$12),-1)</f>
        <v/>
      </c>
      <c r="W5265" s="17">
        <f>V5265*N5265*O5265</f>
        <v/>
      </c>
      <c r="X5265" s="12">
        <f>IF(LEFT(I5265,2)="MV",2*N5265*IF(L5265="1/C",O5265,1),0)</f>
        <v/>
      </c>
      <c r="Y5265" s="12">
        <f>IF(OR(LEFT(K5265,4)="LVAX",LEFT(K5265,6)="MV15AX",LEFT(K5265,4)="CTAX",LEFT(K5265,2)="W|"),2*N5265*O5265,0)</f>
        <v/>
      </c>
      <c r="Z5265" s="12" t="inlineStr">
        <is>
          <t>VD 0.8 %</t>
        </is>
      </c>
      <c r="AA5265" s="12">
        <f>N5265*O5265</f>
        <v/>
      </c>
    </row>
    <row r="5266">
      <c r="A5266" s="12" t="inlineStr">
        <is>
          <t>I-P-0010</t>
        </is>
      </c>
      <c r="B5266" s="12" t="inlineStr">
        <is>
          <t>I</t>
        </is>
      </c>
      <c r="C5266" s="12" t="inlineStr">
        <is>
          <t>Modular / portable power</t>
        </is>
      </c>
      <c r="D5266" s="12" t="inlineStr">
        <is>
          <t>FC-6 SOFC output to inverter / AC cabinet</t>
        </is>
      </c>
      <c r="E5266" s="12" t="inlineStr">
        <is>
          <t>FC-6</t>
        </is>
      </c>
      <c r="F5266" s="12" t="inlineStr">
        <is>
          <t>FC-6: SOFC module (Bloom ES5 class, 200-300 kW)</t>
        </is>
      </c>
      <c r="G5266" s="12" t="inlineStr"/>
      <c r="H5266" s="12" t="inlineStr">
        <is>
          <t>FC-5..12 inverter / AC cabinet / desulfurizer</t>
        </is>
      </c>
      <c r="I5266" s="12" t="inlineStr">
        <is>
          <t>LV 600 V</t>
        </is>
      </c>
      <c r="J5266" s="12" t="inlineStr">
        <is>
          <t>Type TC-ER 600 V 3/C Cu XHHW-2 + ground, PVC jacket</t>
        </is>
      </c>
      <c r="K5266" s="12" t="inlineStr">
        <is>
          <t>LV|3/C+G|3/0</t>
        </is>
      </c>
      <c r="L5266" s="12" t="inlineStr">
        <is>
          <t>3/C+G</t>
        </is>
      </c>
      <c r="M5266" s="12" t="inlineStr">
        <is>
          <t>3/0</t>
        </is>
      </c>
      <c r="N5266" s="12" t="n">
        <v>2</v>
      </c>
      <c r="O5266" s="12" t="n">
        <v>1</v>
      </c>
      <c r="P5266" s="12" t="n">
        <v>480</v>
      </c>
      <c r="Q5266" s="12" t="n">
        <v>250</v>
      </c>
      <c r="R5266" s="12" t="n">
        <v>316.5</v>
      </c>
      <c r="S5266" s="12" t="inlineStr">
        <is>
          <t>Duct bank</t>
        </is>
      </c>
      <c r="T5266" s="17" t="n">
        <v>125</v>
      </c>
      <c r="U5266" s="17" t="n">
        <v>32</v>
      </c>
      <c r="V5266" s="17">
        <f>ROUNDUP((T5266+U5266+2*'Read Me'!$B$13)*(1+'Read Me'!$B$12),-1)</f>
        <v/>
      </c>
      <c r="W5266" s="17">
        <f>V5266*N5266*O5266</f>
        <v/>
      </c>
      <c r="X5266" s="12">
        <f>IF(LEFT(I5266,2)="MV",2*N5266*IF(L5266="1/C",O5266,1),0)</f>
        <v/>
      </c>
      <c r="Y5266" s="12">
        <f>IF(OR(LEFT(K5266,4)="LVAX",LEFT(K5266,6)="MV15AX",LEFT(K5266,4)="CTAX",LEFT(K5266,2)="W|"),2*N5266*O5266,0)</f>
        <v/>
      </c>
      <c r="Z5266" s="12" t="inlineStr">
        <is>
          <t>VD 0.8 %</t>
        </is>
      </c>
      <c r="AA5266" s="12">
        <f>N5266*O5266</f>
        <v/>
      </c>
    </row>
    <row r="5267">
      <c r="A5267" s="12" t="inlineStr">
        <is>
          <t>I-P-0011</t>
        </is>
      </c>
      <c r="B5267" s="12" t="inlineStr">
        <is>
          <t>I</t>
        </is>
      </c>
      <c r="C5267" s="12" t="inlineStr">
        <is>
          <t>Modular / portable power</t>
        </is>
      </c>
      <c r="D5267" s="12" t="inlineStr">
        <is>
          <t>FC-7 SOFC output to inverter / AC cabinet</t>
        </is>
      </c>
      <c r="E5267" s="12" t="inlineStr">
        <is>
          <t>FC-7</t>
        </is>
      </c>
      <c r="F5267" s="12" t="inlineStr">
        <is>
          <t>FC-7: SOFC module (Bloom ES5 class, 200-300 kW)</t>
        </is>
      </c>
      <c r="G5267" s="12" t="inlineStr"/>
      <c r="H5267" s="12" t="inlineStr">
        <is>
          <t>FC-5..12 inverter / AC cabinet / desulfurizer</t>
        </is>
      </c>
      <c r="I5267" s="12" t="inlineStr">
        <is>
          <t>LV 600 V</t>
        </is>
      </c>
      <c r="J5267" s="12" t="inlineStr">
        <is>
          <t>Type TC-ER 600 V 3/C Cu XHHW-2 + ground, PVC jacket</t>
        </is>
      </c>
      <c r="K5267" s="12" t="inlineStr">
        <is>
          <t>LV|3/C+G|3/0</t>
        </is>
      </c>
      <c r="L5267" s="12" t="inlineStr">
        <is>
          <t>3/C+G</t>
        </is>
      </c>
      <c r="M5267" s="12" t="inlineStr">
        <is>
          <t>3/0</t>
        </is>
      </c>
      <c r="N5267" s="12" t="n">
        <v>2</v>
      </c>
      <c r="O5267" s="12" t="n">
        <v>1</v>
      </c>
      <c r="P5267" s="12" t="n">
        <v>480</v>
      </c>
      <c r="Q5267" s="12" t="n">
        <v>250</v>
      </c>
      <c r="R5267" s="12" t="n">
        <v>316.5</v>
      </c>
      <c r="S5267" s="12" t="inlineStr">
        <is>
          <t>Duct bank</t>
        </is>
      </c>
      <c r="T5267" s="17" t="n">
        <v>111</v>
      </c>
      <c r="U5267" s="17" t="n">
        <v>32</v>
      </c>
      <c r="V5267" s="17">
        <f>ROUNDUP((T5267+U5267+2*'Read Me'!$B$13)*(1+'Read Me'!$B$12),-1)</f>
        <v/>
      </c>
      <c r="W5267" s="17">
        <f>V5267*N5267*O5267</f>
        <v/>
      </c>
      <c r="X5267" s="12">
        <f>IF(LEFT(I5267,2)="MV",2*N5267*IF(L5267="1/C",O5267,1),0)</f>
        <v/>
      </c>
      <c r="Y5267" s="12">
        <f>IF(OR(LEFT(K5267,4)="LVAX",LEFT(K5267,6)="MV15AX",LEFT(K5267,4)="CTAX",LEFT(K5267,2)="W|"),2*N5267*O5267,0)</f>
        <v/>
      </c>
      <c r="Z5267" s="12" t="inlineStr">
        <is>
          <t>VD 0.7 %</t>
        </is>
      </c>
      <c r="AA5267" s="12">
        <f>N5267*O5267</f>
        <v/>
      </c>
    </row>
    <row r="5268">
      <c r="A5268" s="12" t="inlineStr">
        <is>
          <t>I-P-0012</t>
        </is>
      </c>
      <c r="B5268" s="12" t="inlineStr">
        <is>
          <t>I</t>
        </is>
      </c>
      <c r="C5268" s="12" t="inlineStr">
        <is>
          <t>Modular / portable power</t>
        </is>
      </c>
      <c r="D5268" s="12" t="inlineStr">
        <is>
          <t>FC-8 SOFC output to inverter / AC cabinet</t>
        </is>
      </c>
      <c r="E5268" s="12" t="inlineStr">
        <is>
          <t>FC-8</t>
        </is>
      </c>
      <c r="F5268" s="12" t="inlineStr">
        <is>
          <t>FC-8: SOFC module (Bloom ES5 class, 200-300 kW)</t>
        </is>
      </c>
      <c r="G5268" s="12" t="inlineStr"/>
      <c r="H5268" s="12" t="inlineStr">
        <is>
          <t>FC-5..12 inverter / AC cabinet / desulfurizer</t>
        </is>
      </c>
      <c r="I5268" s="12" t="inlineStr">
        <is>
          <t>LV 600 V</t>
        </is>
      </c>
      <c r="J5268" s="12" t="inlineStr">
        <is>
          <t>Type TC-ER 600 V 3/C Cu XHHW-2 + ground, PVC jacket</t>
        </is>
      </c>
      <c r="K5268" s="12" t="inlineStr">
        <is>
          <t>LV|3/C+G|3/0</t>
        </is>
      </c>
      <c r="L5268" s="12" t="inlineStr">
        <is>
          <t>3/C+G</t>
        </is>
      </c>
      <c r="M5268" s="12" t="inlineStr">
        <is>
          <t>3/0</t>
        </is>
      </c>
      <c r="N5268" s="12" t="n">
        <v>2</v>
      </c>
      <c r="O5268" s="12" t="n">
        <v>1</v>
      </c>
      <c r="P5268" s="12" t="n">
        <v>480</v>
      </c>
      <c r="Q5268" s="12" t="n">
        <v>250</v>
      </c>
      <c r="R5268" s="12" t="n">
        <v>316.5</v>
      </c>
      <c r="S5268" s="12" t="inlineStr">
        <is>
          <t>Duct bank</t>
        </is>
      </c>
      <c r="T5268" s="17" t="n">
        <v>97</v>
      </c>
      <c r="U5268" s="17" t="n">
        <v>32</v>
      </c>
      <c r="V5268" s="17">
        <f>ROUNDUP((T5268+U5268+2*'Read Me'!$B$13)*(1+'Read Me'!$B$12),-1)</f>
        <v/>
      </c>
      <c r="W5268" s="17">
        <f>V5268*N5268*O5268</f>
        <v/>
      </c>
      <c r="X5268" s="12">
        <f>IF(LEFT(I5268,2)="MV",2*N5268*IF(L5268="1/C",O5268,1),0)</f>
        <v/>
      </c>
      <c r="Y5268" s="12">
        <f>IF(OR(LEFT(K5268,4)="LVAX",LEFT(K5268,6)="MV15AX",LEFT(K5268,4)="CTAX",LEFT(K5268,2)="W|"),2*N5268*O5268,0)</f>
        <v/>
      </c>
      <c r="Z5268" s="12" t="inlineStr">
        <is>
          <t>VD 0.6 %</t>
        </is>
      </c>
      <c r="AA5268" s="12">
        <f>N5268*O5268</f>
        <v/>
      </c>
    </row>
    <row r="5269">
      <c r="A5269" s="12" t="inlineStr">
        <is>
          <t>I-P-0013</t>
        </is>
      </c>
      <c r="B5269" s="12" t="inlineStr">
        <is>
          <t>I</t>
        </is>
      </c>
      <c r="C5269" s="12" t="inlineStr">
        <is>
          <t>Modular / portable power</t>
        </is>
      </c>
      <c r="D5269" s="12" t="inlineStr">
        <is>
          <t>FC-9 SOFC output to inverter / AC cabinet</t>
        </is>
      </c>
      <c r="E5269" s="12" t="inlineStr">
        <is>
          <t>FC-9</t>
        </is>
      </c>
      <c r="F5269" s="12" t="inlineStr">
        <is>
          <t>FC-9: SOFC module (Bloom ES5 class, 200-300 kW)</t>
        </is>
      </c>
      <c r="G5269" s="12" t="inlineStr"/>
      <c r="H5269" s="12" t="inlineStr">
        <is>
          <t>FC-5..12 inverter / AC cabinet / desulfurizer</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250</v>
      </c>
      <c r="R5269" s="12" t="n">
        <v>316.5</v>
      </c>
      <c r="S5269" s="12" t="inlineStr">
        <is>
          <t>Duct bank</t>
        </is>
      </c>
      <c r="T5269" s="17" t="n">
        <v>83</v>
      </c>
      <c r="U5269" s="17" t="n">
        <v>32</v>
      </c>
      <c r="V5269" s="17">
        <f>ROUNDUP((T5269+U5269+2*'Read Me'!$B$13)*(1+'Read Me'!$B$12),-1)</f>
        <v/>
      </c>
      <c r="W5269" s="17">
        <f>V5269*N5269*O5269</f>
        <v/>
      </c>
      <c r="X5269" s="12">
        <f>IF(LEFT(I5269,2)="MV",2*N5269*IF(L5269="1/C",O5269,1),0)</f>
        <v/>
      </c>
      <c r="Y5269" s="12">
        <f>IF(OR(LEFT(K5269,4)="LVAX",LEFT(K5269,6)="MV15AX",LEFT(K5269,4)="CTAX",LEFT(K5269,2)="W|"),2*N5269*O5269,0)</f>
        <v/>
      </c>
      <c r="Z5269" s="12" t="inlineStr">
        <is>
          <t>VD 0.6 %</t>
        </is>
      </c>
      <c r="AA5269" s="12">
        <f>N5269*O5269</f>
        <v/>
      </c>
    </row>
    <row r="5270">
      <c r="A5270" s="12" t="inlineStr">
        <is>
          <t>I-P-0014</t>
        </is>
      </c>
      <c r="B5270" s="12" t="inlineStr">
        <is>
          <t>I</t>
        </is>
      </c>
      <c r="C5270" s="12" t="inlineStr">
        <is>
          <t>Modular / portable power</t>
        </is>
      </c>
      <c r="D5270" s="12" t="inlineStr">
        <is>
          <t>FC-10 SOFC output to inverter / AC cabinet</t>
        </is>
      </c>
      <c r="E5270" s="12" t="inlineStr">
        <is>
          <t>FC-10</t>
        </is>
      </c>
      <c r="F5270" s="12" t="inlineStr">
        <is>
          <t>FC-10: SOFC module (Bloom ES5 class, 200-300 kW)</t>
        </is>
      </c>
      <c r="G5270" s="12" t="inlineStr"/>
      <c r="H5270" s="12" t="inlineStr">
        <is>
          <t>FC-5..12 inverter / AC cabinet / desulfurizer</t>
        </is>
      </c>
      <c r="I5270" s="12" t="inlineStr">
        <is>
          <t>LV 600 V</t>
        </is>
      </c>
      <c r="J5270" s="12" t="inlineStr">
        <is>
          <t>Type TC-ER 600 V 3/C Cu XHHW-2 + ground, PVC jacket</t>
        </is>
      </c>
      <c r="K5270" s="12" t="inlineStr">
        <is>
          <t>LV|3/C+G|3/0</t>
        </is>
      </c>
      <c r="L5270" s="12" t="inlineStr">
        <is>
          <t>3/C+G</t>
        </is>
      </c>
      <c r="M5270" s="12" t="inlineStr">
        <is>
          <t>3/0</t>
        </is>
      </c>
      <c r="N5270" s="12" t="n">
        <v>2</v>
      </c>
      <c r="O5270" s="12" t="n">
        <v>1</v>
      </c>
      <c r="P5270" s="12" t="n">
        <v>480</v>
      </c>
      <c r="Q5270" s="12" t="n">
        <v>250</v>
      </c>
      <c r="R5270" s="12" t="n">
        <v>316.5</v>
      </c>
      <c r="S5270" s="12" t="inlineStr">
        <is>
          <t>Duct bank</t>
        </is>
      </c>
      <c r="T5270" s="17" t="n">
        <v>69</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is>
          <t>VD 0.5 %</t>
        </is>
      </c>
      <c r="AA5270" s="12">
        <f>N5270*O5270</f>
        <v/>
      </c>
    </row>
    <row r="5271">
      <c r="A5271" s="12" t="inlineStr">
        <is>
          <t>I-P-0015</t>
        </is>
      </c>
      <c r="B5271" s="12" t="inlineStr">
        <is>
          <t>I</t>
        </is>
      </c>
      <c r="C5271" s="12" t="inlineStr">
        <is>
          <t>Modular / portable power</t>
        </is>
      </c>
      <c r="D5271" s="12" t="inlineStr">
        <is>
          <t>FC-11 SOFC output to inverter / AC cabinet</t>
        </is>
      </c>
      <c r="E5271" s="12" t="inlineStr">
        <is>
          <t>FC-11</t>
        </is>
      </c>
      <c r="F5271" s="12" t="inlineStr">
        <is>
          <t>FC-11: SOFC module (Bloom ES5 class, 200-300 kW)</t>
        </is>
      </c>
      <c r="G5271" s="12" t="inlineStr"/>
      <c r="H5271" s="12" t="inlineStr">
        <is>
          <t>FC-5..12 inverter / AC cabinet / desulfurizer</t>
        </is>
      </c>
      <c r="I5271" s="12" t="inlineStr">
        <is>
          <t>LV 600 V</t>
        </is>
      </c>
      <c r="J5271" s="12" t="inlineStr">
        <is>
          <t>Type TC-ER 600 V 3/C Cu XHHW-2 + ground, PVC jacket</t>
        </is>
      </c>
      <c r="K5271" s="12" t="inlineStr">
        <is>
          <t>LV|3/C+G|3/0</t>
        </is>
      </c>
      <c r="L5271" s="12" t="inlineStr">
        <is>
          <t>3/C+G</t>
        </is>
      </c>
      <c r="M5271" s="12" t="inlineStr">
        <is>
          <t>3/0</t>
        </is>
      </c>
      <c r="N5271" s="12" t="n">
        <v>2</v>
      </c>
      <c r="O5271" s="12" t="n">
        <v>1</v>
      </c>
      <c r="P5271" s="12" t="n">
        <v>480</v>
      </c>
      <c r="Q5271" s="12" t="n">
        <v>250</v>
      </c>
      <c r="R5271" s="12" t="n">
        <v>316.5</v>
      </c>
      <c r="S5271" s="12" t="inlineStr">
        <is>
          <t>Duct bank</t>
        </is>
      </c>
      <c r="T5271" s="17" t="n">
        <v>55</v>
      </c>
      <c r="U5271" s="17" t="n">
        <v>32</v>
      </c>
      <c r="V5271" s="17">
        <f>ROUNDUP((T5271+U5271+2*'Read Me'!$B$13)*(1+'Read Me'!$B$12),-1)</f>
        <v/>
      </c>
      <c r="W5271" s="17">
        <f>V5271*N5271*O5271</f>
        <v/>
      </c>
      <c r="X5271" s="12">
        <f>IF(LEFT(I5271,2)="MV",2*N5271*IF(L5271="1/C",O5271,1),0)</f>
        <v/>
      </c>
      <c r="Y5271" s="12">
        <f>IF(OR(LEFT(K5271,4)="LVAX",LEFT(K5271,6)="MV15AX",LEFT(K5271,4)="CTAX",LEFT(K5271,2)="W|"),2*N5271*O5271,0)</f>
        <v/>
      </c>
      <c r="Z5271" s="12" t="inlineStr">
        <is>
          <t>VD 0.4 %</t>
        </is>
      </c>
      <c r="AA5271" s="12">
        <f>N5271*O5271</f>
        <v/>
      </c>
    </row>
    <row r="5272">
      <c r="A5272" s="12" t="inlineStr">
        <is>
          <t>I-P-0016</t>
        </is>
      </c>
      <c r="B5272" s="12" t="inlineStr">
        <is>
          <t>I</t>
        </is>
      </c>
      <c r="C5272" s="12" t="inlineStr">
        <is>
          <t>Modular / portable power</t>
        </is>
      </c>
      <c r="D5272" s="12" t="inlineStr">
        <is>
          <t>FC-12 SOFC output to inverter / AC cabinet</t>
        </is>
      </c>
      <c r="E5272" s="12" t="inlineStr">
        <is>
          <t>FC-12</t>
        </is>
      </c>
      <c r="F5272" s="12" t="inlineStr">
        <is>
          <t>FC-12: SOFC module (Bloom ES5 class, 200-300 kW)</t>
        </is>
      </c>
      <c r="G5272" s="12" t="inlineStr"/>
      <c r="H5272" s="12" t="inlineStr">
        <is>
          <t>FC-5..12 inverter / AC cabinet / desulfurizer</t>
        </is>
      </c>
      <c r="I5272" s="12" t="inlineStr">
        <is>
          <t>LV 600 V</t>
        </is>
      </c>
      <c r="J5272" s="12" t="inlineStr">
        <is>
          <t>Type TC-ER 600 V 3/C Cu XHHW-2 + ground, PVC jacket</t>
        </is>
      </c>
      <c r="K5272" s="12" t="inlineStr">
        <is>
          <t>LV|3/C+G|3/0</t>
        </is>
      </c>
      <c r="L5272" s="12" t="inlineStr">
        <is>
          <t>3/C+G</t>
        </is>
      </c>
      <c r="M5272" s="12" t="inlineStr">
        <is>
          <t>3/0</t>
        </is>
      </c>
      <c r="N5272" s="12" t="n">
        <v>2</v>
      </c>
      <c r="O5272" s="12" t="n">
        <v>1</v>
      </c>
      <c r="P5272" s="12" t="n">
        <v>480</v>
      </c>
      <c r="Q5272" s="12" t="n">
        <v>250</v>
      </c>
      <c r="R5272" s="12" t="n">
        <v>316.5</v>
      </c>
      <c r="S5272" s="12" t="inlineStr">
        <is>
          <t>Duct bank</t>
        </is>
      </c>
      <c r="T5272" s="17" t="n">
        <v>46</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I-P-0017</t>
        </is>
      </c>
      <c r="B5273" s="12" t="inlineStr">
        <is>
          <t>I</t>
        </is>
      </c>
      <c r="C5273" s="12" t="inlineStr">
        <is>
          <t>Modular / portable power</t>
        </is>
      </c>
      <c r="D5273" s="12" t="inlineStr">
        <is>
          <t>Motor 1 of 6, 15 kW</t>
        </is>
      </c>
      <c r="E5273" s="12" t="inlineStr"/>
      <c r="F5273" s="12" t="inlineStr">
        <is>
          <t>SC-2 PCM + 15 kV GCB</t>
        </is>
      </c>
      <c r="G5273" s="12" t="inlineStr"/>
      <c r="H5273" s="12" t="inlineStr">
        <is>
          <t>Fuel-gas compressors 3 x 100% electric</t>
        </is>
      </c>
      <c r="I5273" s="12" t="inlineStr">
        <is>
          <t>LV 600 V</t>
        </is>
      </c>
      <c r="J5273" s="12" t="inlineStr">
        <is>
          <t>ARMOR-X MC-HL 600 V 3/C Cu XHHW-2 + ground, CWA, black PVC (Class I Div 2)</t>
        </is>
      </c>
      <c r="K5273" s="12" t="inlineStr">
        <is>
          <t>LVAX|3/C+G|10</t>
        </is>
      </c>
      <c r="L5273" s="12" t="inlineStr">
        <is>
          <t>3/C+G</t>
        </is>
      </c>
      <c r="M5273" s="12" t="inlineStr">
        <is>
          <t>10</t>
        </is>
      </c>
      <c r="N5273" s="12" t="n">
        <v>1</v>
      </c>
      <c r="O5273" s="12" t="n">
        <v>1</v>
      </c>
      <c r="P5273" s="12" t="n">
        <v>480</v>
      </c>
      <c r="Q5273" s="12" t="n">
        <v>15</v>
      </c>
      <c r="R5273" s="12" t="n">
        <v>21.2</v>
      </c>
      <c r="S5273" s="12" t="inlineStr">
        <is>
          <t>Duct bank</t>
        </is>
      </c>
      <c r="T5273" s="17" t="n">
        <v>8</v>
      </c>
      <c r="U5273" s="17" t="n">
        <v>108</v>
      </c>
      <c r="V5273" s="17">
        <f>ROUNDUP((T5273+U5273+2*'Read Me'!$B$13)*(1+'Read Me'!$B$12),-1)</f>
        <v/>
      </c>
      <c r="W5273" s="17">
        <f>V5273*N5273*O5273</f>
        <v/>
      </c>
      <c r="X5273" s="12">
        <f>IF(LEFT(I5273,2)="MV",2*N5273*IF(L5273="1/C",O5273,1),0)</f>
        <v/>
      </c>
      <c r="Y5273" s="12">
        <f>IF(OR(LEFT(K5273,4)="LVAX",LEFT(K5273,6)="MV15AX",LEFT(K5273,4)="CTAX",LEFT(K5273,2)="W|"),2*N5273*O5273,0)</f>
        <v/>
      </c>
      <c r="Z5273" s="12" t="inlineStr">
        <is>
          <t>VD 1.2 %</t>
        </is>
      </c>
      <c r="AA5273" s="12">
        <f>N5273*O5273</f>
        <v/>
      </c>
    </row>
    <row r="5274">
      <c r="A5274" s="12" t="inlineStr">
        <is>
          <t>I-P-0018</t>
        </is>
      </c>
      <c r="B5274" s="12" t="inlineStr">
        <is>
          <t>I</t>
        </is>
      </c>
      <c r="C5274" s="12" t="inlineStr">
        <is>
          <t>Modular / portable power</t>
        </is>
      </c>
      <c r="D5274" s="12" t="inlineStr">
        <is>
          <t>Motor 2 of 6, 15 kW</t>
        </is>
      </c>
      <c r="E5274" s="12" t="inlineStr"/>
      <c r="F5274" s="12" t="inlineStr">
        <is>
          <t>SC-2 PCM + 15 kV GCB</t>
        </is>
      </c>
      <c r="G5274" s="12" t="inlineStr"/>
      <c r="H5274" s="12" t="inlineStr">
        <is>
          <t>Fuel-gas compressors 3 x 100% electric</t>
        </is>
      </c>
      <c r="I5274" s="12" t="inlineStr">
        <is>
          <t>LV 600 V</t>
        </is>
      </c>
      <c r="J5274" s="12" t="inlineStr">
        <is>
          <t>ARMOR-X MC-HL 600 V 3/C Cu XHHW-2 + ground, CWA, black PVC (Class I Div 2)</t>
        </is>
      </c>
      <c r="K5274" s="12" t="inlineStr">
        <is>
          <t>LVAX|3/C+G|10</t>
        </is>
      </c>
      <c r="L5274" s="12" t="inlineStr">
        <is>
          <t>3/C+G</t>
        </is>
      </c>
      <c r="M5274" s="12" t="inlineStr">
        <is>
          <t>10</t>
        </is>
      </c>
      <c r="N5274" s="12" t="n">
        <v>1</v>
      </c>
      <c r="O5274" s="12" t="n">
        <v>1</v>
      </c>
      <c r="P5274" s="12" t="n">
        <v>480</v>
      </c>
      <c r="Q5274" s="12" t="n">
        <v>15</v>
      </c>
      <c r="R5274" s="12" t="n">
        <v>21.2</v>
      </c>
      <c r="S5274" s="12" t="inlineStr">
        <is>
          <t>Duct bank</t>
        </is>
      </c>
      <c r="T5274" s="17" t="n">
        <v>8</v>
      </c>
      <c r="U5274" s="17" t="n">
        <v>108</v>
      </c>
      <c r="V5274" s="17">
        <f>ROUNDUP((T5274+U5274+2*'Read Me'!$B$13)*(1+'Read Me'!$B$12),-1)</f>
        <v/>
      </c>
      <c r="W5274" s="17">
        <f>V5274*N5274*O5274</f>
        <v/>
      </c>
      <c r="X5274" s="12">
        <f>IF(LEFT(I5274,2)="MV",2*N5274*IF(L5274="1/C",O5274,1),0)</f>
        <v/>
      </c>
      <c r="Y5274" s="12">
        <f>IF(OR(LEFT(K5274,4)="LVAX",LEFT(K5274,6)="MV15AX",LEFT(K5274,4)="CTAX",LEFT(K5274,2)="W|"),2*N5274*O5274,0)</f>
        <v/>
      </c>
      <c r="Z5274" s="12" t="inlineStr">
        <is>
          <t>VD 1.2 %</t>
        </is>
      </c>
      <c r="AA5274" s="12">
        <f>N5274*O5274</f>
        <v/>
      </c>
    </row>
    <row r="5275">
      <c r="A5275" s="12" t="inlineStr">
        <is>
          <t>I-P-0019</t>
        </is>
      </c>
      <c r="B5275" s="12" t="inlineStr">
        <is>
          <t>I</t>
        </is>
      </c>
      <c r="C5275" s="12" t="inlineStr">
        <is>
          <t>Modular / portable power</t>
        </is>
      </c>
      <c r="D5275" s="12" t="inlineStr">
        <is>
          <t>Motor 3 of 6, 15 kW</t>
        </is>
      </c>
      <c r="E5275" s="12" t="inlineStr"/>
      <c r="F5275" s="12" t="inlineStr">
        <is>
          <t>SC-2 PCM + 15 kV GCB</t>
        </is>
      </c>
      <c r="G5275" s="12" t="inlineStr"/>
      <c r="H5275" s="12" t="inlineStr">
        <is>
          <t>Fuel-gas compressors 3 x 100% electric</t>
        </is>
      </c>
      <c r="I5275" s="12" t="inlineStr">
        <is>
          <t>LV 600 V</t>
        </is>
      </c>
      <c r="J5275" s="12" t="inlineStr">
        <is>
          <t>ARMOR-X MC-HL 600 V 3/C Cu XHHW-2 + ground, CWA, black PVC (Class I Div 2)</t>
        </is>
      </c>
      <c r="K5275" s="12" t="inlineStr">
        <is>
          <t>LVAX|3/C+G|10</t>
        </is>
      </c>
      <c r="L5275" s="12" t="inlineStr">
        <is>
          <t>3/C+G</t>
        </is>
      </c>
      <c r="M5275" s="12" t="inlineStr">
        <is>
          <t>10</t>
        </is>
      </c>
      <c r="N5275" s="12" t="n">
        <v>1</v>
      </c>
      <c r="O5275" s="12" t="n">
        <v>1</v>
      </c>
      <c r="P5275" s="12" t="n">
        <v>480</v>
      </c>
      <c r="Q5275" s="12" t="n">
        <v>15</v>
      </c>
      <c r="R5275" s="12" t="n">
        <v>21.2</v>
      </c>
      <c r="S5275" s="12" t="inlineStr">
        <is>
          <t>Duct bank</t>
        </is>
      </c>
      <c r="T5275" s="17" t="n">
        <v>8</v>
      </c>
      <c r="U5275" s="17" t="n">
        <v>108</v>
      </c>
      <c r="V5275" s="17">
        <f>ROUNDUP((T5275+U5275+2*'Read Me'!$B$13)*(1+'Read Me'!$B$12),-1)</f>
        <v/>
      </c>
      <c r="W5275" s="17">
        <f>V5275*N5275*O5275</f>
        <v/>
      </c>
      <c r="X5275" s="12">
        <f>IF(LEFT(I5275,2)="MV",2*N5275*IF(L5275="1/C",O5275,1),0)</f>
        <v/>
      </c>
      <c r="Y5275" s="12">
        <f>IF(OR(LEFT(K5275,4)="LVAX",LEFT(K5275,6)="MV15AX",LEFT(K5275,4)="CTAX",LEFT(K5275,2)="W|"),2*N5275*O5275,0)</f>
        <v/>
      </c>
      <c r="Z5275" s="12" t="inlineStr">
        <is>
          <t>VD 1.2 %</t>
        </is>
      </c>
      <c r="AA5275" s="12">
        <f>N5275*O5275</f>
        <v/>
      </c>
    </row>
    <row r="5276">
      <c r="A5276" s="12" t="inlineStr">
        <is>
          <t>I-P-0020</t>
        </is>
      </c>
      <c r="B5276" s="12" t="inlineStr">
        <is>
          <t>I</t>
        </is>
      </c>
      <c r="C5276" s="12" t="inlineStr">
        <is>
          <t>Modular / portable power</t>
        </is>
      </c>
      <c r="D5276" s="12" t="inlineStr">
        <is>
          <t>Motor 4 of 6, 15 kW</t>
        </is>
      </c>
      <c r="E5276" s="12" t="inlineStr"/>
      <c r="F5276" s="12" t="inlineStr">
        <is>
          <t>SC-2 PCM + 15 kV GCB</t>
        </is>
      </c>
      <c r="G5276" s="12" t="inlineStr"/>
      <c r="H5276" s="12" t="inlineStr">
        <is>
          <t>Fuel-gas compressors 3 x 100% electric</t>
        </is>
      </c>
      <c r="I5276" s="12" t="inlineStr">
        <is>
          <t>LV 600 V</t>
        </is>
      </c>
      <c r="J5276" s="12" t="inlineStr">
        <is>
          <t>ARMOR-X MC-HL 600 V 3/C Cu XHHW-2 + ground, CWA, black PVC (Class I Div 2)</t>
        </is>
      </c>
      <c r="K5276" s="12" t="inlineStr">
        <is>
          <t>LVAX|3/C+G|10</t>
        </is>
      </c>
      <c r="L5276" s="12" t="inlineStr">
        <is>
          <t>3/C+G</t>
        </is>
      </c>
      <c r="M5276" s="12" t="inlineStr">
        <is>
          <t>10</t>
        </is>
      </c>
      <c r="N5276" s="12" t="n">
        <v>1</v>
      </c>
      <c r="O5276" s="12" t="n">
        <v>1</v>
      </c>
      <c r="P5276" s="12" t="n">
        <v>480</v>
      </c>
      <c r="Q5276" s="12" t="n">
        <v>15</v>
      </c>
      <c r="R5276" s="12" t="n">
        <v>21.2</v>
      </c>
      <c r="S5276" s="12" t="inlineStr">
        <is>
          <t>Duct bank</t>
        </is>
      </c>
      <c r="T5276" s="17" t="n">
        <v>8</v>
      </c>
      <c r="U5276" s="17" t="n">
        <v>108</v>
      </c>
      <c r="V5276" s="17">
        <f>ROUNDUP((T5276+U5276+2*'Read Me'!$B$13)*(1+'Read Me'!$B$12),-1)</f>
        <v/>
      </c>
      <c r="W5276" s="17">
        <f>V5276*N5276*O5276</f>
        <v/>
      </c>
      <c r="X5276" s="12">
        <f>IF(LEFT(I5276,2)="MV",2*N5276*IF(L5276="1/C",O5276,1),0)</f>
        <v/>
      </c>
      <c r="Y5276" s="12">
        <f>IF(OR(LEFT(K5276,4)="LVAX",LEFT(K5276,6)="MV15AX",LEFT(K5276,4)="CTAX",LEFT(K5276,2)="W|"),2*N5276*O5276,0)</f>
        <v/>
      </c>
      <c r="Z5276" s="12" t="inlineStr">
        <is>
          <t>VD 1.2 %</t>
        </is>
      </c>
      <c r="AA5276" s="12">
        <f>N5276*O5276</f>
        <v/>
      </c>
    </row>
    <row r="5277">
      <c r="A5277" s="12" t="inlineStr">
        <is>
          <t>I-P-0021</t>
        </is>
      </c>
      <c r="B5277" s="12" t="inlineStr">
        <is>
          <t>I</t>
        </is>
      </c>
      <c r="C5277" s="12" t="inlineStr">
        <is>
          <t>Modular / portable power</t>
        </is>
      </c>
      <c r="D5277" s="12" t="inlineStr">
        <is>
          <t>Motor 5 of 6, 15 kW</t>
        </is>
      </c>
      <c r="E5277" s="12" t="inlineStr"/>
      <c r="F5277" s="12" t="inlineStr">
        <is>
          <t>SC-2 PCM + 15 kV GCB</t>
        </is>
      </c>
      <c r="G5277" s="12" t="inlineStr"/>
      <c r="H5277" s="12" t="inlineStr">
        <is>
          <t>Fuel-gas compressors 3 x 100% electric</t>
        </is>
      </c>
      <c r="I5277" s="12" t="inlineStr">
        <is>
          <t>LV 600 V</t>
        </is>
      </c>
      <c r="J5277" s="12" t="inlineStr">
        <is>
          <t>ARMOR-X MC-HL 600 V 3/C Cu XHHW-2 + ground, CWA, black PVC (Class I Div 2)</t>
        </is>
      </c>
      <c r="K5277" s="12" t="inlineStr">
        <is>
          <t>LVAX|3/C+G|10</t>
        </is>
      </c>
      <c r="L5277" s="12" t="inlineStr">
        <is>
          <t>3/C+G</t>
        </is>
      </c>
      <c r="M5277" s="12" t="inlineStr">
        <is>
          <t>10</t>
        </is>
      </c>
      <c r="N5277" s="12" t="n">
        <v>1</v>
      </c>
      <c r="O5277" s="12" t="n">
        <v>1</v>
      </c>
      <c r="P5277" s="12" t="n">
        <v>480</v>
      </c>
      <c r="Q5277" s="12" t="n">
        <v>15</v>
      </c>
      <c r="R5277" s="12" t="n">
        <v>21.2</v>
      </c>
      <c r="S5277" s="12" t="inlineStr">
        <is>
          <t>Duct bank</t>
        </is>
      </c>
      <c r="T5277" s="17" t="n">
        <v>8</v>
      </c>
      <c r="U5277" s="17" t="n">
        <v>108</v>
      </c>
      <c r="V5277" s="17">
        <f>ROUNDUP((T5277+U5277+2*'Read Me'!$B$13)*(1+'Read Me'!$B$12),-1)</f>
        <v/>
      </c>
      <c r="W5277" s="17">
        <f>V5277*N5277*O5277</f>
        <v/>
      </c>
      <c r="X5277" s="12">
        <f>IF(LEFT(I5277,2)="MV",2*N5277*IF(L5277="1/C",O5277,1),0)</f>
        <v/>
      </c>
      <c r="Y5277" s="12">
        <f>IF(OR(LEFT(K5277,4)="LVAX",LEFT(K5277,6)="MV15AX",LEFT(K5277,4)="CTAX",LEFT(K5277,2)="W|"),2*N5277*O5277,0)</f>
        <v/>
      </c>
      <c r="Z5277" s="12" t="inlineStr">
        <is>
          <t>VD 1.2 %</t>
        </is>
      </c>
      <c r="AA5277" s="12">
        <f>N5277*O5277</f>
        <v/>
      </c>
    </row>
    <row r="5278">
      <c r="A5278" s="12" t="inlineStr">
        <is>
          <t>I-P-0022</t>
        </is>
      </c>
      <c r="B5278" s="12" t="inlineStr">
        <is>
          <t>I</t>
        </is>
      </c>
      <c r="C5278" s="12" t="inlineStr">
        <is>
          <t>Modular / portable power</t>
        </is>
      </c>
      <c r="D5278" s="12" t="inlineStr">
        <is>
          <t>Motor 6 of 6, 15 kW</t>
        </is>
      </c>
      <c r="E5278" s="12" t="inlineStr"/>
      <c r="F5278" s="12" t="inlineStr">
        <is>
          <t>SC-2 PCM + 15 kV GCB</t>
        </is>
      </c>
      <c r="G5278" s="12" t="inlineStr"/>
      <c r="H5278" s="12" t="inlineStr">
        <is>
          <t>Fuel-gas compressors 3 x 100% electric</t>
        </is>
      </c>
      <c r="I5278" s="12" t="inlineStr">
        <is>
          <t>LV 600 V</t>
        </is>
      </c>
      <c r="J5278" s="12" t="inlineStr">
        <is>
          <t>ARMOR-X MC-HL 600 V 3/C Cu XHHW-2 + ground, CWA, black PVC (Class I Div 2)</t>
        </is>
      </c>
      <c r="K5278" s="12" t="inlineStr">
        <is>
          <t>LVAX|3/C+G|10</t>
        </is>
      </c>
      <c r="L5278" s="12" t="inlineStr">
        <is>
          <t>3/C+G</t>
        </is>
      </c>
      <c r="M5278" s="12" t="inlineStr">
        <is>
          <t>10</t>
        </is>
      </c>
      <c r="N5278" s="12" t="n">
        <v>1</v>
      </c>
      <c r="O5278" s="12" t="n">
        <v>1</v>
      </c>
      <c r="P5278" s="12" t="n">
        <v>480</v>
      </c>
      <c r="Q5278" s="12" t="n">
        <v>15</v>
      </c>
      <c r="R5278" s="12" t="n">
        <v>21.2</v>
      </c>
      <c r="S5278" s="12" t="inlineStr">
        <is>
          <t>Duct bank</t>
        </is>
      </c>
      <c r="T5278" s="17" t="n">
        <v>8</v>
      </c>
      <c r="U5278" s="17" t="n">
        <v>108</v>
      </c>
      <c r="V5278" s="17">
        <f>ROUNDUP((T5278+U5278+2*'Read Me'!$B$13)*(1+'Read Me'!$B$12),-1)</f>
        <v/>
      </c>
      <c r="W5278" s="17">
        <f>V5278*N5278*O5278</f>
        <v/>
      </c>
      <c r="X5278" s="12">
        <f>IF(LEFT(I5278,2)="MV",2*N5278*IF(L5278="1/C",O5278,1),0)</f>
        <v/>
      </c>
      <c r="Y5278" s="12">
        <f>IF(OR(LEFT(K5278,4)="LVAX",LEFT(K5278,6)="MV15AX",LEFT(K5278,4)="CTAX",LEFT(K5278,2)="W|"),2*N5278*O5278,0)</f>
        <v/>
      </c>
      <c r="Z5278" s="12" t="inlineStr">
        <is>
          <t>VD 1.2 %</t>
        </is>
      </c>
      <c r="AA5278" s="12">
        <f>N5278*O5278</f>
        <v/>
      </c>
    </row>
    <row r="5279">
      <c r="A5279" s="12" t="inlineStr">
        <is>
          <t>I-P-0023</t>
        </is>
      </c>
      <c r="B5279" s="12" t="inlineStr">
        <is>
          <t>I</t>
        </is>
      </c>
      <c r="C5279" s="12" t="inlineStr">
        <is>
          <t>Modular / portable power</t>
        </is>
      </c>
      <c r="D5279" s="12" t="inlineStr">
        <is>
          <t>GB-1.1 aux power: jacket-water heater, battery charger, enclosure</t>
        </is>
      </c>
      <c r="E5279" s="12" t="inlineStr">
        <is>
          <t>GBS-1</t>
        </is>
      </c>
      <c r="F5279" s="12" t="inlineStr">
        <is>
          <t>GBS-1: block 1 480 V paralleling switchgear (4 gensets)</t>
        </is>
      </c>
      <c r="G5279" s="12" t="inlineStr">
        <is>
          <t>GB-1.1</t>
        </is>
      </c>
      <c r="H5279" s="12" t="inlineStr">
        <is>
          <t>GB-1.1: modular gas genset ~450 kW, 480 V (block 1)</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15</v>
      </c>
      <c r="R5279" s="12" t="n">
        <v>19</v>
      </c>
      <c r="S5279" s="12" t="inlineStr">
        <is>
          <t>Riser</t>
        </is>
      </c>
      <c r="T5279" s="17" t="n">
        <v>6</v>
      </c>
      <c r="U5279" s="17" t="n">
        <v>27</v>
      </c>
      <c r="V5279" s="17">
        <f>ROUNDUP((T5279+U5279+2*'Read Me'!$B$13)*(1+'Read Me'!$B$12),-1)</f>
        <v/>
      </c>
      <c r="W5279" s="17">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I-P-0024</t>
        </is>
      </c>
      <c r="B5280" s="12" t="inlineStr">
        <is>
          <t>I</t>
        </is>
      </c>
      <c r="C5280" s="12" t="inlineStr">
        <is>
          <t>Modular / portable power</t>
        </is>
      </c>
      <c r="D5280" s="12" t="inlineStr">
        <is>
          <t>LV power feeder</t>
        </is>
      </c>
      <c r="E5280" s="12" t="inlineStr">
        <is>
          <t>PAD-LV</t>
        </is>
      </c>
      <c r="F5280" s="12" t="inlineStr">
        <is>
          <t>PAD-LV 480 V paralleling switchboard</t>
        </is>
      </c>
      <c r="G5280" s="12" t="inlineStr">
        <is>
          <t>GB-1.1</t>
        </is>
      </c>
      <c r="H5280" s="12" t="inlineStr">
        <is>
          <t>GB-1.1: modular gas genset ~450 kW, 480 V (block 1)</t>
        </is>
      </c>
      <c r="I5280" s="12" t="inlineStr">
        <is>
          <t>LV 600 V</t>
        </is>
      </c>
      <c r="J5280" s="12" t="inlineStr">
        <is>
          <t>Type TC-ER 600 V 3/C Cu XHHW-2 + ground, PVC jacket</t>
        </is>
      </c>
      <c r="K5280" s="12" t="inlineStr">
        <is>
          <t>LV|3/C+G|10</t>
        </is>
      </c>
      <c r="L5280" s="12" t="inlineStr">
        <is>
          <t>3/C+G</t>
        </is>
      </c>
      <c r="M5280" s="12" t="inlineStr">
        <is>
          <t>10</t>
        </is>
      </c>
      <c r="N5280" s="12" t="n">
        <v>1</v>
      </c>
      <c r="O5280" s="12" t="n">
        <v>1</v>
      </c>
      <c r="P5280" s="12" t="n">
        <v>480</v>
      </c>
      <c r="Q5280" s="12" t="n">
        <v>15</v>
      </c>
      <c r="R5280" s="12" t="n">
        <v>21.2</v>
      </c>
      <c r="S5280" s="12" t="inlineStr">
        <is>
          <t>Surface</t>
        </is>
      </c>
      <c r="T5280" s="17" t="n">
        <v>124</v>
      </c>
      <c r="U5280" s="17" t="n">
        <v>32</v>
      </c>
      <c r="V5280" s="17">
        <f>ROUNDUP((T5280+U5280+2*'Read Me'!$B$13)*(1+'Read Me'!$B$12),-1)</f>
        <v/>
      </c>
      <c r="W5280" s="17">
        <f>V5280*N5280*O5280</f>
        <v/>
      </c>
      <c r="X5280" s="12">
        <f>IF(LEFT(I5280,2)="MV",2*N5280*IF(L5280="1/C",O5280,1),0)</f>
        <v/>
      </c>
      <c r="Y5280" s="12">
        <f>IF(OR(LEFT(K5280,4)="LVAX",LEFT(K5280,6)="MV15AX",LEFT(K5280,4)="CTAX",LEFT(K5280,2)="W|"),2*N5280*O5280,0)</f>
        <v/>
      </c>
      <c r="Z5280" s="12" t="inlineStr">
        <is>
          <t>VD 1.6 %</t>
        </is>
      </c>
      <c r="AA5280" s="12">
        <f>N5280*O5280</f>
        <v/>
      </c>
    </row>
    <row r="5281">
      <c r="A5281" s="12" t="inlineStr">
        <is>
          <t>I-P-0025</t>
        </is>
      </c>
      <c r="B5281" s="12" t="inlineStr">
        <is>
          <t>I</t>
        </is>
      </c>
      <c r="C5281" s="12" t="inlineStr">
        <is>
          <t>Modular / portable power</t>
        </is>
      </c>
      <c r="D5281" s="12" t="inlineStr">
        <is>
          <t>GB-1.2 aux power: jacket-water heater, battery charger, enclosure</t>
        </is>
      </c>
      <c r="E5281" s="12" t="inlineStr">
        <is>
          <t>GBS-1</t>
        </is>
      </c>
      <c r="F5281" s="12" t="inlineStr">
        <is>
          <t>GBS-1: block 1 480 V paralleling switchgear (4 gensets)</t>
        </is>
      </c>
      <c r="G5281" s="12" t="inlineStr">
        <is>
          <t>GB-1.2</t>
        </is>
      </c>
      <c r="H5281" s="12" t="inlineStr">
        <is>
          <t>GB-1.2: modular gas genset ~450 kW, 480 V (block 1)</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15</v>
      </c>
      <c r="R5281" s="12" t="n">
        <v>19</v>
      </c>
      <c r="S5281" s="12" t="inlineStr">
        <is>
          <t>Riser</t>
        </is>
      </c>
      <c r="T5281" s="17" t="n">
        <v>3</v>
      </c>
      <c r="U5281" s="17" t="n">
        <v>31</v>
      </c>
      <c r="V5281" s="17">
        <f>ROUNDUP((T5281+U5281+2*'Read Me'!$B$13)*(1+'Read Me'!$B$12),-1)</f>
        <v/>
      </c>
      <c r="W5281" s="17">
        <f>V5281*N5281*O5281</f>
        <v/>
      </c>
      <c r="X5281" s="12">
        <f>IF(LEFT(I5281,2)="MV",2*N5281*IF(L5281="1/C",O5281,1),0)</f>
        <v/>
      </c>
      <c r="Y5281" s="12">
        <f>IF(OR(LEFT(K5281,4)="LVAX",LEFT(K5281,6)="MV15AX",LEFT(K5281,4)="CTAX",LEFT(K5281,2)="W|"),2*N5281*O5281,0)</f>
        <v/>
      </c>
      <c r="Z5281" s="12" t="inlineStr">
        <is>
          <t>VD 0.3 %</t>
        </is>
      </c>
      <c r="AA5281" s="12">
        <f>N5281*O5281</f>
        <v/>
      </c>
    </row>
    <row r="5282">
      <c r="A5282" s="12" t="inlineStr">
        <is>
          <t>I-P-0026</t>
        </is>
      </c>
      <c r="B5282" s="12" t="inlineStr">
        <is>
          <t>I</t>
        </is>
      </c>
      <c r="C5282" s="12" t="inlineStr">
        <is>
          <t>Modular / portable power</t>
        </is>
      </c>
      <c r="D5282" s="12" t="inlineStr">
        <is>
          <t>LV power feeder</t>
        </is>
      </c>
      <c r="E5282" s="12" t="inlineStr">
        <is>
          <t>PAD-LV</t>
        </is>
      </c>
      <c r="F5282" s="12" t="inlineStr">
        <is>
          <t>PAD-LV 480 V paralleling switchboard</t>
        </is>
      </c>
      <c r="G5282" s="12" t="inlineStr">
        <is>
          <t>GB-1.2</t>
        </is>
      </c>
      <c r="H5282" s="12" t="inlineStr">
        <is>
          <t>GB-1.2: modular gas genset ~450 kW, 480 V (block 1)</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15</v>
      </c>
      <c r="R5282" s="12" t="n">
        <v>21.2</v>
      </c>
      <c r="S5282" s="12" t="inlineStr">
        <is>
          <t>Surface</t>
        </is>
      </c>
      <c r="T5282" s="17" t="n">
        <v>127</v>
      </c>
      <c r="U5282" s="17" t="n">
        <v>36</v>
      </c>
      <c r="V5282" s="17">
        <f>ROUNDUP((T5282+U5282+2*'Read Me'!$B$13)*(1+'Read Me'!$B$12),-1)</f>
        <v/>
      </c>
      <c r="W5282" s="17">
        <f>V5282*N5282*O5282</f>
        <v/>
      </c>
      <c r="X5282" s="12">
        <f>IF(LEFT(I5282,2)="MV",2*N5282*IF(L5282="1/C",O5282,1),0)</f>
        <v/>
      </c>
      <c r="Y5282" s="12">
        <f>IF(OR(LEFT(K5282,4)="LVAX",LEFT(K5282,6)="MV15AX",LEFT(K5282,4)="CTAX",LEFT(K5282,2)="W|"),2*N5282*O5282,0)</f>
        <v/>
      </c>
      <c r="Z5282" s="12" t="inlineStr">
        <is>
          <t>VD 1.7 %</t>
        </is>
      </c>
      <c r="AA5282" s="12">
        <f>N5282*O5282</f>
        <v/>
      </c>
    </row>
    <row r="5283">
      <c r="A5283" s="12" t="inlineStr">
        <is>
          <t>I-P-0027</t>
        </is>
      </c>
      <c r="B5283" s="12" t="inlineStr">
        <is>
          <t>I</t>
        </is>
      </c>
      <c r="C5283" s="12" t="inlineStr">
        <is>
          <t>Modular / portable power</t>
        </is>
      </c>
      <c r="D5283" s="12" t="inlineStr">
        <is>
          <t>GB-1.3 aux power: jacket-water heater, battery charger, enclosure</t>
        </is>
      </c>
      <c r="E5283" s="12" t="inlineStr">
        <is>
          <t>GBS-1</t>
        </is>
      </c>
      <c r="F5283" s="12" t="inlineStr">
        <is>
          <t>GBS-1: block 1 480 V paralleling switchgear (4 gensets)</t>
        </is>
      </c>
      <c r="G5283" s="12" t="inlineStr">
        <is>
          <t>GB-1.3</t>
        </is>
      </c>
      <c r="H5283" s="12" t="inlineStr">
        <is>
          <t>GB-1.3: modular gas genset ~450 kW, 480 V (block 1)</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15</v>
      </c>
      <c r="R5283" s="12" t="n">
        <v>19</v>
      </c>
      <c r="S5283" s="12" t="inlineStr">
        <is>
          <t>Duct bank</t>
        </is>
      </c>
      <c r="T5283" s="17" t="n">
        <v>12</v>
      </c>
      <c r="U5283" s="17" t="n">
        <v>35</v>
      </c>
      <c r="V5283" s="17">
        <f>ROUNDUP((T5283+U5283+2*'Read Me'!$B$13)*(1+'Read Me'!$B$12),-1)</f>
        <v/>
      </c>
      <c r="W5283" s="17">
        <f>V5283*N5283*O5283</f>
        <v/>
      </c>
      <c r="X5283" s="12">
        <f>IF(LEFT(I5283,2)="MV",2*N5283*IF(L5283="1/C",O5283,1),0)</f>
        <v/>
      </c>
      <c r="Y5283" s="12">
        <f>IF(OR(LEFT(K5283,4)="LVAX",LEFT(K5283,6)="MV15AX",LEFT(K5283,4)="CTAX",LEFT(K5283,2)="W|"),2*N5283*O5283,0)</f>
        <v/>
      </c>
      <c r="Z5283" s="12" t="inlineStr">
        <is>
          <t>VD 0.4 %</t>
        </is>
      </c>
      <c r="AA5283" s="12">
        <f>N5283*O5283</f>
        <v/>
      </c>
    </row>
    <row r="5284">
      <c r="A5284" s="12" t="inlineStr">
        <is>
          <t>I-P-0028</t>
        </is>
      </c>
      <c r="B5284" s="12" t="inlineStr">
        <is>
          <t>I</t>
        </is>
      </c>
      <c r="C5284" s="12" t="inlineStr">
        <is>
          <t>Modular / portable power</t>
        </is>
      </c>
      <c r="D5284" s="12" t="inlineStr">
        <is>
          <t>LV power feeder</t>
        </is>
      </c>
      <c r="E5284" s="12" t="inlineStr">
        <is>
          <t>PAD-LV</t>
        </is>
      </c>
      <c r="F5284" s="12" t="inlineStr">
        <is>
          <t>PAD-LV 480 V paralleling switchboard</t>
        </is>
      </c>
      <c r="G5284" s="12" t="inlineStr">
        <is>
          <t>GB-1.3</t>
        </is>
      </c>
      <c r="H5284" s="12" t="inlineStr">
        <is>
          <t>GB-1.3: modular gas genset ~450 kW, 480 V (block 1)</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15</v>
      </c>
      <c r="R5284" s="12" t="n">
        <v>21.2</v>
      </c>
      <c r="S5284" s="12" t="inlineStr">
        <is>
          <t>Surface</t>
        </is>
      </c>
      <c r="T5284" s="17" t="n">
        <v>142</v>
      </c>
      <c r="U5284" s="17" t="n">
        <v>35</v>
      </c>
      <c r="V5284" s="17">
        <f>ROUNDUP((T5284+U5284+2*'Read Me'!$B$13)*(1+'Read Me'!$B$12),-1)</f>
        <v/>
      </c>
      <c r="W5284" s="17">
        <f>V5284*N5284*O5284</f>
        <v/>
      </c>
      <c r="X5284" s="12">
        <f>IF(LEFT(I5284,2)="MV",2*N5284*IF(L5284="1/C",O5284,1),0)</f>
        <v/>
      </c>
      <c r="Y5284" s="12">
        <f>IF(OR(LEFT(K5284,4)="LVAX",LEFT(K5284,6)="MV15AX",LEFT(K5284,4)="CTAX",LEFT(K5284,2)="W|"),2*N5284*O5284,0)</f>
        <v/>
      </c>
      <c r="Z5284" s="12" t="inlineStr">
        <is>
          <t>VD 1.8 %</t>
        </is>
      </c>
      <c r="AA5284" s="12">
        <f>N5284*O5284</f>
        <v/>
      </c>
    </row>
    <row r="5285">
      <c r="A5285" s="12" t="inlineStr">
        <is>
          <t>I-P-0029</t>
        </is>
      </c>
      <c r="B5285" s="12" t="inlineStr">
        <is>
          <t>I</t>
        </is>
      </c>
      <c r="C5285" s="12" t="inlineStr">
        <is>
          <t>Modular / portable power</t>
        </is>
      </c>
      <c r="D5285" s="12" t="inlineStr">
        <is>
          <t>GB-1.4 aux power: jacket-water heater, battery charger, enclosure</t>
        </is>
      </c>
      <c r="E5285" s="12" t="inlineStr">
        <is>
          <t>GBS-1</t>
        </is>
      </c>
      <c r="F5285" s="12" t="inlineStr">
        <is>
          <t>GBS-1: block 1 480 V paralleling switchgear (4 gensets)</t>
        </is>
      </c>
      <c r="G5285" s="12" t="inlineStr">
        <is>
          <t>GB-1.4</t>
        </is>
      </c>
      <c r="H5285" s="12" t="inlineStr">
        <is>
          <t>GB-1.4: modular gas genset ~450 kW, 480 V (block 1)</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15</v>
      </c>
      <c r="R5285" s="12" t="n">
        <v>19</v>
      </c>
      <c r="S5285" s="12" t="inlineStr">
        <is>
          <t>Duct bank</t>
        </is>
      </c>
      <c r="T5285" s="17" t="n">
        <v>15</v>
      </c>
      <c r="U5285" s="17" t="n">
        <v>39</v>
      </c>
      <c r="V5285" s="17">
        <f>ROUNDUP((T5285+U5285+2*'Read Me'!$B$13)*(1+'Read Me'!$B$12),-1)</f>
        <v/>
      </c>
      <c r="W5285" s="17">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I-P-0030</t>
        </is>
      </c>
      <c r="B5286" s="12" t="inlineStr">
        <is>
          <t>I</t>
        </is>
      </c>
      <c r="C5286" s="12" t="inlineStr">
        <is>
          <t>Modular / portable power</t>
        </is>
      </c>
      <c r="D5286" s="12" t="inlineStr">
        <is>
          <t>LV power feeder</t>
        </is>
      </c>
      <c r="E5286" s="12" t="inlineStr">
        <is>
          <t>PAD-LV</t>
        </is>
      </c>
      <c r="F5286" s="12" t="inlineStr">
        <is>
          <t>PAD-LV 480 V paralleling switchboard</t>
        </is>
      </c>
      <c r="G5286" s="12" t="inlineStr">
        <is>
          <t>GB-1.4</t>
        </is>
      </c>
      <c r="H5286" s="12" t="inlineStr">
        <is>
          <t>GB-1.4: modular gas genset ~450 kW, 480 V (block 1)</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15</v>
      </c>
      <c r="R5286" s="12" t="n">
        <v>21.2</v>
      </c>
      <c r="S5286" s="12" t="inlineStr">
        <is>
          <t>Surface</t>
        </is>
      </c>
      <c r="T5286" s="17" t="n">
        <v>145</v>
      </c>
      <c r="U5286" s="17" t="n">
        <v>39</v>
      </c>
      <c r="V5286" s="17">
        <f>ROUNDUP((T5286+U5286+2*'Read Me'!$B$13)*(1+'Read Me'!$B$12),-1)</f>
        <v/>
      </c>
      <c r="W5286" s="17">
        <f>V5286*N5286*O5286</f>
        <v/>
      </c>
      <c r="X5286" s="12">
        <f>IF(LEFT(I5286,2)="MV",2*N5286*IF(L5286="1/C",O5286,1),0)</f>
        <v/>
      </c>
      <c r="Y5286" s="12">
        <f>IF(OR(LEFT(K5286,4)="LVAX",LEFT(K5286,6)="MV15AX",LEFT(K5286,4)="CTAX",LEFT(K5286,2)="W|"),2*N5286*O5286,0)</f>
        <v/>
      </c>
      <c r="Z5286" s="12" t="inlineStr">
        <is>
          <t>VD 1.9 %</t>
        </is>
      </c>
      <c r="AA5286" s="12">
        <f>N5286*O5286</f>
        <v/>
      </c>
    </row>
    <row r="5287">
      <c r="A5287" s="12" t="inlineStr">
        <is>
          <t>I-P-0031</t>
        </is>
      </c>
      <c r="B5287" s="12" t="inlineStr">
        <is>
          <t>I</t>
        </is>
      </c>
      <c r="C5287" s="12" t="inlineStr">
        <is>
          <t>Modular / portable power</t>
        </is>
      </c>
      <c r="D5287" s="12" t="inlineStr">
        <is>
          <t>GB-2.1 aux power: jacket-water heater, battery charger, enclosure</t>
        </is>
      </c>
      <c r="E5287" s="12" t="inlineStr">
        <is>
          <t>GBS-2</t>
        </is>
      </c>
      <c r="F5287" s="12" t="inlineStr">
        <is>
          <t>GBS-2: block 2 480 V paralleling switchgear (4 gensets)</t>
        </is>
      </c>
      <c r="G5287" s="12" t="inlineStr">
        <is>
          <t>GB-2.1</t>
        </is>
      </c>
      <c r="H5287" s="12" t="inlineStr">
        <is>
          <t>GB-2.1: modular gas genset ~450 kW, 480 V (block 2)</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15</v>
      </c>
      <c r="R5287" s="12" t="n">
        <v>19</v>
      </c>
      <c r="S5287" s="12" t="inlineStr">
        <is>
          <t>Riser</t>
        </is>
      </c>
      <c r="T5287" s="17" t="n">
        <v>6</v>
      </c>
      <c r="U5287" s="17" t="n">
        <v>27</v>
      </c>
      <c r="V5287" s="17">
        <f>ROUNDUP((T5287+U5287+2*'Read Me'!$B$13)*(1+'Read Me'!$B$12),-1)</f>
        <v/>
      </c>
      <c r="W5287" s="17">
        <f>V5287*N5287*O5287</f>
        <v/>
      </c>
      <c r="X5287" s="12">
        <f>IF(LEFT(I5287,2)="MV",2*N5287*IF(L5287="1/C",O5287,1),0)</f>
        <v/>
      </c>
      <c r="Y5287" s="12">
        <f>IF(OR(LEFT(K5287,4)="LVAX",LEFT(K5287,6)="MV15AX",LEFT(K5287,4)="CTAX",LEFT(K5287,2)="W|"),2*N5287*O5287,0)</f>
        <v/>
      </c>
      <c r="Z5287" s="12" t="inlineStr">
        <is>
          <t>VD 0.3 %</t>
        </is>
      </c>
      <c r="AA5287" s="12">
        <f>N5287*O5287</f>
        <v/>
      </c>
    </row>
    <row r="5288">
      <c r="A5288" s="12" t="inlineStr">
        <is>
          <t>I-P-0032</t>
        </is>
      </c>
      <c r="B5288" s="12" t="inlineStr">
        <is>
          <t>I</t>
        </is>
      </c>
      <c r="C5288" s="12" t="inlineStr">
        <is>
          <t>Modular / portable power</t>
        </is>
      </c>
      <c r="D5288" s="12" t="inlineStr">
        <is>
          <t>LV power feeder</t>
        </is>
      </c>
      <c r="E5288" s="12" t="inlineStr">
        <is>
          <t>PAD-LV</t>
        </is>
      </c>
      <c r="F5288" s="12" t="inlineStr">
        <is>
          <t>PAD-LV 480 V paralleling switchboard</t>
        </is>
      </c>
      <c r="G5288" s="12" t="inlineStr">
        <is>
          <t>GB-2.1</t>
        </is>
      </c>
      <c r="H5288" s="12" t="inlineStr">
        <is>
          <t>GB-2.1: modular gas genset ~450 kW, 480 V (block 2)</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15</v>
      </c>
      <c r="R5288" s="12" t="n">
        <v>21.2</v>
      </c>
      <c r="S5288" s="12" t="inlineStr">
        <is>
          <t>Surface</t>
        </is>
      </c>
      <c r="T5288" s="17" t="n">
        <v>237</v>
      </c>
      <c r="U5288" s="17" t="n">
        <v>46</v>
      </c>
      <c r="V5288" s="17">
        <f>ROUNDUP((T5288+U5288+2*'Read Me'!$B$13)*(1+'Read Me'!$B$12),-1)</f>
        <v/>
      </c>
      <c r="W5288" s="17">
        <f>V5288*N5288*O5288</f>
        <v/>
      </c>
      <c r="X5288" s="12">
        <f>IF(LEFT(I5288,2)="MV",2*N5288*IF(L5288="1/C",O5288,1),0)</f>
        <v/>
      </c>
      <c r="Y5288" s="12">
        <f>IF(OR(LEFT(K5288,4)="LVAX",LEFT(K5288,6)="MV15AX",LEFT(K5288,4)="CTAX",LEFT(K5288,2)="W|"),2*N5288*O5288,0)</f>
        <v/>
      </c>
      <c r="Z5288" s="12" t="inlineStr">
        <is>
          <t>VD 2.9 %</t>
        </is>
      </c>
      <c r="AA5288" s="12">
        <f>N5288*O5288</f>
        <v/>
      </c>
    </row>
    <row r="5289">
      <c r="A5289" s="12" t="inlineStr">
        <is>
          <t>I-P-0033</t>
        </is>
      </c>
      <c r="B5289" s="12" t="inlineStr">
        <is>
          <t>I</t>
        </is>
      </c>
      <c r="C5289" s="12" t="inlineStr">
        <is>
          <t>Modular / portable power</t>
        </is>
      </c>
      <c r="D5289" s="12" t="inlineStr">
        <is>
          <t>GB-2.2 aux power: jacket-water heater, battery charger, enclosure</t>
        </is>
      </c>
      <c r="E5289" s="12" t="inlineStr">
        <is>
          <t>GBS-2</t>
        </is>
      </c>
      <c r="F5289" s="12" t="inlineStr">
        <is>
          <t>GBS-2: block 2 480 V paralleling switchgear (4 gensets)</t>
        </is>
      </c>
      <c r="G5289" s="12" t="inlineStr">
        <is>
          <t>GB-2.2</t>
        </is>
      </c>
      <c r="H5289" s="12" t="inlineStr">
        <is>
          <t>GB-2.2: modular gas genset ~450 kW, 480 V (block 2)</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15</v>
      </c>
      <c r="R5289" s="12" t="n">
        <v>19</v>
      </c>
      <c r="S5289" s="12" t="inlineStr">
        <is>
          <t>Riser</t>
        </is>
      </c>
      <c r="T5289" s="17" t="n">
        <v>3</v>
      </c>
      <c r="U5289" s="17" t="n">
        <v>31</v>
      </c>
      <c r="V5289" s="17">
        <f>ROUNDUP((T5289+U5289+2*'Read Me'!$B$13)*(1+'Read Me'!$B$12),-1)</f>
        <v/>
      </c>
      <c r="W5289" s="17">
        <f>V5289*N5289*O5289</f>
        <v/>
      </c>
      <c r="X5289" s="12">
        <f>IF(LEFT(I5289,2)="MV",2*N5289*IF(L5289="1/C",O5289,1),0)</f>
        <v/>
      </c>
      <c r="Y5289" s="12">
        <f>IF(OR(LEFT(K5289,4)="LVAX",LEFT(K5289,6)="MV15AX",LEFT(K5289,4)="CTAX",LEFT(K5289,2)="W|"),2*N5289*O5289,0)</f>
        <v/>
      </c>
      <c r="Z5289" s="12" t="inlineStr">
        <is>
          <t>VD 0.3 %</t>
        </is>
      </c>
      <c r="AA5289" s="12">
        <f>N5289*O5289</f>
        <v/>
      </c>
    </row>
    <row r="5290">
      <c r="A5290" s="12" t="inlineStr">
        <is>
          <t>I-P-0034</t>
        </is>
      </c>
      <c r="B5290" s="12" t="inlineStr">
        <is>
          <t>I</t>
        </is>
      </c>
      <c r="C5290" s="12" t="inlineStr">
        <is>
          <t>Modular / portable power</t>
        </is>
      </c>
      <c r="D5290" s="12" t="inlineStr">
        <is>
          <t>LV power feeder</t>
        </is>
      </c>
      <c r="E5290" s="12" t="inlineStr">
        <is>
          <t>PAD-LV</t>
        </is>
      </c>
      <c r="F5290" s="12" t="inlineStr">
        <is>
          <t>PAD-LV 480 V paralleling switchboard</t>
        </is>
      </c>
      <c r="G5290" s="12" t="inlineStr">
        <is>
          <t>GB-2.2</t>
        </is>
      </c>
      <c r="H5290" s="12" t="inlineStr">
        <is>
          <t>GB-2.2: modular gas genset ~450 kW, 480 V (block 2)</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15</v>
      </c>
      <c r="R5290" s="12" t="n">
        <v>21.2</v>
      </c>
      <c r="S5290" s="12" t="inlineStr">
        <is>
          <t>Surface</t>
        </is>
      </c>
      <c r="T5290" s="17" t="n">
        <v>235</v>
      </c>
      <c r="U5290" s="17" t="n">
        <v>41</v>
      </c>
      <c r="V5290" s="17">
        <f>ROUNDUP((T5290+U5290+2*'Read Me'!$B$13)*(1+'Read Me'!$B$12),-1)</f>
        <v/>
      </c>
      <c r="W5290" s="17">
        <f>V5290*N5290*O5290</f>
        <v/>
      </c>
      <c r="X5290" s="12">
        <f>IF(LEFT(I5290,2)="MV",2*N5290*IF(L5290="1/C",O5290,1),0)</f>
        <v/>
      </c>
      <c r="Y5290" s="12">
        <f>IF(OR(LEFT(K5290,4)="LVAX",LEFT(K5290,6)="MV15AX",LEFT(K5290,4)="CTAX",LEFT(K5290,2)="W|"),2*N5290*O5290,0)</f>
        <v/>
      </c>
      <c r="Z5290" s="12" t="inlineStr">
        <is>
          <t>VD 2.8 %</t>
        </is>
      </c>
      <c r="AA5290" s="12">
        <f>N5290*O5290</f>
        <v/>
      </c>
    </row>
    <row r="5291">
      <c r="A5291" s="12" t="inlineStr">
        <is>
          <t>I-P-0035</t>
        </is>
      </c>
      <c r="B5291" s="12" t="inlineStr">
        <is>
          <t>I</t>
        </is>
      </c>
      <c r="C5291" s="12" t="inlineStr">
        <is>
          <t>Modular / portable power</t>
        </is>
      </c>
      <c r="D5291" s="12" t="inlineStr">
        <is>
          <t>GB-2.3 aux power: jacket-water heater, battery charger, enclosure</t>
        </is>
      </c>
      <c r="E5291" s="12" t="inlineStr">
        <is>
          <t>GBS-2</t>
        </is>
      </c>
      <c r="F5291" s="12" t="inlineStr">
        <is>
          <t>GBS-2: block 2 480 V paralleling switchgear (4 gensets)</t>
        </is>
      </c>
      <c r="G5291" s="12" t="inlineStr">
        <is>
          <t>GB-2.3</t>
        </is>
      </c>
      <c r="H5291" s="12" t="inlineStr">
        <is>
          <t>GB-2.3: modular gas genset ~450 kW, 480 V (block 2)</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15</v>
      </c>
      <c r="R5291" s="12" t="n">
        <v>19</v>
      </c>
      <c r="S5291" s="12" t="inlineStr">
        <is>
          <t>Duct bank</t>
        </is>
      </c>
      <c r="T5291" s="17" t="n">
        <v>15</v>
      </c>
      <c r="U5291" s="17" t="n">
        <v>32</v>
      </c>
      <c r="V5291" s="17">
        <f>ROUNDUP((T5291+U5291+2*'Read Me'!$B$13)*(1+'Read Me'!$B$12),-1)</f>
        <v/>
      </c>
      <c r="W5291" s="17">
        <f>V5291*N5291*O5291</f>
        <v/>
      </c>
      <c r="X5291" s="12">
        <f>IF(LEFT(I5291,2)="MV",2*N5291*IF(L5291="1/C",O5291,1),0)</f>
        <v/>
      </c>
      <c r="Y5291" s="12">
        <f>IF(OR(LEFT(K5291,4)="LVAX",LEFT(K5291,6)="MV15AX",LEFT(K5291,4)="CTAX",LEFT(K5291,2)="W|"),2*N5291*O5291,0)</f>
        <v/>
      </c>
      <c r="Z5291" s="12" t="inlineStr">
        <is>
          <t>VD 0.4 %</t>
        </is>
      </c>
      <c r="AA5291" s="12">
        <f>N5291*O5291</f>
        <v/>
      </c>
    </row>
    <row r="5292">
      <c r="A5292" s="12" t="inlineStr">
        <is>
          <t>I-P-0036</t>
        </is>
      </c>
      <c r="B5292" s="12" t="inlineStr">
        <is>
          <t>I</t>
        </is>
      </c>
      <c r="C5292" s="12" t="inlineStr">
        <is>
          <t>Modular / portable power</t>
        </is>
      </c>
      <c r="D5292" s="12" t="inlineStr">
        <is>
          <t>LV power feeder</t>
        </is>
      </c>
      <c r="E5292" s="12" t="inlineStr">
        <is>
          <t>PAD-LV</t>
        </is>
      </c>
      <c r="F5292" s="12" t="inlineStr">
        <is>
          <t>PAD-LV 480 V paralleling switchboard</t>
        </is>
      </c>
      <c r="G5292" s="12" t="inlineStr">
        <is>
          <t>GB-2.3</t>
        </is>
      </c>
      <c r="H5292" s="12" t="inlineStr">
        <is>
          <t>GB-2.3: modular gas genset ~450 kW, 480 V (block 2)</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15</v>
      </c>
      <c r="R5292" s="12" t="n">
        <v>21.2</v>
      </c>
      <c r="S5292" s="12" t="inlineStr">
        <is>
          <t>Surface</t>
        </is>
      </c>
      <c r="T5292" s="17" t="n">
        <v>225</v>
      </c>
      <c r="U5292" s="17" t="n">
        <v>41</v>
      </c>
      <c r="V5292" s="17">
        <f>ROUNDUP((T5292+U5292+2*'Read Me'!$B$13)*(1+'Read Me'!$B$12),-1)</f>
        <v/>
      </c>
      <c r="W5292" s="17">
        <f>V5292*N5292*O5292</f>
        <v/>
      </c>
      <c r="X5292" s="12">
        <f>IF(LEFT(I5292,2)="MV",2*N5292*IF(L5292="1/C",O5292,1),0)</f>
        <v/>
      </c>
      <c r="Y5292" s="12">
        <f>IF(OR(LEFT(K5292,4)="LVAX",LEFT(K5292,6)="MV15AX",LEFT(K5292,4)="CTAX",LEFT(K5292,2)="W|"),2*N5292*O5292,0)</f>
        <v/>
      </c>
      <c r="Z5292" s="12" t="inlineStr">
        <is>
          <t>VD 2.7 %</t>
        </is>
      </c>
      <c r="AA5292" s="12">
        <f>N5292*O5292</f>
        <v/>
      </c>
    </row>
    <row r="5293">
      <c r="A5293" s="12" t="inlineStr">
        <is>
          <t>I-P-0037</t>
        </is>
      </c>
      <c r="B5293" s="12" t="inlineStr">
        <is>
          <t>I</t>
        </is>
      </c>
      <c r="C5293" s="12" t="inlineStr">
        <is>
          <t>Modular / portable power</t>
        </is>
      </c>
      <c r="D5293" s="12" t="inlineStr">
        <is>
          <t>GB-2.4 aux power: jacket-water heater, battery charger, enclosure</t>
        </is>
      </c>
      <c r="E5293" s="12" t="inlineStr">
        <is>
          <t>GBS-2</t>
        </is>
      </c>
      <c r="F5293" s="12" t="inlineStr">
        <is>
          <t>GBS-2: block 2 480 V paralleling switchgear (4 gensets)</t>
        </is>
      </c>
      <c r="G5293" s="12" t="inlineStr">
        <is>
          <t>GB-2.4</t>
        </is>
      </c>
      <c r="H5293" s="12" t="inlineStr">
        <is>
          <t>GB-2.4: modular gas genset ~450 kW, 480 V (block 2)</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15</v>
      </c>
      <c r="R5293" s="12" t="n">
        <v>19</v>
      </c>
      <c r="S5293" s="12" t="inlineStr">
        <is>
          <t>Duct bank</t>
        </is>
      </c>
      <c r="T5293" s="17" t="n">
        <v>15</v>
      </c>
      <c r="U5293" s="17" t="n">
        <v>39</v>
      </c>
      <c r="V5293" s="17">
        <f>ROUNDUP((T5293+U5293+2*'Read Me'!$B$13)*(1+'Read Me'!$B$12),-1)</f>
        <v/>
      </c>
      <c r="W5293" s="17">
        <f>V5293*N5293*O5293</f>
        <v/>
      </c>
      <c r="X5293" s="12">
        <f>IF(LEFT(I5293,2)="MV",2*N5293*IF(L5293="1/C",O5293,1),0)</f>
        <v/>
      </c>
      <c r="Y5293" s="12">
        <f>IF(OR(LEFT(K5293,4)="LVAX",LEFT(K5293,6)="MV15AX",LEFT(K5293,4)="CTAX",LEFT(K5293,2)="W|"),2*N5293*O5293,0)</f>
        <v/>
      </c>
      <c r="Z5293" s="12" t="inlineStr">
        <is>
          <t>VD 0.5 %</t>
        </is>
      </c>
      <c r="AA5293" s="12">
        <f>N5293*O5293</f>
        <v/>
      </c>
    </row>
    <row r="5294">
      <c r="A5294" s="12" t="inlineStr">
        <is>
          <t>I-P-0038</t>
        </is>
      </c>
      <c r="B5294" s="12" t="inlineStr">
        <is>
          <t>I</t>
        </is>
      </c>
      <c r="C5294" s="12" t="inlineStr">
        <is>
          <t>Modular / portable power</t>
        </is>
      </c>
      <c r="D5294" s="12" t="inlineStr">
        <is>
          <t>LV power feeder</t>
        </is>
      </c>
      <c r="E5294" s="12" t="inlineStr">
        <is>
          <t>PAD-LV</t>
        </is>
      </c>
      <c r="F5294" s="12" t="inlineStr">
        <is>
          <t>PAD-LV 480 V paralleling switchboard</t>
        </is>
      </c>
      <c r="G5294" s="12" t="inlineStr">
        <is>
          <t>GB-2.4</t>
        </is>
      </c>
      <c r="H5294" s="12" t="inlineStr">
        <is>
          <t>GB-2.4: modular gas genset ~450 kW, 480 V (block 2)</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15</v>
      </c>
      <c r="R5294" s="12" t="n">
        <v>21.2</v>
      </c>
      <c r="S5294" s="12" t="inlineStr">
        <is>
          <t>Surface</t>
        </is>
      </c>
      <c r="T5294" s="17" t="n">
        <v>225</v>
      </c>
      <c r="U5294" s="17" t="n">
        <v>48</v>
      </c>
      <c r="V5294" s="17">
        <f>ROUNDUP((T5294+U5294+2*'Read Me'!$B$13)*(1+'Read Me'!$B$12),-1)</f>
        <v/>
      </c>
      <c r="W5294" s="17">
        <f>V5294*N5294*O5294</f>
        <v/>
      </c>
      <c r="X5294" s="12">
        <f>IF(LEFT(I5294,2)="MV",2*N5294*IF(L5294="1/C",O5294,1),0)</f>
        <v/>
      </c>
      <c r="Y5294" s="12">
        <f>IF(OR(LEFT(K5294,4)="LVAX",LEFT(K5294,6)="MV15AX",LEFT(K5294,4)="CTAX",LEFT(K5294,2)="W|"),2*N5294*O5294,0)</f>
        <v/>
      </c>
      <c r="Z5294" s="12" t="inlineStr">
        <is>
          <t>VD 2.8 %</t>
        </is>
      </c>
      <c r="AA5294" s="12">
        <f>N5294*O5294</f>
        <v/>
      </c>
    </row>
    <row r="5295">
      <c r="A5295" s="12" t="inlineStr">
        <is>
          <t>I-P-0039</t>
        </is>
      </c>
      <c r="B5295" s="12" t="inlineStr">
        <is>
          <t>I</t>
        </is>
      </c>
      <c r="C5295" s="12" t="inlineStr">
        <is>
          <t>Modular / portable power</t>
        </is>
      </c>
      <c r="D5295" s="12" t="inlineStr">
        <is>
          <t>GB-3.1 aux power: jacket-water heater, battery charger, enclosure</t>
        </is>
      </c>
      <c r="E5295" s="12" t="inlineStr">
        <is>
          <t>GBS-3</t>
        </is>
      </c>
      <c r="F5295" s="12" t="inlineStr">
        <is>
          <t>GBS-3: block 3 480 V paralleling switchgear (4 gensets)</t>
        </is>
      </c>
      <c r="G5295" s="12" t="inlineStr">
        <is>
          <t>GB-3.1</t>
        </is>
      </c>
      <c r="H5295" s="12" t="inlineStr">
        <is>
          <t>GB-3.1: modular gas genset ~450 kW, 480 V (block 3)</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15</v>
      </c>
      <c r="R5295" s="12" t="n">
        <v>19</v>
      </c>
      <c r="S5295" s="12" t="inlineStr">
        <is>
          <t>Riser</t>
        </is>
      </c>
      <c r="T5295" s="17" t="n">
        <v>6</v>
      </c>
      <c r="U5295" s="17" t="n">
        <v>27</v>
      </c>
      <c r="V5295" s="17">
        <f>ROUNDUP((T5295+U5295+2*'Read Me'!$B$13)*(1+'Read Me'!$B$12),-1)</f>
        <v/>
      </c>
      <c r="W5295" s="17">
        <f>V5295*N5295*O5295</f>
        <v/>
      </c>
      <c r="X5295" s="12">
        <f>IF(LEFT(I5295,2)="MV",2*N5295*IF(L5295="1/C",O5295,1),0)</f>
        <v/>
      </c>
      <c r="Y5295" s="12">
        <f>IF(OR(LEFT(K5295,4)="LVAX",LEFT(K5295,6)="MV15AX",LEFT(K5295,4)="CTAX",LEFT(K5295,2)="W|"),2*N5295*O5295,0)</f>
        <v/>
      </c>
      <c r="Z5295" s="12" t="inlineStr">
        <is>
          <t>VD 0.3 %</t>
        </is>
      </c>
      <c r="AA5295" s="12">
        <f>N5295*O5295</f>
        <v/>
      </c>
    </row>
    <row r="5296">
      <c r="A5296" s="12" t="inlineStr">
        <is>
          <t>I-P-0040</t>
        </is>
      </c>
      <c r="B5296" s="12" t="inlineStr">
        <is>
          <t>I</t>
        </is>
      </c>
      <c r="C5296" s="12" t="inlineStr">
        <is>
          <t>Modular / portable power</t>
        </is>
      </c>
      <c r="D5296" s="12" t="inlineStr">
        <is>
          <t>LV power feeder</t>
        </is>
      </c>
      <c r="E5296" s="12" t="inlineStr">
        <is>
          <t>PAD-LV</t>
        </is>
      </c>
      <c r="F5296" s="12" t="inlineStr">
        <is>
          <t>PAD-LV 480 V paralleling switchboard</t>
        </is>
      </c>
      <c r="G5296" s="12" t="inlineStr">
        <is>
          <t>GB-3.1</t>
        </is>
      </c>
      <c r="H5296" s="12" t="inlineStr">
        <is>
          <t>GB-3.1: modular gas genset ~450 kW, 480 V (block 3)</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15</v>
      </c>
      <c r="R5296" s="12" t="n">
        <v>21.2</v>
      </c>
      <c r="S5296" s="12" t="inlineStr">
        <is>
          <t>Surface</t>
        </is>
      </c>
      <c r="T5296" s="17" t="n">
        <v>170</v>
      </c>
      <c r="U5296" s="17" t="n">
        <v>32</v>
      </c>
      <c r="V5296" s="17">
        <f>ROUNDUP((T5296+U5296+2*'Read Me'!$B$13)*(1+'Read Me'!$B$12),-1)</f>
        <v/>
      </c>
      <c r="W5296" s="17">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I-P-0041</t>
        </is>
      </c>
      <c r="B5297" s="12" t="inlineStr">
        <is>
          <t>I</t>
        </is>
      </c>
      <c r="C5297" s="12" t="inlineStr">
        <is>
          <t>Modular / portable power</t>
        </is>
      </c>
      <c r="D5297" s="12" t="inlineStr">
        <is>
          <t>GB-3.2 aux power: jacket-water heater, battery charger, enclosure</t>
        </is>
      </c>
      <c r="E5297" s="12" t="inlineStr">
        <is>
          <t>GBS-3</t>
        </is>
      </c>
      <c r="F5297" s="12" t="inlineStr">
        <is>
          <t>GBS-3: block 3 480 V paralleling switchgear (4 gensets)</t>
        </is>
      </c>
      <c r="G5297" s="12" t="inlineStr">
        <is>
          <t>GB-3.2</t>
        </is>
      </c>
      <c r="H5297" s="12" t="inlineStr">
        <is>
          <t>GB-3.2: modular gas genset ~450 kW, 480 V (block 3)</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15</v>
      </c>
      <c r="R5297" s="12" t="n">
        <v>19</v>
      </c>
      <c r="S5297" s="12" t="inlineStr">
        <is>
          <t>Riser</t>
        </is>
      </c>
      <c r="T5297" s="17" t="n">
        <v>3</v>
      </c>
      <c r="U5297" s="17" t="n">
        <v>31</v>
      </c>
      <c r="V5297" s="17">
        <f>ROUNDUP((T5297+U5297+2*'Read Me'!$B$13)*(1+'Read Me'!$B$12),-1)</f>
        <v/>
      </c>
      <c r="W5297" s="17">
        <f>V5297*N5297*O5297</f>
        <v/>
      </c>
      <c r="X5297" s="12">
        <f>IF(LEFT(I5297,2)="MV",2*N5297*IF(L5297="1/C",O5297,1),0)</f>
        <v/>
      </c>
      <c r="Y5297" s="12">
        <f>IF(OR(LEFT(K5297,4)="LVAX",LEFT(K5297,6)="MV15AX",LEFT(K5297,4)="CTAX",LEFT(K5297,2)="W|"),2*N5297*O5297,0)</f>
        <v/>
      </c>
      <c r="Z5297" s="12" t="inlineStr">
        <is>
          <t>VD 0.3 %</t>
        </is>
      </c>
      <c r="AA5297" s="12">
        <f>N5297*O5297</f>
        <v/>
      </c>
    </row>
    <row r="5298">
      <c r="A5298" s="12" t="inlineStr">
        <is>
          <t>I-P-0042</t>
        </is>
      </c>
      <c r="B5298" s="12" t="inlineStr">
        <is>
          <t>I</t>
        </is>
      </c>
      <c r="C5298" s="12" t="inlineStr">
        <is>
          <t>Modular / portable power</t>
        </is>
      </c>
      <c r="D5298" s="12" t="inlineStr">
        <is>
          <t>LV power feeder</t>
        </is>
      </c>
      <c r="E5298" s="12" t="inlineStr">
        <is>
          <t>PAD-LV</t>
        </is>
      </c>
      <c r="F5298" s="12" t="inlineStr">
        <is>
          <t>PAD-LV 480 V paralleling switchboard</t>
        </is>
      </c>
      <c r="G5298" s="12" t="inlineStr">
        <is>
          <t>GB-3.2</t>
        </is>
      </c>
      <c r="H5298" s="12" t="inlineStr">
        <is>
          <t>GB-3.2: modular gas genset ~450 kW, 480 V (block 3)</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15</v>
      </c>
      <c r="R5298" s="12" t="n">
        <v>21.2</v>
      </c>
      <c r="S5298" s="12" t="inlineStr">
        <is>
          <t>Surface</t>
        </is>
      </c>
      <c r="T5298" s="17" t="n">
        <v>173</v>
      </c>
      <c r="U5298" s="17" t="n">
        <v>36</v>
      </c>
      <c r="V5298" s="17">
        <f>ROUNDUP((T5298+U5298+2*'Read Me'!$B$13)*(1+'Read Me'!$B$12),-1)</f>
        <v/>
      </c>
      <c r="W5298" s="17">
        <f>V5298*N5298*O5298</f>
        <v/>
      </c>
      <c r="X5298" s="12">
        <f>IF(LEFT(I5298,2)="MV",2*N5298*IF(L5298="1/C",O5298,1),0)</f>
        <v/>
      </c>
      <c r="Y5298" s="12">
        <f>IF(OR(LEFT(K5298,4)="LVAX",LEFT(K5298,6)="MV15AX",LEFT(K5298,4)="CTAX",LEFT(K5298,2)="W|"),2*N5298*O5298,0)</f>
        <v/>
      </c>
      <c r="Z5298" s="12" t="inlineStr">
        <is>
          <t>VD 2.1 %</t>
        </is>
      </c>
      <c r="AA5298" s="12">
        <f>N5298*O5298</f>
        <v/>
      </c>
    </row>
    <row r="5299">
      <c r="A5299" s="12" t="inlineStr">
        <is>
          <t>I-P-0043</t>
        </is>
      </c>
      <c r="B5299" s="12" t="inlineStr">
        <is>
          <t>I</t>
        </is>
      </c>
      <c r="C5299" s="12" t="inlineStr">
        <is>
          <t>Modular / portable power</t>
        </is>
      </c>
      <c r="D5299" s="12" t="inlineStr">
        <is>
          <t>GB-3.3 aux power: jacket-water heater, battery charger, enclosure</t>
        </is>
      </c>
      <c r="E5299" s="12" t="inlineStr">
        <is>
          <t>GBS-3</t>
        </is>
      </c>
      <c r="F5299" s="12" t="inlineStr">
        <is>
          <t>GBS-3: block 3 480 V paralleling switchgear (4 gensets)</t>
        </is>
      </c>
      <c r="G5299" s="12" t="inlineStr">
        <is>
          <t>GB-3.3</t>
        </is>
      </c>
      <c r="H5299" s="12" t="inlineStr">
        <is>
          <t>GB-3.3: modular gas genset ~450 kW, 480 V (block 3)</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15</v>
      </c>
      <c r="R5299" s="12" t="n">
        <v>19</v>
      </c>
      <c r="S5299" s="12" t="inlineStr">
        <is>
          <t>Duct bank</t>
        </is>
      </c>
      <c r="T5299" s="17" t="n">
        <v>12</v>
      </c>
      <c r="U5299" s="17" t="n">
        <v>35</v>
      </c>
      <c r="V5299" s="17">
        <f>ROUNDUP((T5299+U5299+2*'Read Me'!$B$13)*(1+'Read Me'!$B$12),-1)</f>
        <v/>
      </c>
      <c r="W5299" s="17">
        <f>V5299*N5299*O5299</f>
        <v/>
      </c>
      <c r="X5299" s="12">
        <f>IF(LEFT(I5299,2)="MV",2*N5299*IF(L5299="1/C",O5299,1),0)</f>
        <v/>
      </c>
      <c r="Y5299" s="12">
        <f>IF(OR(LEFT(K5299,4)="LVAX",LEFT(K5299,6)="MV15AX",LEFT(K5299,4)="CTAX",LEFT(K5299,2)="W|"),2*N5299*O5299,0)</f>
        <v/>
      </c>
      <c r="Z5299" s="12" t="inlineStr">
        <is>
          <t>VD 0.4 %</t>
        </is>
      </c>
      <c r="AA5299" s="12">
        <f>N5299*O5299</f>
        <v/>
      </c>
    </row>
    <row r="5300">
      <c r="A5300" s="12" t="inlineStr">
        <is>
          <t>I-P-0044</t>
        </is>
      </c>
      <c r="B5300" s="12" t="inlineStr">
        <is>
          <t>I</t>
        </is>
      </c>
      <c r="C5300" s="12" t="inlineStr">
        <is>
          <t>Modular / portable power</t>
        </is>
      </c>
      <c r="D5300" s="12" t="inlineStr">
        <is>
          <t>LV power feeder</t>
        </is>
      </c>
      <c r="E5300" s="12" t="inlineStr">
        <is>
          <t>PAD-LV</t>
        </is>
      </c>
      <c r="F5300" s="12" t="inlineStr">
        <is>
          <t>PAD-LV 480 V paralleling switchboard</t>
        </is>
      </c>
      <c r="G5300" s="12" t="inlineStr">
        <is>
          <t>GB-3.3</t>
        </is>
      </c>
      <c r="H5300" s="12" t="inlineStr">
        <is>
          <t>GB-3.3: modular gas genset ~450 kW, 480 V (block 3)</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15</v>
      </c>
      <c r="R5300" s="12" t="n">
        <v>21.2</v>
      </c>
      <c r="S5300" s="12" t="inlineStr">
        <is>
          <t>Surface</t>
        </is>
      </c>
      <c r="T5300" s="17" t="n">
        <v>188</v>
      </c>
      <c r="U5300" s="17" t="n">
        <v>35</v>
      </c>
      <c r="V5300" s="17">
        <f>ROUNDUP((T5300+U5300+2*'Read Me'!$B$13)*(1+'Read Me'!$B$12),-1)</f>
        <v/>
      </c>
      <c r="W5300" s="17">
        <f>V5300*N5300*O5300</f>
        <v/>
      </c>
      <c r="X5300" s="12">
        <f>IF(LEFT(I5300,2)="MV",2*N5300*IF(L5300="1/C",O5300,1),0)</f>
        <v/>
      </c>
      <c r="Y5300" s="12">
        <f>IF(OR(LEFT(K5300,4)="LVAX",LEFT(K5300,6)="MV15AX",LEFT(K5300,4)="CTAX",LEFT(K5300,2)="W|"),2*N5300*O5300,0)</f>
        <v/>
      </c>
      <c r="Z5300" s="12" t="inlineStr">
        <is>
          <t>VD 2.3 %</t>
        </is>
      </c>
      <c r="AA5300" s="12">
        <f>N5300*O5300</f>
        <v/>
      </c>
    </row>
    <row r="5301">
      <c r="A5301" s="12" t="inlineStr">
        <is>
          <t>I-P-0045</t>
        </is>
      </c>
      <c r="B5301" s="12" t="inlineStr">
        <is>
          <t>I</t>
        </is>
      </c>
      <c r="C5301" s="12" t="inlineStr">
        <is>
          <t>Modular / portable power</t>
        </is>
      </c>
      <c r="D5301" s="12" t="inlineStr">
        <is>
          <t>GB-3.4 aux power: jacket-water heater, battery charger, enclosure</t>
        </is>
      </c>
      <c r="E5301" s="12" t="inlineStr">
        <is>
          <t>GBS-3</t>
        </is>
      </c>
      <c r="F5301" s="12" t="inlineStr">
        <is>
          <t>GBS-3: block 3 480 V paralleling switchgear (4 gensets)</t>
        </is>
      </c>
      <c r="G5301" s="12" t="inlineStr">
        <is>
          <t>GB-3.4</t>
        </is>
      </c>
      <c r="H5301" s="12" t="inlineStr">
        <is>
          <t>GB-3.4: modular gas genset ~450 kW, 480 V (block 3)</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15</v>
      </c>
      <c r="R5301" s="12" t="n">
        <v>19</v>
      </c>
      <c r="S5301" s="12" t="inlineStr">
        <is>
          <t>Duct bank</t>
        </is>
      </c>
      <c r="T5301" s="17" t="n">
        <v>15</v>
      </c>
      <c r="U5301" s="17" t="n">
        <v>39</v>
      </c>
      <c r="V5301" s="17">
        <f>ROUNDUP((T5301+U5301+2*'Read Me'!$B$13)*(1+'Read Me'!$B$12),-1)</f>
        <v/>
      </c>
      <c r="W5301" s="17">
        <f>V5301*N5301*O5301</f>
        <v/>
      </c>
      <c r="X5301" s="12">
        <f>IF(LEFT(I5301,2)="MV",2*N5301*IF(L5301="1/C",O5301,1),0)</f>
        <v/>
      </c>
      <c r="Y5301" s="12">
        <f>IF(OR(LEFT(K5301,4)="LVAX",LEFT(K5301,6)="MV15AX",LEFT(K5301,4)="CTAX",LEFT(K5301,2)="W|"),2*N5301*O5301,0)</f>
        <v/>
      </c>
      <c r="Z5301" s="12" t="inlineStr">
        <is>
          <t>VD 0.5 %</t>
        </is>
      </c>
      <c r="AA5301" s="12">
        <f>N5301*O5301</f>
        <v/>
      </c>
    </row>
    <row r="5302">
      <c r="A5302" s="12" t="inlineStr">
        <is>
          <t>I-P-0046</t>
        </is>
      </c>
      <c r="B5302" s="12" t="inlineStr">
        <is>
          <t>I</t>
        </is>
      </c>
      <c r="C5302" s="12" t="inlineStr">
        <is>
          <t>Modular / portable power</t>
        </is>
      </c>
      <c r="D5302" s="12" t="inlineStr">
        <is>
          <t>LV power feeder</t>
        </is>
      </c>
      <c r="E5302" s="12" t="inlineStr">
        <is>
          <t>PAD-LV</t>
        </is>
      </c>
      <c r="F5302" s="12" t="inlineStr">
        <is>
          <t>PAD-LV 480 V paralleling switchboard</t>
        </is>
      </c>
      <c r="G5302" s="12" t="inlineStr">
        <is>
          <t>GB-3.4</t>
        </is>
      </c>
      <c r="H5302" s="12" t="inlineStr">
        <is>
          <t>GB-3.4: modular gas genset ~450 kW, 480 V (block 3)</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15</v>
      </c>
      <c r="R5302" s="12" t="n">
        <v>21.2</v>
      </c>
      <c r="S5302" s="12" t="inlineStr">
        <is>
          <t>Surface</t>
        </is>
      </c>
      <c r="T5302" s="17" t="n">
        <v>191</v>
      </c>
      <c r="U5302" s="17" t="n">
        <v>39</v>
      </c>
      <c r="V5302" s="17">
        <f>ROUNDUP((T5302+U5302+2*'Read Me'!$B$13)*(1+'Read Me'!$B$12),-1)</f>
        <v/>
      </c>
      <c r="W5302" s="17">
        <f>V5302*N5302*O5302</f>
        <v/>
      </c>
      <c r="X5302" s="12">
        <f>IF(LEFT(I5302,2)="MV",2*N5302*IF(L5302="1/C",O5302,1),0)</f>
        <v/>
      </c>
      <c r="Y5302" s="12">
        <f>IF(OR(LEFT(K5302,4)="LVAX",LEFT(K5302,6)="MV15AX",LEFT(K5302,4)="CTAX",LEFT(K5302,2)="W|"),2*N5302*O5302,0)</f>
        <v/>
      </c>
      <c r="Z5302" s="12" t="inlineStr">
        <is>
          <t>VD 2.3 %</t>
        </is>
      </c>
      <c r="AA5302" s="12">
        <f>N5302*O5302</f>
        <v/>
      </c>
    </row>
    <row r="5303">
      <c r="A5303" s="12" t="inlineStr">
        <is>
          <t>I-P-0047</t>
        </is>
      </c>
      <c r="B5303" s="12" t="inlineStr">
        <is>
          <t>I</t>
        </is>
      </c>
      <c r="C5303" s="12" t="inlineStr">
        <is>
          <t>Modular / portable power</t>
        </is>
      </c>
      <c r="D5303" s="12" t="inlineStr">
        <is>
          <t>GB-4.1 aux power: jacket-water heater, battery charger, enclosure</t>
        </is>
      </c>
      <c r="E5303" s="12" t="inlineStr">
        <is>
          <t>GBS-4</t>
        </is>
      </c>
      <c r="F5303" s="12" t="inlineStr">
        <is>
          <t>GBS-4: block 4 480 V paralleling switchgear (4 gensets)</t>
        </is>
      </c>
      <c r="G5303" s="12" t="inlineStr">
        <is>
          <t>GB-4.1</t>
        </is>
      </c>
      <c r="H5303" s="12" t="inlineStr">
        <is>
          <t>GB-4.1: modular gas genset ~450 kW, 480 V (block 4)</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15</v>
      </c>
      <c r="R5303" s="12" t="n">
        <v>19</v>
      </c>
      <c r="S5303" s="12" t="inlineStr">
        <is>
          <t>Riser</t>
        </is>
      </c>
      <c r="T5303" s="17" t="n">
        <v>6</v>
      </c>
      <c r="U5303" s="17" t="n">
        <v>27</v>
      </c>
      <c r="V5303" s="17">
        <f>ROUNDUP((T5303+U5303+2*'Read Me'!$B$13)*(1+'Read Me'!$B$12),-1)</f>
        <v/>
      </c>
      <c r="W5303" s="17">
        <f>V5303*N5303*O5303</f>
        <v/>
      </c>
      <c r="X5303" s="12">
        <f>IF(LEFT(I5303,2)="MV",2*N5303*IF(L5303="1/C",O5303,1),0)</f>
        <v/>
      </c>
      <c r="Y5303" s="12">
        <f>IF(OR(LEFT(K5303,4)="LVAX",LEFT(K5303,6)="MV15AX",LEFT(K5303,4)="CTAX",LEFT(K5303,2)="W|"),2*N5303*O5303,0)</f>
        <v/>
      </c>
      <c r="Z5303" s="12" t="inlineStr">
        <is>
          <t>VD 0.3 %</t>
        </is>
      </c>
      <c r="AA5303" s="12">
        <f>N5303*O5303</f>
        <v/>
      </c>
    </row>
    <row r="5304">
      <c r="A5304" s="12" t="inlineStr">
        <is>
          <t>I-P-0048</t>
        </is>
      </c>
      <c r="B5304" s="12" t="inlineStr">
        <is>
          <t>I</t>
        </is>
      </c>
      <c r="C5304" s="12" t="inlineStr">
        <is>
          <t>Modular / portable power</t>
        </is>
      </c>
      <c r="D5304" s="12" t="inlineStr">
        <is>
          <t>LV power feeder</t>
        </is>
      </c>
      <c r="E5304" s="12" t="inlineStr">
        <is>
          <t>PAD-LV</t>
        </is>
      </c>
      <c r="F5304" s="12" t="inlineStr">
        <is>
          <t>PAD-LV 480 V paralleling switchboard</t>
        </is>
      </c>
      <c r="G5304" s="12" t="inlineStr">
        <is>
          <t>GB-4.1</t>
        </is>
      </c>
      <c r="H5304" s="12" t="inlineStr">
        <is>
          <t>GB-4.1: modular gas genset ~450 kW, 480 V (block 4)</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15</v>
      </c>
      <c r="R5304" s="12" t="n">
        <v>21.2</v>
      </c>
      <c r="S5304" s="12" t="inlineStr">
        <is>
          <t>Surface</t>
        </is>
      </c>
      <c r="T5304" s="17" t="n">
        <v>283</v>
      </c>
      <c r="U5304" s="17" t="n">
        <v>46</v>
      </c>
      <c r="V5304" s="17">
        <f>ROUNDUP((T5304+U5304+2*'Read Me'!$B$13)*(1+'Read Me'!$B$12),-1)</f>
        <v/>
      </c>
      <c r="W5304" s="17">
        <f>V5304*N5304*O5304</f>
        <v/>
      </c>
      <c r="X5304" s="12">
        <f>IF(LEFT(I5304,2)="MV",2*N5304*IF(L5304="1/C",O5304,1),0)</f>
        <v/>
      </c>
      <c r="Y5304" s="12">
        <f>IF(OR(LEFT(K5304,4)="LVAX",LEFT(K5304,6)="MV15AX",LEFT(K5304,4)="CTAX",LEFT(K5304,2)="W|"),2*N5304*O5304,0)</f>
        <v/>
      </c>
      <c r="Z5304" s="12" t="inlineStr">
        <is>
          <t>VD 2.1 %</t>
        </is>
      </c>
      <c r="AA5304" s="12">
        <f>N5304*O5304</f>
        <v/>
      </c>
    </row>
    <row r="5305">
      <c r="A5305" s="12" t="inlineStr">
        <is>
          <t>I-P-0049</t>
        </is>
      </c>
      <c r="B5305" s="12" t="inlineStr">
        <is>
          <t>I</t>
        </is>
      </c>
      <c r="C5305" s="12" t="inlineStr">
        <is>
          <t>Modular / portable power</t>
        </is>
      </c>
      <c r="D5305" s="12" t="inlineStr">
        <is>
          <t>GB-4.2 aux power: jacket-water heater, battery charger, enclosure</t>
        </is>
      </c>
      <c r="E5305" s="12" t="inlineStr">
        <is>
          <t>GBS-4</t>
        </is>
      </c>
      <c r="F5305" s="12" t="inlineStr">
        <is>
          <t>GBS-4: block 4 480 V paralleling switchgear (4 gensets)</t>
        </is>
      </c>
      <c r="G5305" s="12" t="inlineStr">
        <is>
          <t>GB-4.2</t>
        </is>
      </c>
      <c r="H5305" s="12" t="inlineStr">
        <is>
          <t>GB-4.2: modular gas genset ~450 kW, 480 V (block 4)</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15</v>
      </c>
      <c r="R5305" s="12" t="n">
        <v>19</v>
      </c>
      <c r="S5305" s="12" t="inlineStr">
        <is>
          <t>Riser</t>
        </is>
      </c>
      <c r="T5305" s="17" t="n">
        <v>3</v>
      </c>
      <c r="U5305" s="17" t="n">
        <v>31</v>
      </c>
      <c r="V5305" s="17">
        <f>ROUNDUP((T5305+U5305+2*'Read Me'!$B$13)*(1+'Read Me'!$B$12),-1)</f>
        <v/>
      </c>
      <c r="W5305" s="17">
        <f>V5305*N5305*O5305</f>
        <v/>
      </c>
      <c r="X5305" s="12">
        <f>IF(LEFT(I5305,2)="MV",2*N5305*IF(L5305="1/C",O5305,1),0)</f>
        <v/>
      </c>
      <c r="Y5305" s="12">
        <f>IF(OR(LEFT(K5305,4)="LVAX",LEFT(K5305,6)="MV15AX",LEFT(K5305,4)="CTAX",LEFT(K5305,2)="W|"),2*N5305*O5305,0)</f>
        <v/>
      </c>
      <c r="Z5305" s="12" t="inlineStr">
        <is>
          <t>VD 0.3 %</t>
        </is>
      </c>
      <c r="AA5305" s="12">
        <f>N5305*O5305</f>
        <v/>
      </c>
    </row>
    <row r="5306">
      <c r="A5306" s="12" t="inlineStr">
        <is>
          <t>I-P-0050</t>
        </is>
      </c>
      <c r="B5306" s="12" t="inlineStr">
        <is>
          <t>I</t>
        </is>
      </c>
      <c r="C5306" s="12" t="inlineStr">
        <is>
          <t>Modular / portable power</t>
        </is>
      </c>
      <c r="D5306" s="12" t="inlineStr">
        <is>
          <t>LV power feeder</t>
        </is>
      </c>
      <c r="E5306" s="12" t="inlineStr">
        <is>
          <t>PAD-LV</t>
        </is>
      </c>
      <c r="F5306" s="12" t="inlineStr">
        <is>
          <t>PAD-LV 480 V paralleling switchboard</t>
        </is>
      </c>
      <c r="G5306" s="12" t="inlineStr">
        <is>
          <t>GB-4.2</t>
        </is>
      </c>
      <c r="H5306" s="12" t="inlineStr">
        <is>
          <t>GB-4.2: modular gas genset ~450 kW, 480 V (block 4)</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15</v>
      </c>
      <c r="R5306" s="12" t="n">
        <v>21.2</v>
      </c>
      <c r="S5306" s="12" t="inlineStr">
        <is>
          <t>Surface</t>
        </is>
      </c>
      <c r="T5306" s="17" t="n">
        <v>281</v>
      </c>
      <c r="U5306" s="17" t="n">
        <v>41</v>
      </c>
      <c r="V5306" s="17">
        <f>ROUNDUP((T5306+U5306+2*'Read Me'!$B$13)*(1+'Read Me'!$B$12),-1)</f>
        <v/>
      </c>
      <c r="W5306" s="17">
        <f>V5306*N5306*O5306</f>
        <v/>
      </c>
      <c r="X5306" s="12">
        <f>IF(LEFT(I5306,2)="MV",2*N5306*IF(L5306="1/C",O5306,1),0)</f>
        <v/>
      </c>
      <c r="Y5306" s="12">
        <f>IF(OR(LEFT(K5306,4)="LVAX",LEFT(K5306,6)="MV15AX",LEFT(K5306,4)="CTAX",LEFT(K5306,2)="W|"),2*N5306*O5306,0)</f>
        <v/>
      </c>
      <c r="Z5306" s="12" t="inlineStr">
        <is>
          <t>VD 2.1 %</t>
        </is>
      </c>
      <c r="AA5306" s="12">
        <f>N5306*O5306</f>
        <v/>
      </c>
    </row>
    <row r="5307">
      <c r="A5307" s="12" t="inlineStr">
        <is>
          <t>I-P-0051</t>
        </is>
      </c>
      <c r="B5307" s="12" t="inlineStr">
        <is>
          <t>I</t>
        </is>
      </c>
      <c r="C5307" s="12" t="inlineStr">
        <is>
          <t>Modular / portable power</t>
        </is>
      </c>
      <c r="D5307" s="12" t="inlineStr">
        <is>
          <t>GB-4.3 aux power: jacket-water heater, battery charger, enclosure</t>
        </is>
      </c>
      <c r="E5307" s="12" t="inlineStr">
        <is>
          <t>GBS-4</t>
        </is>
      </c>
      <c r="F5307" s="12" t="inlineStr">
        <is>
          <t>GBS-4: block 4 480 V paralleling switchgear (4 gensets)</t>
        </is>
      </c>
      <c r="G5307" s="12" t="inlineStr">
        <is>
          <t>GB-4.3</t>
        </is>
      </c>
      <c r="H5307" s="12" t="inlineStr">
        <is>
          <t>GB-4.3: modular gas genset ~450 kW, 480 V (block 4)</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15</v>
      </c>
      <c r="R5307" s="12" t="n">
        <v>19</v>
      </c>
      <c r="S5307" s="12" t="inlineStr">
        <is>
          <t>Duct bank</t>
        </is>
      </c>
      <c r="T5307" s="17" t="n">
        <v>12</v>
      </c>
      <c r="U5307" s="17" t="n">
        <v>35</v>
      </c>
      <c r="V5307" s="17">
        <f>ROUNDUP((T5307+U5307+2*'Read Me'!$B$13)*(1+'Read Me'!$B$12),-1)</f>
        <v/>
      </c>
      <c r="W5307" s="17">
        <f>V5307*N5307*O5307</f>
        <v/>
      </c>
      <c r="X5307" s="12">
        <f>IF(LEFT(I5307,2)="MV",2*N5307*IF(L5307="1/C",O5307,1),0)</f>
        <v/>
      </c>
      <c r="Y5307" s="12">
        <f>IF(OR(LEFT(K5307,4)="LVAX",LEFT(K5307,6)="MV15AX",LEFT(K5307,4)="CTAX",LEFT(K5307,2)="W|"),2*N5307*O5307,0)</f>
        <v/>
      </c>
      <c r="Z5307" s="12" t="inlineStr">
        <is>
          <t>VD 0.4 %</t>
        </is>
      </c>
      <c r="AA5307" s="12">
        <f>N5307*O5307</f>
        <v/>
      </c>
    </row>
    <row r="5308">
      <c r="A5308" s="12" t="inlineStr">
        <is>
          <t>I-P-0052</t>
        </is>
      </c>
      <c r="B5308" s="12" t="inlineStr">
        <is>
          <t>I</t>
        </is>
      </c>
      <c r="C5308" s="12" t="inlineStr">
        <is>
          <t>Modular / portable power</t>
        </is>
      </c>
      <c r="D5308" s="12" t="inlineStr">
        <is>
          <t>LV power feeder</t>
        </is>
      </c>
      <c r="E5308" s="12" t="inlineStr">
        <is>
          <t>PAD-LV</t>
        </is>
      </c>
      <c r="F5308" s="12" t="inlineStr">
        <is>
          <t>PAD-LV 480 V paralleling switchboard</t>
        </is>
      </c>
      <c r="G5308" s="12" t="inlineStr">
        <is>
          <t>GB-4.3</t>
        </is>
      </c>
      <c r="H5308" s="12" t="inlineStr">
        <is>
          <t>GB-4.3: modular gas genset ~450 kW, 480 V (block 4)</t>
        </is>
      </c>
      <c r="I5308" s="12" t="inlineStr">
        <is>
          <t>LV 600 V</t>
        </is>
      </c>
      <c r="J5308" s="12" t="inlineStr">
        <is>
          <t>Type TC-ER 600 V 3/C Cu XHHW-2 + ground, PVC jacket</t>
        </is>
      </c>
      <c r="K5308" s="12" t="inlineStr">
        <is>
          <t>LV|3/C+G|8</t>
        </is>
      </c>
      <c r="L5308" s="12" t="inlineStr">
        <is>
          <t>3/C+G</t>
        </is>
      </c>
      <c r="M5308" s="12" t="inlineStr">
        <is>
          <t>8</t>
        </is>
      </c>
      <c r="N5308" s="12" t="n">
        <v>1</v>
      </c>
      <c r="O5308" s="12" t="n">
        <v>1</v>
      </c>
      <c r="P5308" s="12" t="n">
        <v>480</v>
      </c>
      <c r="Q5308" s="12" t="n">
        <v>15</v>
      </c>
      <c r="R5308" s="12" t="n">
        <v>21.2</v>
      </c>
      <c r="S5308" s="12" t="inlineStr">
        <is>
          <t>Surface</t>
        </is>
      </c>
      <c r="T5308" s="17" t="n">
        <v>268</v>
      </c>
      <c r="U5308" s="17" t="n">
        <v>44</v>
      </c>
      <c r="V5308" s="17">
        <f>ROUNDUP((T5308+U5308+2*'Read Me'!$B$13)*(1+'Read Me'!$B$12),-1)</f>
        <v/>
      </c>
      <c r="W5308" s="17">
        <f>V5308*N5308*O5308</f>
        <v/>
      </c>
      <c r="X5308" s="12">
        <f>IF(LEFT(I5308,2)="MV",2*N5308*IF(L5308="1/C",O5308,1),0)</f>
        <v/>
      </c>
      <c r="Y5308" s="12">
        <f>IF(OR(LEFT(K5308,4)="LVAX",LEFT(K5308,6)="MV15AX",LEFT(K5308,4)="CTAX",LEFT(K5308,2)="W|"),2*N5308*O5308,0)</f>
        <v/>
      </c>
      <c r="Z5308" s="12" t="inlineStr">
        <is>
          <t>VD 2.0 %</t>
        </is>
      </c>
      <c r="AA5308" s="12">
        <f>N5308*O5308</f>
        <v/>
      </c>
    </row>
    <row r="5309">
      <c r="A5309" s="12" t="inlineStr">
        <is>
          <t>I-P-0053</t>
        </is>
      </c>
      <c r="B5309" s="12" t="inlineStr">
        <is>
          <t>I</t>
        </is>
      </c>
      <c r="C5309" s="12" t="inlineStr">
        <is>
          <t>Modular / portable power</t>
        </is>
      </c>
      <c r="D5309" s="12" t="inlineStr">
        <is>
          <t>GB-4.4 aux power: jacket-water heater, battery charger, enclosure</t>
        </is>
      </c>
      <c r="E5309" s="12" t="inlineStr">
        <is>
          <t>GBS-4</t>
        </is>
      </c>
      <c r="F5309" s="12" t="inlineStr">
        <is>
          <t>GBS-4: block 4 480 V paralleling switchgear (4 gensets)</t>
        </is>
      </c>
      <c r="G5309" s="12" t="inlineStr">
        <is>
          <t>GB-4.4</t>
        </is>
      </c>
      <c r="H5309" s="12" t="inlineStr">
        <is>
          <t>GB-4.4: modular gas genset ~450 kW, 480 V (block 4)</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15</v>
      </c>
      <c r="R5309" s="12" t="n">
        <v>19</v>
      </c>
      <c r="S5309" s="12" t="inlineStr">
        <is>
          <t>Duct bank</t>
        </is>
      </c>
      <c r="T5309" s="17" t="n">
        <v>15</v>
      </c>
      <c r="U5309" s="17" t="n">
        <v>39</v>
      </c>
      <c r="V5309" s="17">
        <f>ROUNDUP((T5309+U5309+2*'Read Me'!$B$13)*(1+'Read Me'!$B$12),-1)</f>
        <v/>
      </c>
      <c r="W5309" s="17">
        <f>V5309*N5309*O5309</f>
        <v/>
      </c>
      <c r="X5309" s="12">
        <f>IF(LEFT(I5309,2)="MV",2*N5309*IF(L5309="1/C",O5309,1),0)</f>
        <v/>
      </c>
      <c r="Y5309" s="12">
        <f>IF(OR(LEFT(K5309,4)="LVAX",LEFT(K5309,6)="MV15AX",LEFT(K5309,4)="CTAX",LEFT(K5309,2)="W|"),2*N5309*O5309,0)</f>
        <v/>
      </c>
      <c r="Z5309" s="12" t="inlineStr">
        <is>
          <t>VD 0.5 %</t>
        </is>
      </c>
      <c r="AA5309" s="12">
        <f>N5309*O5309</f>
        <v/>
      </c>
    </row>
    <row r="5310">
      <c r="A5310" s="12" t="inlineStr">
        <is>
          <t>I-P-0054</t>
        </is>
      </c>
      <c r="B5310" s="12" t="inlineStr">
        <is>
          <t>I</t>
        </is>
      </c>
      <c r="C5310" s="12" t="inlineStr">
        <is>
          <t>Modular / portable power</t>
        </is>
      </c>
      <c r="D5310" s="12" t="inlineStr">
        <is>
          <t>LV power feeder</t>
        </is>
      </c>
      <c r="E5310" s="12" t="inlineStr">
        <is>
          <t>PAD-LV</t>
        </is>
      </c>
      <c r="F5310" s="12" t="inlineStr">
        <is>
          <t>PAD-LV 480 V paralleling switchboard</t>
        </is>
      </c>
      <c r="G5310" s="12" t="inlineStr">
        <is>
          <t>GB-4.4</t>
        </is>
      </c>
      <c r="H5310" s="12" t="inlineStr">
        <is>
          <t>GB-4.4: modular gas genset ~450 kW, 480 V (block 4)</t>
        </is>
      </c>
      <c r="I5310" s="12" t="inlineStr">
        <is>
          <t>LV 600 V</t>
        </is>
      </c>
      <c r="J5310" s="12" t="inlineStr">
        <is>
          <t>Type TC-ER 600 V 3/C Cu XHHW-2 + ground, PVC jacket</t>
        </is>
      </c>
      <c r="K5310" s="12" t="inlineStr">
        <is>
          <t>LV|3/C+G|8</t>
        </is>
      </c>
      <c r="L5310" s="12" t="inlineStr">
        <is>
          <t>3/C+G</t>
        </is>
      </c>
      <c r="M5310" s="12" t="inlineStr">
        <is>
          <t>8</t>
        </is>
      </c>
      <c r="N5310" s="12" t="n">
        <v>1</v>
      </c>
      <c r="O5310" s="12" t="n">
        <v>1</v>
      </c>
      <c r="P5310" s="12" t="n">
        <v>480</v>
      </c>
      <c r="Q5310" s="12" t="n">
        <v>15</v>
      </c>
      <c r="R5310" s="12" t="n">
        <v>21.2</v>
      </c>
      <c r="S5310" s="12" t="inlineStr">
        <is>
          <t>Surface</t>
        </is>
      </c>
      <c r="T5310" s="17" t="n">
        <v>271</v>
      </c>
      <c r="U5310" s="17" t="n">
        <v>48</v>
      </c>
      <c r="V5310" s="17">
        <f>ROUNDUP((T5310+U5310+2*'Read Me'!$B$13)*(1+'Read Me'!$B$12),-1)</f>
        <v/>
      </c>
      <c r="W5310" s="17">
        <f>V5310*N5310*O5310</f>
        <v/>
      </c>
      <c r="X5310" s="12">
        <f>IF(LEFT(I5310,2)="MV",2*N5310*IF(L5310="1/C",O5310,1),0)</f>
        <v/>
      </c>
      <c r="Y5310" s="12">
        <f>IF(OR(LEFT(K5310,4)="LVAX",LEFT(K5310,6)="MV15AX",LEFT(K5310,4)="CTAX",LEFT(K5310,2)="W|"),2*N5310*O5310,0)</f>
        <v/>
      </c>
      <c r="Z5310" s="12" t="inlineStr">
        <is>
          <t>VD 2.1 %</t>
        </is>
      </c>
      <c r="AA5310" s="12">
        <f>N5310*O5310</f>
        <v/>
      </c>
    </row>
    <row r="5311">
      <c r="A5311" s="12" t="inlineStr">
        <is>
          <t>I-P-0055</t>
        </is>
      </c>
      <c r="B5311" s="12" t="inlineStr">
        <is>
          <t>I</t>
        </is>
      </c>
      <c r="C5311" s="12" t="inlineStr">
        <is>
          <t>Modular / portable power</t>
        </is>
      </c>
      <c r="D5311" s="12" t="inlineStr">
        <is>
          <t>GB-5.1 aux power: jacket-water heater, battery charger, enclosure</t>
        </is>
      </c>
      <c r="E5311" s="12" t="inlineStr">
        <is>
          <t>GBS-5</t>
        </is>
      </c>
      <c r="F5311" s="12" t="inlineStr">
        <is>
          <t>GBS-5: block 5 480 V paralleling switchgear (4 gensets)</t>
        </is>
      </c>
      <c r="G5311" s="12" t="inlineStr">
        <is>
          <t>GB-5.1</t>
        </is>
      </c>
      <c r="H5311" s="12" t="inlineStr">
        <is>
          <t>GB-5.1: modular gas genset ~450 kW, 480 V (block 5)</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15</v>
      </c>
      <c r="R5311" s="12" t="n">
        <v>19</v>
      </c>
      <c r="S5311" s="12" t="inlineStr">
        <is>
          <t>Riser</t>
        </is>
      </c>
      <c r="T5311" s="17" t="n">
        <v>6</v>
      </c>
      <c r="U5311" s="17" t="n">
        <v>27</v>
      </c>
      <c r="V5311" s="17">
        <f>ROUNDUP((T5311+U5311+2*'Read Me'!$B$13)*(1+'Read Me'!$B$12),-1)</f>
        <v/>
      </c>
      <c r="W5311" s="17">
        <f>V5311*N5311*O5311</f>
        <v/>
      </c>
      <c r="X5311" s="12">
        <f>IF(LEFT(I5311,2)="MV",2*N5311*IF(L5311="1/C",O5311,1),0)</f>
        <v/>
      </c>
      <c r="Y5311" s="12">
        <f>IF(OR(LEFT(K5311,4)="LVAX",LEFT(K5311,6)="MV15AX",LEFT(K5311,4)="CTAX",LEFT(K5311,2)="W|"),2*N5311*O5311,0)</f>
        <v/>
      </c>
      <c r="Z5311" s="12" t="inlineStr">
        <is>
          <t>VD 0.3 %</t>
        </is>
      </c>
      <c r="AA5311" s="12">
        <f>N5311*O5311</f>
        <v/>
      </c>
    </row>
    <row r="5312">
      <c r="A5312" s="12" t="inlineStr">
        <is>
          <t>I-P-0056</t>
        </is>
      </c>
      <c r="B5312" s="12" t="inlineStr">
        <is>
          <t>I</t>
        </is>
      </c>
      <c r="C5312" s="12" t="inlineStr">
        <is>
          <t>Modular / portable power</t>
        </is>
      </c>
      <c r="D5312" s="12" t="inlineStr">
        <is>
          <t>LV power feeder</t>
        </is>
      </c>
      <c r="E5312" s="12" t="inlineStr">
        <is>
          <t>PAD-LV</t>
        </is>
      </c>
      <c r="F5312" s="12" t="inlineStr">
        <is>
          <t>PAD-LV 480 V paralleling switchboard</t>
        </is>
      </c>
      <c r="G5312" s="12" t="inlineStr">
        <is>
          <t>GB-5.1</t>
        </is>
      </c>
      <c r="H5312" s="12" t="inlineStr">
        <is>
          <t>GB-5.1: modular gas genset ~450 kW, 480 V (block 5)</t>
        </is>
      </c>
      <c r="I5312" s="12" t="inlineStr">
        <is>
          <t>LV 600 V</t>
        </is>
      </c>
      <c r="J5312" s="12" t="inlineStr">
        <is>
          <t>Type TC-ER 600 V 3/C Cu XHHW-2 + ground, PVC jacket</t>
        </is>
      </c>
      <c r="K5312" s="12" t="inlineStr">
        <is>
          <t>LV|3/C+G|8</t>
        </is>
      </c>
      <c r="L5312" s="12" t="inlineStr">
        <is>
          <t>3/C+G</t>
        </is>
      </c>
      <c r="M5312" s="12" t="inlineStr">
        <is>
          <t>8</t>
        </is>
      </c>
      <c r="N5312" s="12" t="n">
        <v>1</v>
      </c>
      <c r="O5312" s="12" t="n">
        <v>1</v>
      </c>
      <c r="P5312" s="12" t="n">
        <v>480</v>
      </c>
      <c r="Q5312" s="12" t="n">
        <v>15</v>
      </c>
      <c r="R5312" s="12" t="n">
        <v>21.2</v>
      </c>
      <c r="S5312" s="12" t="inlineStr">
        <is>
          <t>Surface</t>
        </is>
      </c>
      <c r="T5312" s="17" t="n">
        <v>342</v>
      </c>
      <c r="U5312" s="17" t="n">
        <v>41</v>
      </c>
      <c r="V5312" s="17">
        <f>ROUNDUP((T5312+U5312+2*'Read Me'!$B$13)*(1+'Read Me'!$B$12),-1)</f>
        <v/>
      </c>
      <c r="W5312" s="17">
        <f>V5312*N5312*O5312</f>
        <v/>
      </c>
      <c r="X5312" s="12">
        <f>IF(LEFT(I5312,2)="MV",2*N5312*IF(L5312="1/C",O5312,1),0)</f>
        <v/>
      </c>
      <c r="Y5312" s="12">
        <f>IF(OR(LEFT(K5312,4)="LVAX",LEFT(K5312,6)="MV15AX",LEFT(K5312,4)="CTAX",LEFT(K5312,2)="W|"),2*N5312*O5312,0)</f>
        <v/>
      </c>
      <c r="Z5312" s="12" t="inlineStr">
        <is>
          <t>VD 2.5 %</t>
        </is>
      </c>
      <c r="AA5312" s="12">
        <f>N5312*O5312</f>
        <v/>
      </c>
    </row>
    <row r="5313">
      <c r="A5313" s="12" t="inlineStr">
        <is>
          <t>I-P-0057</t>
        </is>
      </c>
      <c r="B5313" s="12" t="inlineStr">
        <is>
          <t>I</t>
        </is>
      </c>
      <c r="C5313" s="12" t="inlineStr">
        <is>
          <t>Modular / portable power</t>
        </is>
      </c>
      <c r="D5313" s="12" t="inlineStr">
        <is>
          <t>GB-5.2 aux power: jacket-water heater, battery charger, enclosure</t>
        </is>
      </c>
      <c r="E5313" s="12" t="inlineStr">
        <is>
          <t>GBS-5</t>
        </is>
      </c>
      <c r="F5313" s="12" t="inlineStr">
        <is>
          <t>GBS-5: block 5 480 V paralleling switchgear (4 gensets)</t>
        </is>
      </c>
      <c r="G5313" s="12" t="inlineStr">
        <is>
          <t>GB-5.2</t>
        </is>
      </c>
      <c r="H5313" s="12" t="inlineStr">
        <is>
          <t>GB-5.2: modular gas genset ~450 kW, 480 V (block 5)</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15</v>
      </c>
      <c r="R5313" s="12" t="n">
        <v>19</v>
      </c>
      <c r="S5313" s="12" t="inlineStr">
        <is>
          <t>Riser</t>
        </is>
      </c>
      <c r="T5313" s="17" t="n">
        <v>3</v>
      </c>
      <c r="U5313" s="17" t="n">
        <v>31</v>
      </c>
      <c r="V5313" s="17">
        <f>ROUNDUP((T5313+U5313+2*'Read Me'!$B$13)*(1+'Read Me'!$B$12),-1)</f>
        <v/>
      </c>
      <c r="W5313" s="17">
        <f>V5313*N5313*O5313</f>
        <v/>
      </c>
      <c r="X5313" s="12">
        <f>IF(LEFT(I5313,2)="MV",2*N5313*IF(L5313="1/C",O5313,1),0)</f>
        <v/>
      </c>
      <c r="Y5313" s="12">
        <f>IF(OR(LEFT(K5313,4)="LVAX",LEFT(K5313,6)="MV15AX",LEFT(K5313,4)="CTAX",LEFT(K5313,2)="W|"),2*N5313*O5313,0)</f>
        <v/>
      </c>
      <c r="Z5313" s="12" t="inlineStr">
        <is>
          <t>VD 0.3 %</t>
        </is>
      </c>
      <c r="AA5313" s="12">
        <f>N5313*O5313</f>
        <v/>
      </c>
    </row>
    <row r="5314">
      <c r="A5314" s="12" t="inlineStr">
        <is>
          <t>I-P-0058</t>
        </is>
      </c>
      <c r="B5314" s="12" t="inlineStr">
        <is>
          <t>I</t>
        </is>
      </c>
      <c r="C5314" s="12" t="inlineStr">
        <is>
          <t>Modular / portable power</t>
        </is>
      </c>
      <c r="D5314" s="12" t="inlineStr">
        <is>
          <t>LV power feeder</t>
        </is>
      </c>
      <c r="E5314" s="12" t="inlineStr">
        <is>
          <t>PAD-LV</t>
        </is>
      </c>
      <c r="F5314" s="12" t="inlineStr">
        <is>
          <t>PAD-LV 480 V paralleling switchboard</t>
        </is>
      </c>
      <c r="G5314" s="12" t="inlineStr">
        <is>
          <t>GB-5.2</t>
        </is>
      </c>
      <c r="H5314" s="12" t="inlineStr">
        <is>
          <t>GB-5.2: modular gas genset ~450 kW, 480 V (block 5)</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15</v>
      </c>
      <c r="R5314" s="12" t="n">
        <v>21.2</v>
      </c>
      <c r="S5314" s="12" t="inlineStr">
        <is>
          <t>Surface</t>
        </is>
      </c>
      <c r="T5314" s="17" t="n">
        <v>342</v>
      </c>
      <c r="U5314" s="17" t="n">
        <v>48</v>
      </c>
      <c r="V5314" s="17">
        <f>ROUNDUP((T5314+U5314+2*'Read Me'!$B$13)*(1+'Read Me'!$B$12),-1)</f>
        <v/>
      </c>
      <c r="W5314" s="17">
        <f>V5314*N5314*O5314</f>
        <v/>
      </c>
      <c r="X5314" s="12">
        <f>IF(LEFT(I5314,2)="MV",2*N5314*IF(L5314="1/C",O5314,1),0)</f>
        <v/>
      </c>
      <c r="Y5314" s="12">
        <f>IF(OR(LEFT(K5314,4)="LVAX",LEFT(K5314,6)="MV15AX",LEFT(K5314,4)="CTAX",LEFT(K5314,2)="W|"),2*N5314*O5314,0)</f>
        <v/>
      </c>
      <c r="Z5314" s="12" t="inlineStr">
        <is>
          <t>VD 2.5 %</t>
        </is>
      </c>
      <c r="AA5314" s="12">
        <f>N5314*O5314</f>
        <v/>
      </c>
    </row>
    <row r="5315">
      <c r="A5315" s="12" t="inlineStr">
        <is>
          <t>I-P-0059</t>
        </is>
      </c>
      <c r="B5315" s="12" t="inlineStr">
        <is>
          <t>I</t>
        </is>
      </c>
      <c r="C5315" s="12" t="inlineStr">
        <is>
          <t>Modular / portable power</t>
        </is>
      </c>
      <c r="D5315" s="12" t="inlineStr">
        <is>
          <t>GB-5.3 aux power: jacket-water heater, battery charger, enclosure</t>
        </is>
      </c>
      <c r="E5315" s="12" t="inlineStr">
        <is>
          <t>GBS-5</t>
        </is>
      </c>
      <c r="F5315" s="12" t="inlineStr">
        <is>
          <t>GBS-5: block 5 480 V paralleling switchgear (4 gensets)</t>
        </is>
      </c>
      <c r="G5315" s="12" t="inlineStr">
        <is>
          <t>GB-5.3</t>
        </is>
      </c>
      <c r="H5315" s="12" t="inlineStr">
        <is>
          <t>GB-5.3: modular gas genset ~450 kW, 480 V (block 5)</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15</v>
      </c>
      <c r="R5315" s="12" t="n">
        <v>19</v>
      </c>
      <c r="S5315" s="12" t="inlineStr">
        <is>
          <t>Duct bank</t>
        </is>
      </c>
      <c r="T5315" s="17" t="n">
        <v>12</v>
      </c>
      <c r="U5315" s="17" t="n">
        <v>35</v>
      </c>
      <c r="V5315" s="17">
        <f>ROUNDUP((T5315+U5315+2*'Read Me'!$B$13)*(1+'Read Me'!$B$12),-1)</f>
        <v/>
      </c>
      <c r="W5315" s="17">
        <f>V5315*N5315*O5315</f>
        <v/>
      </c>
      <c r="X5315" s="12">
        <f>IF(LEFT(I5315,2)="MV",2*N5315*IF(L5315="1/C",O5315,1),0)</f>
        <v/>
      </c>
      <c r="Y5315" s="12">
        <f>IF(OR(LEFT(K5315,4)="LVAX",LEFT(K5315,6)="MV15AX",LEFT(K5315,4)="CTAX",LEFT(K5315,2)="W|"),2*N5315*O5315,0)</f>
        <v/>
      </c>
      <c r="Z5315" s="12" t="inlineStr">
        <is>
          <t>VD 0.4 %</t>
        </is>
      </c>
      <c r="AA5315" s="12">
        <f>N5315*O5315</f>
        <v/>
      </c>
    </row>
    <row r="5316">
      <c r="A5316" s="12" t="inlineStr">
        <is>
          <t>I-P-0060</t>
        </is>
      </c>
      <c r="B5316" s="12" t="inlineStr">
        <is>
          <t>I</t>
        </is>
      </c>
      <c r="C5316" s="12" t="inlineStr">
        <is>
          <t>Modular / portable power</t>
        </is>
      </c>
      <c r="D5316" s="12" t="inlineStr">
        <is>
          <t>LV power feeder</t>
        </is>
      </c>
      <c r="E5316" s="12" t="inlineStr">
        <is>
          <t>PAD-LV</t>
        </is>
      </c>
      <c r="F5316" s="12" t="inlineStr">
        <is>
          <t>PAD-LV 480 V paralleling switchboard</t>
        </is>
      </c>
      <c r="G5316" s="12" t="inlineStr">
        <is>
          <t>GB-5.3</t>
        </is>
      </c>
      <c r="H5316" s="12" t="inlineStr">
        <is>
          <t>GB-5.3: modular gas genset ~450 kW, 480 V (block 5)</t>
        </is>
      </c>
      <c r="I5316" s="12" t="inlineStr">
        <is>
          <t>LV 600 V</t>
        </is>
      </c>
      <c r="J5316" s="12" t="inlineStr">
        <is>
          <t>Type TC-ER 600 V 3/C Cu XHHW-2 + ground, PVC jacket</t>
        </is>
      </c>
      <c r="K5316" s="12" t="inlineStr">
        <is>
          <t>LV|3/C+G|8</t>
        </is>
      </c>
      <c r="L5316" s="12" t="inlineStr">
        <is>
          <t>3/C+G</t>
        </is>
      </c>
      <c r="M5316" s="12" t="inlineStr">
        <is>
          <t>8</t>
        </is>
      </c>
      <c r="N5316" s="12" t="n">
        <v>1</v>
      </c>
      <c r="O5316" s="12" t="n">
        <v>1</v>
      </c>
      <c r="P5316" s="12" t="n">
        <v>480</v>
      </c>
      <c r="Q5316" s="12" t="n">
        <v>15</v>
      </c>
      <c r="R5316" s="12" t="n">
        <v>21.2</v>
      </c>
      <c r="S5316" s="12" t="inlineStr">
        <is>
          <t>Surface</t>
        </is>
      </c>
      <c r="T5316" s="17" t="n">
        <v>366</v>
      </c>
      <c r="U5316" s="17" t="n">
        <v>44</v>
      </c>
      <c r="V5316" s="17">
        <f>ROUNDUP((T5316+U5316+2*'Read Me'!$B$13)*(1+'Read Me'!$B$12),-1)</f>
        <v/>
      </c>
      <c r="W5316" s="17">
        <f>V5316*N5316*O5316</f>
        <v/>
      </c>
      <c r="X5316" s="12">
        <f>IF(LEFT(I5316,2)="MV",2*N5316*IF(L5316="1/C",O5316,1),0)</f>
        <v/>
      </c>
      <c r="Y5316" s="12">
        <f>IF(OR(LEFT(K5316,4)="LVAX",LEFT(K5316,6)="MV15AX",LEFT(K5316,4)="CTAX",LEFT(K5316,2)="W|"),2*N5316*O5316,0)</f>
        <v/>
      </c>
      <c r="Z5316" s="12" t="inlineStr">
        <is>
          <t>VD 2.6 %</t>
        </is>
      </c>
      <c r="AA5316" s="12">
        <f>N5316*O5316</f>
        <v/>
      </c>
    </row>
    <row r="5317">
      <c r="A5317" s="12" t="inlineStr">
        <is>
          <t>I-P-0061</t>
        </is>
      </c>
      <c r="B5317" s="12" t="inlineStr">
        <is>
          <t>I</t>
        </is>
      </c>
      <c r="C5317" s="12" t="inlineStr">
        <is>
          <t>Modular / portable power</t>
        </is>
      </c>
      <c r="D5317" s="12" t="inlineStr">
        <is>
          <t>GB-5.4 aux power: jacket-water heater, battery charger, enclosure</t>
        </is>
      </c>
      <c r="E5317" s="12" t="inlineStr">
        <is>
          <t>GBS-5</t>
        </is>
      </c>
      <c r="F5317" s="12" t="inlineStr">
        <is>
          <t>GBS-5: block 5 480 V paralleling switchgear (4 gensets)</t>
        </is>
      </c>
      <c r="G5317" s="12" t="inlineStr">
        <is>
          <t>GB-5.4</t>
        </is>
      </c>
      <c r="H5317" s="12" t="inlineStr">
        <is>
          <t>GB-5.4: modular gas genset ~450 kW, 480 V (block 5)</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15</v>
      </c>
      <c r="R5317" s="12" t="n">
        <v>19</v>
      </c>
      <c r="S5317" s="12" t="inlineStr">
        <is>
          <t>Duct bank</t>
        </is>
      </c>
      <c r="T5317" s="17" t="n">
        <v>15</v>
      </c>
      <c r="U5317" s="17" t="n">
        <v>39</v>
      </c>
      <c r="V5317" s="17">
        <f>ROUNDUP((T5317+U5317+2*'Read Me'!$B$13)*(1+'Read Me'!$B$12),-1)</f>
        <v/>
      </c>
      <c r="W5317" s="17">
        <f>V5317*N5317*O5317</f>
        <v/>
      </c>
      <c r="X5317" s="12">
        <f>IF(LEFT(I5317,2)="MV",2*N5317*IF(L5317="1/C",O5317,1),0)</f>
        <v/>
      </c>
      <c r="Y5317" s="12">
        <f>IF(OR(LEFT(K5317,4)="LVAX",LEFT(K5317,6)="MV15AX",LEFT(K5317,4)="CTAX",LEFT(K5317,2)="W|"),2*N5317*O5317,0)</f>
        <v/>
      </c>
      <c r="Z5317" s="12" t="inlineStr">
        <is>
          <t>VD 0.5 %</t>
        </is>
      </c>
      <c r="AA5317" s="12">
        <f>N5317*O5317</f>
        <v/>
      </c>
    </row>
    <row r="5318">
      <c r="A5318" s="12" t="inlineStr">
        <is>
          <t>I-P-0062</t>
        </is>
      </c>
      <c r="B5318" s="12" t="inlineStr">
        <is>
          <t>I</t>
        </is>
      </c>
      <c r="C5318" s="12" t="inlineStr">
        <is>
          <t>Modular / portable power</t>
        </is>
      </c>
      <c r="D5318" s="12" t="inlineStr">
        <is>
          <t>LV power feeder</t>
        </is>
      </c>
      <c r="E5318" s="12" t="inlineStr">
        <is>
          <t>PAD-LV</t>
        </is>
      </c>
      <c r="F5318" s="12" t="inlineStr">
        <is>
          <t>PAD-LV 480 V paralleling switchboard</t>
        </is>
      </c>
      <c r="G5318" s="12" t="inlineStr">
        <is>
          <t>GB-5.4</t>
        </is>
      </c>
      <c r="H5318" s="12" t="inlineStr">
        <is>
          <t>GB-5.4: modular gas genset ~450 kW, 480 V (block 5)</t>
        </is>
      </c>
      <c r="I5318" s="12" t="inlineStr">
        <is>
          <t>LV 600 V</t>
        </is>
      </c>
      <c r="J5318" s="12" t="inlineStr">
        <is>
          <t>Type TC-ER 600 V 3/C Cu XHHW-2 + ground, PVC jacket</t>
        </is>
      </c>
      <c r="K5318" s="12" t="inlineStr">
        <is>
          <t>LV|3/C+G|8</t>
        </is>
      </c>
      <c r="L5318" s="12" t="inlineStr">
        <is>
          <t>3/C+G</t>
        </is>
      </c>
      <c r="M5318" s="12" t="inlineStr">
        <is>
          <t>8</t>
        </is>
      </c>
      <c r="N5318" s="12" t="n">
        <v>1</v>
      </c>
      <c r="O5318" s="12" t="n">
        <v>1</v>
      </c>
      <c r="P5318" s="12" t="n">
        <v>480</v>
      </c>
      <c r="Q5318" s="12" t="n">
        <v>15</v>
      </c>
      <c r="R5318" s="12" t="n">
        <v>21.2</v>
      </c>
      <c r="S5318" s="12" t="inlineStr">
        <is>
          <t>Surface</t>
        </is>
      </c>
      <c r="T5318" s="17" t="n">
        <v>369</v>
      </c>
      <c r="U5318" s="17" t="n">
        <v>48</v>
      </c>
      <c r="V5318" s="17">
        <f>ROUNDUP((T5318+U5318+2*'Read Me'!$B$13)*(1+'Read Me'!$B$12),-1)</f>
        <v/>
      </c>
      <c r="W5318" s="17">
        <f>V5318*N5318*O5318</f>
        <v/>
      </c>
      <c r="X5318" s="12">
        <f>IF(LEFT(I5318,2)="MV",2*N5318*IF(L5318="1/C",O5318,1),0)</f>
        <v/>
      </c>
      <c r="Y5318" s="12">
        <f>IF(OR(LEFT(K5318,4)="LVAX",LEFT(K5318,6)="MV15AX",LEFT(K5318,4)="CTAX",LEFT(K5318,2)="W|"),2*N5318*O5318,0)</f>
        <v/>
      </c>
      <c r="Z5318" s="12" t="inlineStr">
        <is>
          <t>VD 2.7 %</t>
        </is>
      </c>
      <c r="AA5318" s="12">
        <f>N5318*O5318</f>
        <v/>
      </c>
    </row>
    <row r="5319">
      <c r="A5319" s="12" t="inlineStr">
        <is>
          <t>I-P-0063</t>
        </is>
      </c>
      <c r="B5319" s="12" t="inlineStr">
        <is>
          <t>I</t>
        </is>
      </c>
      <c r="C5319" s="12" t="inlineStr">
        <is>
          <t>Modular / portable power</t>
        </is>
      </c>
      <c r="D5319" s="12" t="inlineStr">
        <is>
          <t>GB-6.1 aux power: jacket-water heater, battery charger, enclosure</t>
        </is>
      </c>
      <c r="E5319" s="12" t="inlineStr">
        <is>
          <t>GBS-6</t>
        </is>
      </c>
      <c r="F5319" s="12" t="inlineStr">
        <is>
          <t>GBS-6: block 6 480 V paralleling switchgear (4 gensets)</t>
        </is>
      </c>
      <c r="G5319" s="12" t="inlineStr">
        <is>
          <t>GB-6.1</t>
        </is>
      </c>
      <c r="H5319" s="12" t="inlineStr">
        <is>
          <t>GB-6.1: modular gas genset ~450 kW, 480 V (block 6)</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15</v>
      </c>
      <c r="R5319" s="12" t="n">
        <v>19</v>
      </c>
      <c r="S5319" s="12" t="inlineStr">
        <is>
          <t>Riser</t>
        </is>
      </c>
      <c r="T5319" s="17" t="n">
        <v>6</v>
      </c>
      <c r="U5319" s="17" t="n">
        <v>27</v>
      </c>
      <c r="V5319" s="17">
        <f>ROUNDUP((T5319+U5319+2*'Read Me'!$B$13)*(1+'Read Me'!$B$12),-1)</f>
        <v/>
      </c>
      <c r="W5319" s="17">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I-P-0064</t>
        </is>
      </c>
      <c r="B5320" s="12" t="inlineStr">
        <is>
          <t>I</t>
        </is>
      </c>
      <c r="C5320" s="12" t="inlineStr">
        <is>
          <t>Modular / portable power</t>
        </is>
      </c>
      <c r="D5320" s="12" t="inlineStr">
        <is>
          <t>LV power feeder</t>
        </is>
      </c>
      <c r="E5320" s="12" t="inlineStr">
        <is>
          <t>PAD-LV</t>
        </is>
      </c>
      <c r="F5320" s="12" t="inlineStr">
        <is>
          <t>PAD-LV 480 V paralleling switchboard</t>
        </is>
      </c>
      <c r="G5320" s="12" t="inlineStr">
        <is>
          <t>GB-6.1</t>
        </is>
      </c>
      <c r="H5320" s="12" t="inlineStr">
        <is>
          <t>GB-6.1: modular gas genset ~450 kW, 480 V (block 6)</t>
        </is>
      </c>
      <c r="I5320" s="12" t="inlineStr">
        <is>
          <t>LV 600 V</t>
        </is>
      </c>
      <c r="J5320" s="12" t="inlineStr">
        <is>
          <t>Type TC-ER 600 V 3/C Cu XHHW-2 + ground, PVC jacket</t>
        </is>
      </c>
      <c r="K5320" s="12" t="inlineStr">
        <is>
          <t>LV|3/C+G|6</t>
        </is>
      </c>
      <c r="L5320" s="12" t="inlineStr">
        <is>
          <t>3/C+G</t>
        </is>
      </c>
      <c r="M5320" s="12" t="inlineStr">
        <is>
          <t>6</t>
        </is>
      </c>
      <c r="N5320" s="12" t="n">
        <v>1</v>
      </c>
      <c r="O5320" s="12" t="n">
        <v>1</v>
      </c>
      <c r="P5320" s="12" t="n">
        <v>480</v>
      </c>
      <c r="Q5320" s="12" t="n">
        <v>15</v>
      </c>
      <c r="R5320" s="12" t="n">
        <v>21.2</v>
      </c>
      <c r="S5320" s="12" t="inlineStr">
        <is>
          <t>Surface</t>
        </is>
      </c>
      <c r="T5320" s="17" t="n">
        <v>462</v>
      </c>
      <c r="U5320" s="17" t="n">
        <v>42</v>
      </c>
      <c r="V5320" s="17">
        <f>ROUNDUP((T5320+U5320+2*'Read Me'!$B$13)*(1+'Read Me'!$B$12),-1)</f>
        <v/>
      </c>
      <c r="W5320" s="17">
        <f>V5320*N5320*O5320</f>
        <v/>
      </c>
      <c r="X5320" s="12">
        <f>IF(LEFT(I5320,2)="MV",2*N5320*IF(L5320="1/C",O5320,1),0)</f>
        <v/>
      </c>
      <c r="Y5320" s="12">
        <f>IF(OR(LEFT(K5320,4)="LVAX",LEFT(K5320,6)="MV15AX",LEFT(K5320,4)="CTAX",LEFT(K5320,2)="W|"),2*N5320*O5320,0)</f>
        <v/>
      </c>
      <c r="Z5320" s="12" t="inlineStr">
        <is>
          <t>VD 2.1 %</t>
        </is>
      </c>
      <c r="AA5320" s="12">
        <f>N5320*O5320</f>
        <v/>
      </c>
    </row>
    <row r="5321">
      <c r="A5321" s="12" t="inlineStr">
        <is>
          <t>I-P-0065</t>
        </is>
      </c>
      <c r="B5321" s="12" t="inlineStr">
        <is>
          <t>I</t>
        </is>
      </c>
      <c r="C5321" s="12" t="inlineStr">
        <is>
          <t>Modular / portable power</t>
        </is>
      </c>
      <c r="D5321" s="12" t="inlineStr">
        <is>
          <t>GB-6.2 aux power: jacket-water heater, battery charger, enclosure</t>
        </is>
      </c>
      <c r="E5321" s="12" t="inlineStr">
        <is>
          <t>GBS-6</t>
        </is>
      </c>
      <c r="F5321" s="12" t="inlineStr">
        <is>
          <t>GBS-6: block 6 480 V paralleling switchgear (4 gensets)</t>
        </is>
      </c>
      <c r="G5321" s="12" t="inlineStr">
        <is>
          <t>GB-6.2</t>
        </is>
      </c>
      <c r="H5321" s="12" t="inlineStr">
        <is>
          <t>GB-6.2: modular gas genset ~450 kW, 480 V (block 6)</t>
        </is>
      </c>
      <c r="I5321" s="12" t="inlineStr">
        <is>
          <t>LV 600 V</t>
        </is>
      </c>
      <c r="J5321" s="12" t="inlineStr">
        <is>
          <t>Type TC-ER 600 V 3/C Cu XHHW-2 + ground, PVC jacket</t>
        </is>
      </c>
      <c r="K5321" s="12" t="inlineStr">
        <is>
          <t>LV|3/C+G|10</t>
        </is>
      </c>
      <c r="L5321" s="12" t="inlineStr">
        <is>
          <t>3/C+G</t>
        </is>
      </c>
      <c r="M5321" s="12" t="inlineStr">
        <is>
          <t>10</t>
        </is>
      </c>
      <c r="N5321" s="12" t="n">
        <v>1</v>
      </c>
      <c r="O5321" s="12" t="n">
        <v>1</v>
      </c>
      <c r="P5321" s="12" t="n">
        <v>480</v>
      </c>
      <c r="Q5321" s="12" t="n">
        <v>15</v>
      </c>
      <c r="R5321" s="12" t="n">
        <v>19</v>
      </c>
      <c r="S5321" s="12" t="inlineStr">
        <is>
          <t>Riser</t>
        </is>
      </c>
      <c r="T5321" s="17" t="n">
        <v>3</v>
      </c>
      <c r="U5321" s="17" t="n">
        <v>31</v>
      </c>
      <c r="V5321" s="17">
        <f>ROUNDUP((T5321+U5321+2*'Read Me'!$B$13)*(1+'Read Me'!$B$12),-1)</f>
        <v/>
      </c>
      <c r="W5321" s="17">
        <f>V5321*N5321*O5321</f>
        <v/>
      </c>
      <c r="X5321" s="12">
        <f>IF(LEFT(I5321,2)="MV",2*N5321*IF(L5321="1/C",O5321,1),0)</f>
        <v/>
      </c>
      <c r="Y5321" s="12">
        <f>IF(OR(LEFT(K5321,4)="LVAX",LEFT(K5321,6)="MV15AX",LEFT(K5321,4)="CTAX",LEFT(K5321,2)="W|"),2*N5321*O5321,0)</f>
        <v/>
      </c>
      <c r="Z5321" s="12" t="inlineStr">
        <is>
          <t>VD 0.3 %</t>
        </is>
      </c>
      <c r="AA5321" s="12">
        <f>N5321*O5321</f>
        <v/>
      </c>
    </row>
    <row r="5322">
      <c r="A5322" s="12" t="inlineStr">
        <is>
          <t>I-P-0066</t>
        </is>
      </c>
      <c r="B5322" s="12" t="inlineStr">
        <is>
          <t>I</t>
        </is>
      </c>
      <c r="C5322" s="12" t="inlineStr">
        <is>
          <t>Modular / portable power</t>
        </is>
      </c>
      <c r="D5322" s="12" t="inlineStr">
        <is>
          <t>LV power feeder</t>
        </is>
      </c>
      <c r="E5322" s="12" t="inlineStr">
        <is>
          <t>PAD-LV</t>
        </is>
      </c>
      <c r="F5322" s="12" t="inlineStr">
        <is>
          <t>PAD-LV 480 V paralleling switchboard</t>
        </is>
      </c>
      <c r="G5322" s="12" t="inlineStr">
        <is>
          <t>GB-6.2</t>
        </is>
      </c>
      <c r="H5322" s="12" t="inlineStr">
        <is>
          <t>GB-6.2: modular gas genset ~450 kW, 480 V (block 6)</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15</v>
      </c>
      <c r="R5322" s="12" t="n">
        <v>21.2</v>
      </c>
      <c r="S5322" s="12" t="inlineStr">
        <is>
          <t>Surface</t>
        </is>
      </c>
      <c r="T5322" s="17" t="n">
        <v>460</v>
      </c>
      <c r="U5322" s="17" t="n">
        <v>37</v>
      </c>
      <c r="V5322" s="17">
        <f>ROUNDUP((T5322+U5322+2*'Read Me'!$B$13)*(1+'Read Me'!$B$12),-1)</f>
        <v/>
      </c>
      <c r="W5322" s="17">
        <f>V5322*N5322*O5322</f>
        <v/>
      </c>
      <c r="X5322" s="12">
        <f>IF(LEFT(I5322,2)="MV",2*N5322*IF(L5322="1/C",O5322,1),0)</f>
        <v/>
      </c>
      <c r="Y5322" s="12">
        <f>IF(OR(LEFT(K5322,4)="LVAX",LEFT(K5322,6)="MV15AX",LEFT(K5322,4)="CTAX",LEFT(K5322,2)="W|"),2*N5322*O5322,0)</f>
        <v/>
      </c>
      <c r="Z5322" s="12" t="inlineStr">
        <is>
          <t>VD 2.1 %</t>
        </is>
      </c>
      <c r="AA5322" s="12">
        <f>N5322*O5322</f>
        <v/>
      </c>
    </row>
    <row r="5323">
      <c r="A5323" s="12" t="inlineStr">
        <is>
          <t>I-P-0067</t>
        </is>
      </c>
      <c r="B5323" s="12" t="inlineStr">
        <is>
          <t>I</t>
        </is>
      </c>
      <c r="C5323" s="12" t="inlineStr">
        <is>
          <t>Modular / portable power</t>
        </is>
      </c>
      <c r="D5323" s="12" t="inlineStr">
        <is>
          <t>GB-6.3 aux power: jacket-water heater, battery charger, enclosure</t>
        </is>
      </c>
      <c r="E5323" s="12" t="inlineStr">
        <is>
          <t>GBS-6</t>
        </is>
      </c>
      <c r="F5323" s="12" t="inlineStr">
        <is>
          <t>GBS-6: block 6 480 V paralleling switchgear (4 gensets)</t>
        </is>
      </c>
      <c r="G5323" s="12" t="inlineStr">
        <is>
          <t>GB-6.3</t>
        </is>
      </c>
      <c r="H5323" s="12" t="inlineStr">
        <is>
          <t>GB-6.3: modular gas genset ~450 kW, 480 V (block 6)</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19</v>
      </c>
      <c r="S5323" s="12" t="inlineStr">
        <is>
          <t>Duct bank</t>
        </is>
      </c>
      <c r="T5323" s="17" t="n">
        <v>12</v>
      </c>
      <c r="U5323" s="17" t="n">
        <v>35</v>
      </c>
      <c r="V5323" s="17">
        <f>ROUNDUP((T5323+U5323+2*'Read Me'!$B$13)*(1+'Read Me'!$B$12),-1)</f>
        <v/>
      </c>
      <c r="W5323" s="17">
        <f>V5323*N5323*O5323</f>
        <v/>
      </c>
      <c r="X5323" s="12">
        <f>IF(LEFT(I5323,2)="MV",2*N5323*IF(L5323="1/C",O5323,1),0)</f>
        <v/>
      </c>
      <c r="Y5323" s="12">
        <f>IF(OR(LEFT(K5323,4)="LVAX",LEFT(K5323,6)="MV15AX",LEFT(K5323,4)="CTAX",LEFT(K5323,2)="W|"),2*N5323*O5323,0)</f>
        <v/>
      </c>
      <c r="Z5323" s="12" t="inlineStr">
        <is>
          <t>VD 0.4 %</t>
        </is>
      </c>
      <c r="AA5323" s="12">
        <f>N5323*O5323</f>
        <v/>
      </c>
    </row>
    <row r="5324">
      <c r="A5324" s="12" t="inlineStr">
        <is>
          <t>I-P-0068</t>
        </is>
      </c>
      <c r="B5324" s="12" t="inlineStr">
        <is>
          <t>I</t>
        </is>
      </c>
      <c r="C5324" s="12" t="inlineStr">
        <is>
          <t>Modular / portable power</t>
        </is>
      </c>
      <c r="D5324" s="12" t="inlineStr">
        <is>
          <t>LV power feeder</t>
        </is>
      </c>
      <c r="E5324" s="12" t="inlineStr">
        <is>
          <t>PAD-LV</t>
        </is>
      </c>
      <c r="F5324" s="12" t="inlineStr">
        <is>
          <t>PAD-LV 480 V paralleling switchboard</t>
        </is>
      </c>
      <c r="G5324" s="12" t="inlineStr">
        <is>
          <t>GB-6.3</t>
        </is>
      </c>
      <c r="H5324" s="12" t="inlineStr">
        <is>
          <t>GB-6.3: modular gas genset ~450 kW, 480 V (block 6)</t>
        </is>
      </c>
      <c r="I5324" s="12" t="inlineStr">
        <is>
          <t>LV 600 V</t>
        </is>
      </c>
      <c r="J5324" s="12" t="inlineStr">
        <is>
          <t>Type TC-ER 600 V 3/C Cu XHHW-2 + ground, PVC jacket</t>
        </is>
      </c>
      <c r="K5324" s="12" t="inlineStr">
        <is>
          <t>LV|3/C+G|6</t>
        </is>
      </c>
      <c r="L5324" s="12" t="inlineStr">
        <is>
          <t>3/C+G</t>
        </is>
      </c>
      <c r="M5324" s="12" t="inlineStr">
        <is>
          <t>6</t>
        </is>
      </c>
      <c r="N5324" s="12" t="n">
        <v>1</v>
      </c>
      <c r="O5324" s="12" t="n">
        <v>1</v>
      </c>
      <c r="P5324" s="12" t="n">
        <v>480</v>
      </c>
      <c r="Q5324" s="12" t="n">
        <v>15</v>
      </c>
      <c r="R5324" s="12" t="n">
        <v>21.2</v>
      </c>
      <c r="S5324" s="12" t="inlineStr">
        <is>
          <t>Surface</t>
        </is>
      </c>
      <c r="T5324" s="17" t="n">
        <v>447</v>
      </c>
      <c r="U5324" s="17" t="n">
        <v>40</v>
      </c>
      <c r="V5324" s="17">
        <f>ROUNDUP((T5324+U5324+2*'Read Me'!$B$13)*(1+'Read Me'!$B$12),-1)</f>
        <v/>
      </c>
      <c r="W5324" s="17">
        <f>V5324*N5324*O5324</f>
        <v/>
      </c>
      <c r="X5324" s="12">
        <f>IF(LEFT(I5324,2)="MV",2*N5324*IF(L5324="1/C",O5324,1),0)</f>
        <v/>
      </c>
      <c r="Y5324" s="12">
        <f>IF(OR(LEFT(K5324,4)="LVAX",LEFT(K5324,6)="MV15AX",LEFT(K5324,4)="CTAX",LEFT(K5324,2)="W|"),2*N5324*O5324,0)</f>
        <v/>
      </c>
      <c r="Z5324" s="12" t="inlineStr">
        <is>
          <t>VD 2.0 %</t>
        </is>
      </c>
      <c r="AA5324" s="12">
        <f>N5324*O5324</f>
        <v/>
      </c>
    </row>
    <row r="5325">
      <c r="A5325" s="12" t="inlineStr">
        <is>
          <t>I-P-0069</t>
        </is>
      </c>
      <c r="B5325" s="12" t="inlineStr">
        <is>
          <t>I</t>
        </is>
      </c>
      <c r="C5325" s="12" t="inlineStr">
        <is>
          <t>Modular / portable power</t>
        </is>
      </c>
      <c r="D5325" s="12" t="inlineStr">
        <is>
          <t>GB-6.4 aux power: jacket-water heater, battery charger, enclosure</t>
        </is>
      </c>
      <c r="E5325" s="12" t="inlineStr">
        <is>
          <t>GBS-6</t>
        </is>
      </c>
      <c r="F5325" s="12" t="inlineStr">
        <is>
          <t>GBS-6: block 6 480 V paralleling switchgear (4 gensets)</t>
        </is>
      </c>
      <c r="G5325" s="12" t="inlineStr">
        <is>
          <t>GB-6.4</t>
        </is>
      </c>
      <c r="H5325" s="12" t="inlineStr">
        <is>
          <t>GB-6.4: modular gas genset ~450 kW, 480 V (block 6)</t>
        </is>
      </c>
      <c r="I5325" s="12" t="inlineStr">
        <is>
          <t>LV 600 V</t>
        </is>
      </c>
      <c r="J5325" s="12" t="inlineStr">
        <is>
          <t>Type TC-ER 600 V 3/C Cu XHHW-2 + ground, PVC jacket</t>
        </is>
      </c>
      <c r="K5325" s="12" t="inlineStr">
        <is>
          <t>LV|3/C+G|10</t>
        </is>
      </c>
      <c r="L5325" s="12" t="inlineStr">
        <is>
          <t>3/C+G</t>
        </is>
      </c>
      <c r="M5325" s="12" t="inlineStr">
        <is>
          <t>10</t>
        </is>
      </c>
      <c r="N5325" s="12" t="n">
        <v>1</v>
      </c>
      <c r="O5325" s="12" t="n">
        <v>1</v>
      </c>
      <c r="P5325" s="12" t="n">
        <v>480</v>
      </c>
      <c r="Q5325" s="12" t="n">
        <v>15</v>
      </c>
      <c r="R5325" s="12" t="n">
        <v>19</v>
      </c>
      <c r="S5325" s="12" t="inlineStr">
        <is>
          <t>Duct bank</t>
        </is>
      </c>
      <c r="T5325" s="17" t="n">
        <v>15</v>
      </c>
      <c r="U5325" s="17" t="n">
        <v>39</v>
      </c>
      <c r="V5325" s="17">
        <f>ROUNDUP((T5325+U5325+2*'Read Me'!$B$13)*(1+'Read Me'!$B$12),-1)</f>
        <v/>
      </c>
      <c r="W5325" s="17">
        <f>V5325*N5325*O5325</f>
        <v/>
      </c>
      <c r="X5325" s="12">
        <f>IF(LEFT(I5325,2)="MV",2*N5325*IF(L5325="1/C",O5325,1),0)</f>
        <v/>
      </c>
      <c r="Y5325" s="12">
        <f>IF(OR(LEFT(K5325,4)="LVAX",LEFT(K5325,6)="MV15AX",LEFT(K5325,4)="CTAX",LEFT(K5325,2)="W|"),2*N5325*O5325,0)</f>
        <v/>
      </c>
      <c r="Z5325" s="12" t="inlineStr">
        <is>
          <t>VD 0.5 %</t>
        </is>
      </c>
      <c r="AA5325" s="12">
        <f>N5325*O5325</f>
        <v/>
      </c>
    </row>
    <row r="5326">
      <c r="A5326" s="12" t="inlineStr">
        <is>
          <t>I-P-0070</t>
        </is>
      </c>
      <c r="B5326" s="12" t="inlineStr">
        <is>
          <t>I</t>
        </is>
      </c>
      <c r="C5326" s="12" t="inlineStr">
        <is>
          <t>Modular / portable power</t>
        </is>
      </c>
      <c r="D5326" s="12" t="inlineStr">
        <is>
          <t>LV power feeder</t>
        </is>
      </c>
      <c r="E5326" s="12" t="inlineStr">
        <is>
          <t>PAD-LV</t>
        </is>
      </c>
      <c r="F5326" s="12" t="inlineStr">
        <is>
          <t>PAD-LV 480 V paralleling switchboard</t>
        </is>
      </c>
      <c r="G5326" s="12" t="inlineStr">
        <is>
          <t>GB-6.4</t>
        </is>
      </c>
      <c r="H5326" s="12" t="inlineStr">
        <is>
          <t>GB-6.4: modular gas genset ~450 kW, 480 V (block 6)</t>
        </is>
      </c>
      <c r="I5326" s="12" t="inlineStr">
        <is>
          <t>LV 600 V</t>
        </is>
      </c>
      <c r="J5326" s="12" t="inlineStr">
        <is>
          <t>Type TC-ER 600 V 3/C Cu XHHW-2 + ground, PVC jacket</t>
        </is>
      </c>
      <c r="K5326" s="12" t="inlineStr">
        <is>
          <t>LV|3/C+G|6</t>
        </is>
      </c>
      <c r="L5326" s="12" t="inlineStr">
        <is>
          <t>3/C+G</t>
        </is>
      </c>
      <c r="M5326" s="12" t="inlineStr">
        <is>
          <t>6</t>
        </is>
      </c>
      <c r="N5326" s="12" t="n">
        <v>1</v>
      </c>
      <c r="O5326" s="12" t="n">
        <v>1</v>
      </c>
      <c r="P5326" s="12" t="n">
        <v>480</v>
      </c>
      <c r="Q5326" s="12" t="n">
        <v>15</v>
      </c>
      <c r="R5326" s="12" t="n">
        <v>21.2</v>
      </c>
      <c r="S5326" s="12" t="inlineStr">
        <is>
          <t>Surface</t>
        </is>
      </c>
      <c r="T5326" s="17" t="n">
        <v>450</v>
      </c>
      <c r="U5326" s="17" t="n">
        <v>44</v>
      </c>
      <c r="V5326" s="17">
        <f>ROUNDUP((T5326+U5326+2*'Read Me'!$B$13)*(1+'Read Me'!$B$12),-1)</f>
        <v/>
      </c>
      <c r="W5326" s="17">
        <f>V5326*N5326*O5326</f>
        <v/>
      </c>
      <c r="X5326" s="12">
        <f>IF(LEFT(I5326,2)="MV",2*N5326*IF(L5326="1/C",O5326,1),0)</f>
        <v/>
      </c>
      <c r="Y5326" s="12">
        <f>IF(OR(LEFT(K5326,4)="LVAX",LEFT(K5326,6)="MV15AX",LEFT(K5326,4)="CTAX",LEFT(K5326,2)="W|"),2*N5326*O5326,0)</f>
        <v/>
      </c>
      <c r="Z5326" s="12" t="inlineStr">
        <is>
          <t>VD 2.0 %</t>
        </is>
      </c>
      <c r="AA5326" s="12">
        <f>N5326*O5326</f>
        <v/>
      </c>
    </row>
    <row r="5327">
      <c r="A5327" s="12" t="inlineStr">
        <is>
          <t>I-P-0071</t>
        </is>
      </c>
      <c r="B5327" s="12" t="inlineStr">
        <is>
          <t>I</t>
        </is>
      </c>
      <c r="C5327" s="12" t="inlineStr">
        <is>
          <t>Modular / portable power</t>
        </is>
      </c>
      <c r="D5327" s="12" t="inlineStr">
        <is>
          <t>GB-1.1 480 V generator leads to GBS-1</t>
        </is>
      </c>
      <c r="E5327" s="12" t="inlineStr">
        <is>
          <t>GB-1.1</t>
        </is>
      </c>
      <c r="F5327" s="12" t="inlineStr">
        <is>
          <t>GB-1.1: modular gas genset ~450 kW, 480 V (block 1)</t>
        </is>
      </c>
      <c r="G5327" s="12" t="inlineStr">
        <is>
          <t>GBS-1</t>
        </is>
      </c>
      <c r="H5327" s="12" t="inlineStr">
        <is>
          <t>GBS-1: block 1 480 V paralleling switchgear (4 gensets)</t>
        </is>
      </c>
      <c r="I5327" s="12" t="inlineStr">
        <is>
          <t>LV 600 V</t>
        </is>
      </c>
      <c r="J5327" s="12" t="inlineStr">
        <is>
          <t>XHHW-2 600 V 1/C Cu (feeder sets in tray / duct)</t>
        </is>
      </c>
      <c r="K5327" s="12" t="inlineStr">
        <is>
          <t>LV1C|1/C|500</t>
        </is>
      </c>
      <c r="L5327" s="12" t="inlineStr">
        <is>
          <t>1/C</t>
        </is>
      </c>
      <c r="M5327" s="12" t="inlineStr">
        <is>
          <t>500 kcmil</t>
        </is>
      </c>
      <c r="N5327" s="12" t="n">
        <v>2</v>
      </c>
      <c r="O5327" s="12" t="n">
        <v>4</v>
      </c>
      <c r="P5327" s="12" t="n">
        <v>480</v>
      </c>
      <c r="Q5327" s="12" t="n">
        <v>450</v>
      </c>
      <c r="R5327" s="12" t="n">
        <v>677</v>
      </c>
      <c r="S5327" s="12" t="inlineStr">
        <is>
          <t>Riser</t>
        </is>
      </c>
      <c r="T5327" s="17" t="n">
        <v>5</v>
      </c>
      <c r="U5327" s="17" t="n">
        <v>28</v>
      </c>
      <c r="V5327" s="17">
        <f>ROUNDUP((T5327+U5327+2*'Read Me'!$B$13)*(1+'Read Me'!$B$12),-1)</f>
        <v/>
      </c>
      <c r="W5327" s="17">
        <f>V5327*N5327*O5327</f>
        <v/>
      </c>
      <c r="X5327" s="12">
        <f>IF(LEFT(I5327,2)="MV",2*N5327*IF(L5327="1/C",O5327,1),0)</f>
        <v/>
      </c>
      <c r="Y5327" s="12">
        <f>IF(OR(LEFT(K5327,4)="LVAX",LEFT(K5327,6)="MV15AX",LEFT(K5327,4)="CTAX",LEFT(K5327,2)="W|"),2*N5327*O5327,0)</f>
        <v/>
      </c>
      <c r="Z5327" s="12" t="inlineStr">
        <is>
          <t>2 sets of 3 x 500 kcmil + ground</t>
        </is>
      </c>
      <c r="AA5327" s="12">
        <f>N5327*O5327</f>
        <v/>
      </c>
    </row>
    <row r="5328">
      <c r="A5328" s="12" t="inlineStr">
        <is>
          <t>I-P-0072</t>
        </is>
      </c>
      <c r="B5328" s="12" t="inlineStr">
        <is>
          <t>I</t>
        </is>
      </c>
      <c r="C5328" s="12" t="inlineStr">
        <is>
          <t>Modular / portable power</t>
        </is>
      </c>
      <c r="D5328" s="12" t="inlineStr">
        <is>
          <t>GB-1.2 480 V generator leads to GBS-1</t>
        </is>
      </c>
      <c r="E5328" s="12" t="inlineStr">
        <is>
          <t>GB-1.2</t>
        </is>
      </c>
      <c r="F5328" s="12" t="inlineStr">
        <is>
          <t>GB-1.2: modular gas genset ~450 kW, 480 V (block 1)</t>
        </is>
      </c>
      <c r="G5328" s="12" t="inlineStr">
        <is>
          <t>GBS-1</t>
        </is>
      </c>
      <c r="H5328" s="12" t="inlineStr">
        <is>
          <t>GBS-1: block 1 480 V paralleling switchgear (4 gensets)</t>
        </is>
      </c>
      <c r="I5328" s="12" t="inlineStr">
        <is>
          <t>LV 600 V</t>
        </is>
      </c>
      <c r="J5328" s="12" t="inlineStr">
        <is>
          <t>XHHW-2 600 V 1/C Cu (feeder sets in tray / duct)</t>
        </is>
      </c>
      <c r="K5328" s="12" t="inlineStr">
        <is>
          <t>LV1C|1/C|500</t>
        </is>
      </c>
      <c r="L5328" s="12" t="inlineStr">
        <is>
          <t>1/C</t>
        </is>
      </c>
      <c r="M5328" s="12" t="inlineStr">
        <is>
          <t>500 kcmil</t>
        </is>
      </c>
      <c r="N5328" s="12" t="n">
        <v>2</v>
      </c>
      <c r="O5328" s="12" t="n">
        <v>4</v>
      </c>
      <c r="P5328" s="12" t="n">
        <v>480</v>
      </c>
      <c r="Q5328" s="12" t="n">
        <v>450</v>
      </c>
      <c r="R5328" s="12" t="n">
        <v>677</v>
      </c>
      <c r="S5328" s="12" t="inlineStr">
        <is>
          <t>Riser</t>
        </is>
      </c>
      <c r="T5328" s="17" t="n">
        <v>7</v>
      </c>
      <c r="U5328" s="17" t="n">
        <v>27</v>
      </c>
      <c r="V5328" s="17">
        <f>ROUNDUP((T5328+U5328+2*'Read Me'!$B$13)*(1+'Read Me'!$B$12),-1)</f>
        <v/>
      </c>
      <c r="W5328" s="17">
        <f>V5328*N5328*O5328</f>
        <v/>
      </c>
      <c r="X5328" s="12">
        <f>IF(LEFT(I5328,2)="MV",2*N5328*IF(L5328="1/C",O5328,1),0)</f>
        <v/>
      </c>
      <c r="Y5328" s="12">
        <f>IF(OR(LEFT(K5328,4)="LVAX",LEFT(K5328,6)="MV15AX",LEFT(K5328,4)="CTAX",LEFT(K5328,2)="W|"),2*N5328*O5328,0)</f>
        <v/>
      </c>
      <c r="Z5328" s="12" t="inlineStr">
        <is>
          <t>2 sets of 3 x 500 kcmil + ground</t>
        </is>
      </c>
      <c r="AA5328" s="12">
        <f>N5328*O5328</f>
        <v/>
      </c>
    </row>
    <row r="5329">
      <c r="A5329" s="12" t="inlineStr">
        <is>
          <t>I-P-0073</t>
        </is>
      </c>
      <c r="B5329" s="12" t="inlineStr">
        <is>
          <t>I</t>
        </is>
      </c>
      <c r="C5329" s="12" t="inlineStr">
        <is>
          <t>Modular / portable power</t>
        </is>
      </c>
      <c r="D5329" s="12" t="inlineStr">
        <is>
          <t>GB-1.3 480 V generator leads to GBS-1</t>
        </is>
      </c>
      <c r="E5329" s="12" t="inlineStr">
        <is>
          <t>GB-1.3</t>
        </is>
      </c>
      <c r="F5329" s="12" t="inlineStr">
        <is>
          <t>GB-1.3: modular gas genset ~450 kW, 480 V (block 1)</t>
        </is>
      </c>
      <c r="G5329" s="12" t="inlineStr">
        <is>
          <t>GBS-1</t>
        </is>
      </c>
      <c r="H5329" s="12" t="inlineStr">
        <is>
          <t>GBS-1: block 1 480 V paralleling switchgear (4 gensets)</t>
        </is>
      </c>
      <c r="I5329" s="12" t="inlineStr">
        <is>
          <t>LV 600 V</t>
        </is>
      </c>
      <c r="J5329" s="12" t="inlineStr">
        <is>
          <t>XHHW-2 600 V 1/C Cu (feeder sets in tray / duct)</t>
        </is>
      </c>
      <c r="K5329" s="12" t="inlineStr">
        <is>
          <t>LV1C|1/C|500</t>
        </is>
      </c>
      <c r="L5329" s="12" t="inlineStr">
        <is>
          <t>1/C</t>
        </is>
      </c>
      <c r="M5329" s="12" t="inlineStr">
        <is>
          <t>500 kcmil</t>
        </is>
      </c>
      <c r="N5329" s="12" t="n">
        <v>2</v>
      </c>
      <c r="O5329" s="12" t="n">
        <v>4</v>
      </c>
      <c r="P5329" s="12" t="n">
        <v>480</v>
      </c>
      <c r="Q5329" s="12" t="n">
        <v>450</v>
      </c>
      <c r="R5329" s="12" t="n">
        <v>677</v>
      </c>
      <c r="S5329" s="12" t="inlineStr">
        <is>
          <t>Surface</t>
        </is>
      </c>
      <c r="T5329" s="17" t="n">
        <v>15</v>
      </c>
      <c r="U5329" s="17" t="n">
        <v>32</v>
      </c>
      <c r="V5329" s="17">
        <f>ROUNDUP((T5329+U5329+2*'Read Me'!$B$13)*(1+'Read Me'!$B$12),-1)</f>
        <v/>
      </c>
      <c r="W5329" s="17">
        <f>V5329*N5329*O5329</f>
        <v/>
      </c>
      <c r="X5329" s="12">
        <f>IF(LEFT(I5329,2)="MV",2*N5329*IF(L5329="1/C",O5329,1),0)</f>
        <v/>
      </c>
      <c r="Y5329" s="12">
        <f>IF(OR(LEFT(K5329,4)="LVAX",LEFT(K5329,6)="MV15AX",LEFT(K5329,4)="CTAX",LEFT(K5329,2)="W|"),2*N5329*O5329,0)</f>
        <v/>
      </c>
      <c r="Z5329" s="12" t="inlineStr">
        <is>
          <t>2 sets of 3 x 500 kcmil + ground</t>
        </is>
      </c>
      <c r="AA5329" s="12">
        <f>N5329*O5329</f>
        <v/>
      </c>
    </row>
    <row r="5330">
      <c r="A5330" s="12" t="inlineStr">
        <is>
          <t>I-P-0074</t>
        </is>
      </c>
      <c r="B5330" s="12" t="inlineStr">
        <is>
          <t>I</t>
        </is>
      </c>
      <c r="C5330" s="12" t="inlineStr">
        <is>
          <t>Modular / portable power</t>
        </is>
      </c>
      <c r="D5330" s="12" t="inlineStr">
        <is>
          <t>GB-1.4 480 V generator leads to GBS-1</t>
        </is>
      </c>
      <c r="E5330" s="12" t="inlineStr">
        <is>
          <t>GB-1.4</t>
        </is>
      </c>
      <c r="F5330" s="12" t="inlineStr">
        <is>
          <t>GB-1.4: modular gas genset ~450 kW, 480 V (block 1)</t>
        </is>
      </c>
      <c r="G5330" s="12" t="inlineStr">
        <is>
          <t>GBS-1</t>
        </is>
      </c>
      <c r="H5330" s="12" t="inlineStr">
        <is>
          <t>GBS-1: block 1 480 V paralleling switchgear (4 gensets)</t>
        </is>
      </c>
      <c r="I5330" s="12" t="inlineStr">
        <is>
          <t>LV 600 V</t>
        </is>
      </c>
      <c r="J5330" s="12" t="inlineStr">
        <is>
          <t>XHHW-2 600 V 1/C Cu (feeder sets in tray / duct)</t>
        </is>
      </c>
      <c r="K5330" s="12" t="inlineStr">
        <is>
          <t>LV1C|1/C|500</t>
        </is>
      </c>
      <c r="L5330" s="12" t="inlineStr">
        <is>
          <t>1/C</t>
        </is>
      </c>
      <c r="M5330" s="12" t="inlineStr">
        <is>
          <t>500 kcmil</t>
        </is>
      </c>
      <c r="N5330" s="12" t="n">
        <v>2</v>
      </c>
      <c r="O5330" s="12" t="n">
        <v>4</v>
      </c>
      <c r="P5330" s="12" t="n">
        <v>480</v>
      </c>
      <c r="Q5330" s="12" t="n">
        <v>450</v>
      </c>
      <c r="R5330" s="12" t="n">
        <v>677</v>
      </c>
      <c r="S5330" s="12" t="inlineStr">
        <is>
          <t>Surface</t>
        </is>
      </c>
      <c r="T5330" s="17" t="n">
        <v>22</v>
      </c>
      <c r="U5330" s="17" t="n">
        <v>32</v>
      </c>
      <c r="V5330" s="17">
        <f>ROUNDUP((T5330+U5330+2*'Read Me'!$B$13)*(1+'Read Me'!$B$12),-1)</f>
        <v/>
      </c>
      <c r="W5330" s="17">
        <f>V5330*N5330*O5330</f>
        <v/>
      </c>
      <c r="X5330" s="12">
        <f>IF(LEFT(I5330,2)="MV",2*N5330*IF(L5330="1/C",O5330,1),0)</f>
        <v/>
      </c>
      <c r="Y5330" s="12">
        <f>IF(OR(LEFT(K5330,4)="LVAX",LEFT(K5330,6)="MV15AX",LEFT(K5330,4)="CTAX",LEFT(K5330,2)="W|"),2*N5330*O5330,0)</f>
        <v/>
      </c>
      <c r="Z5330" s="12" t="inlineStr">
        <is>
          <t>2 sets of 3 x 500 kcmil + ground</t>
        </is>
      </c>
      <c r="AA5330" s="12">
        <f>N5330*O5330</f>
        <v/>
      </c>
    </row>
    <row r="5331">
      <c r="A5331" s="12" t="inlineStr">
        <is>
          <t>I-P-0075</t>
        </is>
      </c>
      <c r="B5331" s="12" t="inlineStr">
        <is>
          <t>I</t>
        </is>
      </c>
      <c r="C5331" s="12" t="inlineStr">
        <is>
          <t>Modular / portable power</t>
        </is>
      </c>
      <c r="D5331" s="12" t="inlineStr">
        <is>
          <t>LV power feeder</t>
        </is>
      </c>
      <c r="E5331" s="12" t="inlineStr">
        <is>
          <t>PAD-LV</t>
        </is>
      </c>
      <c r="F5331" s="12" t="inlineStr">
        <is>
          <t>PAD-LV 480 V paralleling switchboard</t>
        </is>
      </c>
      <c r="G5331" s="12" t="inlineStr">
        <is>
          <t>GBS-1</t>
        </is>
      </c>
      <c r="H5331" s="12" t="inlineStr">
        <is>
          <t>GBS-1: block 1 480 V paralleling switchgear (4 gensets)</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15</v>
      </c>
      <c r="R5331" s="12" t="n">
        <v>21.2</v>
      </c>
      <c r="S5331" s="12" t="inlineStr">
        <is>
          <t>Surface</t>
        </is>
      </c>
      <c r="T5331" s="17" t="n">
        <v>119</v>
      </c>
      <c r="U5331" s="17" t="n">
        <v>33</v>
      </c>
      <c r="V5331" s="17">
        <f>ROUNDUP((T5331+U5331+2*'Read Me'!$B$13)*(1+'Read Me'!$B$12),-1)</f>
        <v/>
      </c>
      <c r="W5331" s="17">
        <f>V5331*N5331*O5331</f>
        <v/>
      </c>
      <c r="X5331" s="12">
        <f>IF(LEFT(I5331,2)="MV",2*N5331*IF(L5331="1/C",O5331,1),0)</f>
        <v/>
      </c>
      <c r="Y5331" s="12">
        <f>IF(OR(LEFT(K5331,4)="LVAX",LEFT(K5331,6)="MV15AX",LEFT(K5331,4)="CTAX",LEFT(K5331,2)="W|"),2*N5331*O5331,0)</f>
        <v/>
      </c>
      <c r="Z5331" s="12" t="inlineStr">
        <is>
          <t>VD 1.5 %</t>
        </is>
      </c>
      <c r="AA5331" s="12">
        <f>N5331*O5331</f>
        <v/>
      </c>
    </row>
    <row r="5332">
      <c r="A5332" s="12" t="inlineStr">
        <is>
          <t>I-P-0076</t>
        </is>
      </c>
      <c r="B5332" s="12" t="inlineStr">
        <is>
          <t>I</t>
        </is>
      </c>
      <c r="C5332" s="12" t="inlineStr">
        <is>
          <t>Modular / portable power</t>
        </is>
      </c>
      <c r="D5332" s="12" t="inlineStr">
        <is>
          <t>GB-2.1 480 V generator leads to GBS-2</t>
        </is>
      </c>
      <c r="E5332" s="12" t="inlineStr">
        <is>
          <t>GB-2.1</t>
        </is>
      </c>
      <c r="F5332" s="12" t="inlineStr">
        <is>
          <t>GB-2.1: modular gas genset ~450 kW, 480 V (block 2)</t>
        </is>
      </c>
      <c r="G5332" s="12" t="inlineStr">
        <is>
          <t>GBS-2</t>
        </is>
      </c>
      <c r="H5332" s="12" t="inlineStr">
        <is>
          <t>GBS-2: block 2 480 V paralleling switchgear (4 gensets)</t>
        </is>
      </c>
      <c r="I5332" s="12" t="inlineStr">
        <is>
          <t>LV 600 V</t>
        </is>
      </c>
      <c r="J5332" s="12" t="inlineStr">
        <is>
          <t>XHHW-2 600 V 1/C Cu (feeder sets in tray / duct)</t>
        </is>
      </c>
      <c r="K5332" s="12" t="inlineStr">
        <is>
          <t>LV1C|1/C|500</t>
        </is>
      </c>
      <c r="L5332" s="12" t="inlineStr">
        <is>
          <t>1/C</t>
        </is>
      </c>
      <c r="M5332" s="12" t="inlineStr">
        <is>
          <t>500 kcmil</t>
        </is>
      </c>
      <c r="N5332" s="12" t="n">
        <v>2</v>
      </c>
      <c r="O5332" s="12" t="n">
        <v>4</v>
      </c>
      <c r="P5332" s="12" t="n">
        <v>480</v>
      </c>
      <c r="Q5332" s="12" t="n">
        <v>450</v>
      </c>
      <c r="R5332" s="12" t="n">
        <v>677</v>
      </c>
      <c r="S5332" s="12" t="inlineStr">
        <is>
          <t>Riser</t>
        </is>
      </c>
      <c r="T5332" s="17" t="n">
        <v>3</v>
      </c>
      <c r="U5332" s="17" t="n">
        <v>30</v>
      </c>
      <c r="V5332" s="17">
        <f>ROUNDUP((T5332+U5332+2*'Read Me'!$B$13)*(1+'Read Me'!$B$12),-1)</f>
        <v/>
      </c>
      <c r="W5332" s="17">
        <f>V5332*N5332*O5332</f>
        <v/>
      </c>
      <c r="X5332" s="12">
        <f>IF(LEFT(I5332,2)="MV",2*N5332*IF(L5332="1/C",O5332,1),0)</f>
        <v/>
      </c>
      <c r="Y5332" s="12">
        <f>IF(OR(LEFT(K5332,4)="LVAX",LEFT(K5332,6)="MV15AX",LEFT(K5332,4)="CTAX",LEFT(K5332,2)="W|"),2*N5332*O5332,0)</f>
        <v/>
      </c>
      <c r="Z5332" s="12" t="inlineStr">
        <is>
          <t>2 sets of 3 x 500 kcmil + ground</t>
        </is>
      </c>
      <c r="AA5332" s="12">
        <f>N5332*O5332</f>
        <v/>
      </c>
    </row>
    <row r="5333">
      <c r="A5333" s="12" t="inlineStr">
        <is>
          <t>I-P-0077</t>
        </is>
      </c>
      <c r="B5333" s="12" t="inlineStr">
        <is>
          <t>I</t>
        </is>
      </c>
      <c r="C5333" s="12" t="inlineStr">
        <is>
          <t>Modular / portable power</t>
        </is>
      </c>
      <c r="D5333" s="12" t="inlineStr">
        <is>
          <t>GB-2.2 480 V generator leads to GBS-2</t>
        </is>
      </c>
      <c r="E5333" s="12" t="inlineStr">
        <is>
          <t>GB-2.2</t>
        </is>
      </c>
      <c r="F5333" s="12" t="inlineStr">
        <is>
          <t>GB-2.2: modular gas genset ~450 kW, 480 V (block 2)</t>
        </is>
      </c>
      <c r="G5333" s="12" t="inlineStr">
        <is>
          <t>GBS-2</t>
        </is>
      </c>
      <c r="H5333" s="12" t="inlineStr">
        <is>
          <t>GBS-2: block 2 480 V paralleling switchgear (4 gensets)</t>
        </is>
      </c>
      <c r="I5333" s="12" t="inlineStr">
        <is>
          <t>LV 600 V</t>
        </is>
      </c>
      <c r="J5333" s="12" t="inlineStr">
        <is>
          <t>XHHW-2 600 V 1/C Cu (feeder sets in tray / duct)</t>
        </is>
      </c>
      <c r="K5333" s="12" t="inlineStr">
        <is>
          <t>LV1C|1/C|500</t>
        </is>
      </c>
      <c r="L5333" s="12" t="inlineStr">
        <is>
          <t>1/C</t>
        </is>
      </c>
      <c r="M5333" s="12" t="inlineStr">
        <is>
          <t>500 kcmil</t>
        </is>
      </c>
      <c r="N5333" s="12" t="n">
        <v>2</v>
      </c>
      <c r="O5333" s="12" t="n">
        <v>4</v>
      </c>
      <c r="P5333" s="12" t="n">
        <v>480</v>
      </c>
      <c r="Q5333" s="12" t="n">
        <v>450</v>
      </c>
      <c r="R5333" s="12" t="n">
        <v>677</v>
      </c>
      <c r="S5333" s="12" t="inlineStr">
        <is>
          <t>Riser</t>
        </is>
      </c>
      <c r="T5333" s="17" t="n">
        <v>7</v>
      </c>
      <c r="U5333" s="17" t="n">
        <v>27</v>
      </c>
      <c r="V5333" s="17">
        <f>ROUNDUP((T5333+U5333+2*'Read Me'!$B$13)*(1+'Read Me'!$B$12),-1)</f>
        <v/>
      </c>
      <c r="W5333" s="17">
        <f>V5333*N5333*O5333</f>
        <v/>
      </c>
      <c r="X5333" s="12">
        <f>IF(LEFT(I5333,2)="MV",2*N5333*IF(L5333="1/C",O5333,1),0)</f>
        <v/>
      </c>
      <c r="Y5333" s="12">
        <f>IF(OR(LEFT(K5333,4)="LVAX",LEFT(K5333,6)="MV15AX",LEFT(K5333,4)="CTAX",LEFT(K5333,2)="W|"),2*N5333*O5333,0)</f>
        <v/>
      </c>
      <c r="Z5333" s="12" t="inlineStr">
        <is>
          <t>2 sets of 3 x 500 kcmil + ground</t>
        </is>
      </c>
      <c r="AA5333" s="12">
        <f>N5333*O5333</f>
        <v/>
      </c>
    </row>
    <row r="5334">
      <c r="A5334" s="12" t="inlineStr">
        <is>
          <t>I-P-0078</t>
        </is>
      </c>
      <c r="B5334" s="12" t="inlineStr">
        <is>
          <t>I</t>
        </is>
      </c>
      <c r="C5334" s="12" t="inlineStr">
        <is>
          <t>Modular / portable power</t>
        </is>
      </c>
      <c r="D5334" s="12" t="inlineStr">
        <is>
          <t>GB-2.3 480 V generator leads to GBS-2</t>
        </is>
      </c>
      <c r="E5334" s="12" t="inlineStr">
        <is>
          <t>GB-2.3</t>
        </is>
      </c>
      <c r="F5334" s="12" t="inlineStr">
        <is>
          <t>GB-2.3: modular gas genset ~450 kW, 480 V (block 2)</t>
        </is>
      </c>
      <c r="G5334" s="12" t="inlineStr">
        <is>
          <t>GBS-2</t>
        </is>
      </c>
      <c r="H5334" s="12" t="inlineStr">
        <is>
          <t>GBS-2: block 2 480 V paralleling switchgear (4 gensets)</t>
        </is>
      </c>
      <c r="I5334" s="12" t="inlineStr">
        <is>
          <t>LV 600 V</t>
        </is>
      </c>
      <c r="J5334" s="12" t="inlineStr">
        <is>
          <t>XHHW-2 600 V 1/C Cu (feeder sets in tray / duct)</t>
        </is>
      </c>
      <c r="K5334" s="12" t="inlineStr">
        <is>
          <t>LV1C|1/C|500</t>
        </is>
      </c>
      <c r="L5334" s="12" t="inlineStr">
        <is>
          <t>1/C</t>
        </is>
      </c>
      <c r="M5334" s="12" t="inlineStr">
        <is>
          <t>500 kcmil</t>
        </is>
      </c>
      <c r="N5334" s="12" t="n">
        <v>2</v>
      </c>
      <c r="O5334" s="12" t="n">
        <v>4</v>
      </c>
      <c r="P5334" s="12" t="n">
        <v>480</v>
      </c>
      <c r="Q5334" s="12" t="n">
        <v>450</v>
      </c>
      <c r="R5334" s="12" t="n">
        <v>677</v>
      </c>
      <c r="S5334" s="12" t="inlineStr">
        <is>
          <t>Surface</t>
        </is>
      </c>
      <c r="T5334" s="17" t="n">
        <v>15</v>
      </c>
      <c r="U5334" s="17" t="n">
        <v>32</v>
      </c>
      <c r="V5334" s="17">
        <f>ROUNDUP((T5334+U5334+2*'Read Me'!$B$13)*(1+'Read Me'!$B$12),-1)</f>
        <v/>
      </c>
      <c r="W5334" s="17">
        <f>V5334*N5334*O5334</f>
        <v/>
      </c>
      <c r="X5334" s="12">
        <f>IF(LEFT(I5334,2)="MV",2*N5334*IF(L5334="1/C",O5334,1),0)</f>
        <v/>
      </c>
      <c r="Y5334" s="12">
        <f>IF(OR(LEFT(K5334,4)="LVAX",LEFT(K5334,6)="MV15AX",LEFT(K5334,4)="CTAX",LEFT(K5334,2)="W|"),2*N5334*O5334,0)</f>
        <v/>
      </c>
      <c r="Z5334" s="12" t="inlineStr">
        <is>
          <t>2 sets of 3 x 500 kcmil + ground</t>
        </is>
      </c>
      <c r="AA5334" s="12">
        <f>N5334*O5334</f>
        <v/>
      </c>
    </row>
    <row r="5335">
      <c r="A5335" s="12" t="inlineStr">
        <is>
          <t>I-P-0079</t>
        </is>
      </c>
      <c r="B5335" s="12" t="inlineStr">
        <is>
          <t>I</t>
        </is>
      </c>
      <c r="C5335" s="12" t="inlineStr">
        <is>
          <t>Modular / portable power</t>
        </is>
      </c>
      <c r="D5335" s="12" t="inlineStr">
        <is>
          <t>GB-2.4 480 V generator leads to GBS-2</t>
        </is>
      </c>
      <c r="E5335" s="12" t="inlineStr">
        <is>
          <t>GB-2.4</t>
        </is>
      </c>
      <c r="F5335" s="12" t="inlineStr">
        <is>
          <t>GB-2.4: modular gas genset ~450 kW, 480 V (block 2)</t>
        </is>
      </c>
      <c r="G5335" s="12" t="inlineStr">
        <is>
          <t>GBS-2</t>
        </is>
      </c>
      <c r="H5335" s="12" t="inlineStr">
        <is>
          <t>GBS-2: block 2 480 V paralleling switchgear (4 gensets)</t>
        </is>
      </c>
      <c r="I5335" s="12" t="inlineStr">
        <is>
          <t>LV 600 V</t>
        </is>
      </c>
      <c r="J5335" s="12" t="inlineStr">
        <is>
          <t>XHHW-2 600 V 1/C Cu (feeder sets in tray / duct)</t>
        </is>
      </c>
      <c r="K5335" s="12" t="inlineStr">
        <is>
          <t>LV1C|1/C|500</t>
        </is>
      </c>
      <c r="L5335" s="12" t="inlineStr">
        <is>
          <t>1/C</t>
        </is>
      </c>
      <c r="M5335" s="12" t="inlineStr">
        <is>
          <t>500 kcmil</t>
        </is>
      </c>
      <c r="N5335" s="12" t="n">
        <v>2</v>
      </c>
      <c r="O5335" s="12" t="n">
        <v>4</v>
      </c>
      <c r="P5335" s="12" t="n">
        <v>480</v>
      </c>
      <c r="Q5335" s="12" t="n">
        <v>450</v>
      </c>
      <c r="R5335" s="12" t="n">
        <v>677</v>
      </c>
      <c r="S5335" s="12" t="inlineStr">
        <is>
          <t>Surface</t>
        </is>
      </c>
      <c r="T5335" s="17" t="n">
        <v>22</v>
      </c>
      <c r="U5335" s="17" t="n">
        <v>32</v>
      </c>
      <c r="V5335" s="17">
        <f>ROUNDUP((T5335+U5335+2*'Read Me'!$B$13)*(1+'Read Me'!$B$12),-1)</f>
        <v/>
      </c>
      <c r="W5335" s="17">
        <f>V5335*N5335*O5335</f>
        <v/>
      </c>
      <c r="X5335" s="12">
        <f>IF(LEFT(I5335,2)="MV",2*N5335*IF(L5335="1/C",O5335,1),0)</f>
        <v/>
      </c>
      <c r="Y5335" s="12">
        <f>IF(OR(LEFT(K5335,4)="LVAX",LEFT(K5335,6)="MV15AX",LEFT(K5335,4)="CTAX",LEFT(K5335,2)="W|"),2*N5335*O5335,0)</f>
        <v/>
      </c>
      <c r="Z5335" s="12" t="inlineStr">
        <is>
          <t>2 sets of 3 x 500 kcmil + ground</t>
        </is>
      </c>
      <c r="AA5335" s="12">
        <f>N5335*O5335</f>
        <v/>
      </c>
    </row>
    <row r="5336">
      <c r="A5336" s="12" t="inlineStr">
        <is>
          <t>I-P-0080</t>
        </is>
      </c>
      <c r="B5336" s="12" t="inlineStr">
        <is>
          <t>I</t>
        </is>
      </c>
      <c r="C5336" s="12" t="inlineStr">
        <is>
          <t>Modular / portable power</t>
        </is>
      </c>
      <c r="D5336" s="12" t="inlineStr">
        <is>
          <t>LV power feeder</t>
        </is>
      </c>
      <c r="E5336" s="12" t="inlineStr">
        <is>
          <t>PAD-LV</t>
        </is>
      </c>
      <c r="F5336" s="12" t="inlineStr">
        <is>
          <t>PAD-LV 480 V paralleling switchboard</t>
        </is>
      </c>
      <c r="G5336" s="12" t="inlineStr">
        <is>
          <t>GBS-2</t>
        </is>
      </c>
      <c r="H5336" s="12" t="inlineStr">
        <is>
          <t>GBS-2: block 2 480 V paralleling switchgear (4 gensets)</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15</v>
      </c>
      <c r="R5336" s="12" t="n">
        <v>21.2</v>
      </c>
      <c r="S5336" s="12" t="inlineStr">
        <is>
          <t>Surface</t>
        </is>
      </c>
      <c r="T5336" s="17" t="n">
        <v>222</v>
      </c>
      <c r="U5336" s="17" t="n">
        <v>41</v>
      </c>
      <c r="V5336" s="17">
        <f>ROUNDUP((T5336+U5336+2*'Read Me'!$B$13)*(1+'Read Me'!$B$12),-1)</f>
        <v/>
      </c>
      <c r="W5336" s="17">
        <f>V5336*N5336*O5336</f>
        <v/>
      </c>
      <c r="X5336" s="12">
        <f>IF(LEFT(I5336,2)="MV",2*N5336*IF(L5336="1/C",O5336,1),0)</f>
        <v/>
      </c>
      <c r="Y5336" s="12">
        <f>IF(OR(LEFT(K5336,4)="LVAX",LEFT(K5336,6)="MV15AX",LEFT(K5336,4)="CTAX",LEFT(K5336,2)="W|"),2*N5336*O5336,0)</f>
        <v/>
      </c>
      <c r="Z5336" s="12" t="inlineStr">
        <is>
          <t>VD 2.7 %</t>
        </is>
      </c>
      <c r="AA5336" s="12">
        <f>N5336*O5336</f>
        <v/>
      </c>
    </row>
    <row r="5337">
      <c r="A5337" s="12" t="inlineStr">
        <is>
          <t>I-P-0081</t>
        </is>
      </c>
      <c r="B5337" s="12" t="inlineStr">
        <is>
          <t>I</t>
        </is>
      </c>
      <c r="C5337" s="12" t="inlineStr">
        <is>
          <t>Modular / portable power</t>
        </is>
      </c>
      <c r="D5337" s="12" t="inlineStr">
        <is>
          <t>GB-3.1 480 V generator leads to GBS-3</t>
        </is>
      </c>
      <c r="E5337" s="12" t="inlineStr">
        <is>
          <t>GB-3.1</t>
        </is>
      </c>
      <c r="F5337" s="12" t="inlineStr">
        <is>
          <t>GB-3.1: modular gas genset ~450 kW, 480 V (block 3)</t>
        </is>
      </c>
      <c r="G5337" s="12" t="inlineStr">
        <is>
          <t>GBS-3</t>
        </is>
      </c>
      <c r="H5337" s="12" t="inlineStr">
        <is>
          <t>GBS-3: block 3 480 V paralleling switchgear (4 gensets)</t>
        </is>
      </c>
      <c r="I5337" s="12" t="inlineStr">
        <is>
          <t>LV 600 V</t>
        </is>
      </c>
      <c r="J5337" s="12" t="inlineStr">
        <is>
          <t>XHHW-2 600 V 1/C Cu (feeder sets in tray / duct)</t>
        </is>
      </c>
      <c r="K5337" s="12" t="inlineStr">
        <is>
          <t>LV1C|1/C|500</t>
        </is>
      </c>
      <c r="L5337" s="12" t="inlineStr">
        <is>
          <t>1/C</t>
        </is>
      </c>
      <c r="M5337" s="12" t="inlineStr">
        <is>
          <t>500 kcmil</t>
        </is>
      </c>
      <c r="N5337" s="12" t="n">
        <v>2</v>
      </c>
      <c r="O5337" s="12" t="n">
        <v>4</v>
      </c>
      <c r="P5337" s="12" t="n">
        <v>480</v>
      </c>
      <c r="Q5337" s="12" t="n">
        <v>450</v>
      </c>
      <c r="R5337" s="12" t="n">
        <v>677</v>
      </c>
      <c r="S5337" s="12" t="inlineStr">
        <is>
          <t>Riser</t>
        </is>
      </c>
      <c r="T5337" s="17" t="n">
        <v>3</v>
      </c>
      <c r="U5337" s="17" t="n">
        <v>30</v>
      </c>
      <c r="V5337" s="17">
        <f>ROUNDUP((T5337+U5337+2*'Read Me'!$B$13)*(1+'Read Me'!$B$12),-1)</f>
        <v/>
      </c>
      <c r="W5337" s="17">
        <f>V5337*N5337*O5337</f>
        <v/>
      </c>
      <c r="X5337" s="12">
        <f>IF(LEFT(I5337,2)="MV",2*N5337*IF(L5337="1/C",O5337,1),0)</f>
        <v/>
      </c>
      <c r="Y5337" s="12">
        <f>IF(OR(LEFT(K5337,4)="LVAX",LEFT(K5337,6)="MV15AX",LEFT(K5337,4)="CTAX",LEFT(K5337,2)="W|"),2*N5337*O5337,0)</f>
        <v/>
      </c>
      <c r="Z5337" s="12" t="inlineStr">
        <is>
          <t>2 sets of 3 x 500 kcmil + ground</t>
        </is>
      </c>
      <c r="AA5337" s="12">
        <f>N5337*O5337</f>
        <v/>
      </c>
    </row>
    <row r="5338">
      <c r="A5338" s="12" t="inlineStr">
        <is>
          <t>I-P-0082</t>
        </is>
      </c>
      <c r="B5338" s="12" t="inlineStr">
        <is>
          <t>I</t>
        </is>
      </c>
      <c r="C5338" s="12" t="inlineStr">
        <is>
          <t>Modular / portable power</t>
        </is>
      </c>
      <c r="D5338" s="12" t="inlineStr">
        <is>
          <t>GB-3.2 480 V generator leads to GBS-3</t>
        </is>
      </c>
      <c r="E5338" s="12" t="inlineStr">
        <is>
          <t>GB-3.2</t>
        </is>
      </c>
      <c r="F5338" s="12" t="inlineStr">
        <is>
          <t>GB-3.2: modular gas genset ~450 kW, 480 V (block 3)</t>
        </is>
      </c>
      <c r="G5338" s="12" t="inlineStr">
        <is>
          <t>GBS-3</t>
        </is>
      </c>
      <c r="H5338" s="12" t="inlineStr">
        <is>
          <t>GBS-3: block 3 480 V paralleling switchgear (4 gensets)</t>
        </is>
      </c>
      <c r="I5338" s="12" t="inlineStr">
        <is>
          <t>LV 600 V</t>
        </is>
      </c>
      <c r="J5338" s="12" t="inlineStr">
        <is>
          <t>XHHW-2 600 V 1/C Cu (feeder sets in tray / duct)</t>
        </is>
      </c>
      <c r="K5338" s="12" t="inlineStr">
        <is>
          <t>LV1C|1/C|500</t>
        </is>
      </c>
      <c r="L5338" s="12" t="inlineStr">
        <is>
          <t>1/C</t>
        </is>
      </c>
      <c r="M5338" s="12" t="inlineStr">
        <is>
          <t>500 kcmil</t>
        </is>
      </c>
      <c r="N5338" s="12" t="n">
        <v>2</v>
      </c>
      <c r="O5338" s="12" t="n">
        <v>4</v>
      </c>
      <c r="P5338" s="12" t="n">
        <v>480</v>
      </c>
      <c r="Q5338" s="12" t="n">
        <v>450</v>
      </c>
      <c r="R5338" s="12" t="n">
        <v>677</v>
      </c>
      <c r="S5338" s="12" t="inlineStr">
        <is>
          <t>Riser</t>
        </is>
      </c>
      <c r="T5338" s="17" t="n">
        <v>7</v>
      </c>
      <c r="U5338" s="17" t="n">
        <v>27</v>
      </c>
      <c r="V5338" s="17">
        <f>ROUNDUP((T5338+U5338+2*'Read Me'!$B$13)*(1+'Read Me'!$B$12),-1)</f>
        <v/>
      </c>
      <c r="W5338" s="17">
        <f>V5338*N5338*O5338</f>
        <v/>
      </c>
      <c r="X5338" s="12">
        <f>IF(LEFT(I5338,2)="MV",2*N5338*IF(L5338="1/C",O5338,1),0)</f>
        <v/>
      </c>
      <c r="Y5338" s="12">
        <f>IF(OR(LEFT(K5338,4)="LVAX",LEFT(K5338,6)="MV15AX",LEFT(K5338,4)="CTAX",LEFT(K5338,2)="W|"),2*N5338*O5338,0)</f>
        <v/>
      </c>
      <c r="Z5338" s="12" t="inlineStr">
        <is>
          <t>2 sets of 3 x 500 kcmil + ground</t>
        </is>
      </c>
      <c r="AA5338" s="12">
        <f>N5338*O5338</f>
        <v/>
      </c>
    </row>
    <row r="5339">
      <c r="A5339" s="12" t="inlineStr">
        <is>
          <t>I-P-0083</t>
        </is>
      </c>
      <c r="B5339" s="12" t="inlineStr">
        <is>
          <t>I</t>
        </is>
      </c>
      <c r="C5339" s="12" t="inlineStr">
        <is>
          <t>Modular / portable power</t>
        </is>
      </c>
      <c r="D5339" s="12" t="inlineStr">
        <is>
          <t>GB-3.3 480 V generator leads to GBS-3</t>
        </is>
      </c>
      <c r="E5339" s="12" t="inlineStr">
        <is>
          <t>GB-3.3</t>
        </is>
      </c>
      <c r="F5339" s="12" t="inlineStr">
        <is>
          <t>GB-3.3: modular gas genset ~450 kW, 480 V (block 3)</t>
        </is>
      </c>
      <c r="G5339" s="12" t="inlineStr">
        <is>
          <t>GBS-3</t>
        </is>
      </c>
      <c r="H5339" s="12" t="inlineStr">
        <is>
          <t>GBS-3: block 3 480 V paralleling switchgear (4 gensets)</t>
        </is>
      </c>
      <c r="I5339" s="12" t="inlineStr">
        <is>
          <t>LV 600 V</t>
        </is>
      </c>
      <c r="J5339" s="12" t="inlineStr">
        <is>
          <t>XHHW-2 600 V 1/C Cu (feeder sets in tray / duct)</t>
        </is>
      </c>
      <c r="K5339" s="12" t="inlineStr">
        <is>
          <t>LV1C|1/C|500</t>
        </is>
      </c>
      <c r="L5339" s="12" t="inlineStr">
        <is>
          <t>1/C</t>
        </is>
      </c>
      <c r="M5339" s="12" t="inlineStr">
        <is>
          <t>500 kcmil</t>
        </is>
      </c>
      <c r="N5339" s="12" t="n">
        <v>2</v>
      </c>
      <c r="O5339" s="12" t="n">
        <v>4</v>
      </c>
      <c r="P5339" s="12" t="n">
        <v>480</v>
      </c>
      <c r="Q5339" s="12" t="n">
        <v>450</v>
      </c>
      <c r="R5339" s="12" t="n">
        <v>677</v>
      </c>
      <c r="S5339" s="12" t="inlineStr">
        <is>
          <t>Surface</t>
        </is>
      </c>
      <c r="T5339" s="17" t="n">
        <v>15</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is>
          <t>2 sets of 3 x 500 kcmil + ground</t>
        </is>
      </c>
      <c r="AA5339" s="12">
        <f>N5339*O5339</f>
        <v/>
      </c>
    </row>
    <row r="5340">
      <c r="A5340" s="12" t="inlineStr">
        <is>
          <t>I-P-0084</t>
        </is>
      </c>
      <c r="B5340" s="12" t="inlineStr">
        <is>
          <t>I</t>
        </is>
      </c>
      <c r="C5340" s="12" t="inlineStr">
        <is>
          <t>Modular / portable power</t>
        </is>
      </c>
      <c r="D5340" s="12" t="inlineStr">
        <is>
          <t>GB-3.4 480 V generator leads to GBS-3</t>
        </is>
      </c>
      <c r="E5340" s="12" t="inlineStr">
        <is>
          <t>GB-3.4</t>
        </is>
      </c>
      <c r="F5340" s="12" t="inlineStr">
        <is>
          <t>GB-3.4: modular gas genset ~450 kW, 480 V (block 3)</t>
        </is>
      </c>
      <c r="G5340" s="12" t="inlineStr">
        <is>
          <t>GBS-3</t>
        </is>
      </c>
      <c r="H5340" s="12" t="inlineStr">
        <is>
          <t>GBS-3: block 3 480 V paralleling switchgear (4 gensets)</t>
        </is>
      </c>
      <c r="I5340" s="12" t="inlineStr">
        <is>
          <t>LV 600 V</t>
        </is>
      </c>
      <c r="J5340" s="12" t="inlineStr">
        <is>
          <t>XHHW-2 600 V 1/C Cu (feeder sets in tray / duct)</t>
        </is>
      </c>
      <c r="K5340" s="12" t="inlineStr">
        <is>
          <t>LV1C|1/C|500</t>
        </is>
      </c>
      <c r="L5340" s="12" t="inlineStr">
        <is>
          <t>1/C</t>
        </is>
      </c>
      <c r="M5340" s="12" t="inlineStr">
        <is>
          <t>500 kcmil</t>
        </is>
      </c>
      <c r="N5340" s="12" t="n">
        <v>2</v>
      </c>
      <c r="O5340" s="12" t="n">
        <v>4</v>
      </c>
      <c r="P5340" s="12" t="n">
        <v>480</v>
      </c>
      <c r="Q5340" s="12" t="n">
        <v>450</v>
      </c>
      <c r="R5340" s="12" t="n">
        <v>677</v>
      </c>
      <c r="S5340" s="12" t="inlineStr">
        <is>
          <t>Surface</t>
        </is>
      </c>
      <c r="T5340" s="17" t="n">
        <v>22</v>
      </c>
      <c r="U5340" s="17" t="n">
        <v>32</v>
      </c>
      <c r="V5340" s="17">
        <f>ROUNDUP((T5340+U5340+2*'Read Me'!$B$13)*(1+'Read Me'!$B$12),-1)</f>
        <v/>
      </c>
      <c r="W5340" s="17">
        <f>V5340*N5340*O5340</f>
        <v/>
      </c>
      <c r="X5340" s="12">
        <f>IF(LEFT(I5340,2)="MV",2*N5340*IF(L5340="1/C",O5340,1),0)</f>
        <v/>
      </c>
      <c r="Y5340" s="12">
        <f>IF(OR(LEFT(K5340,4)="LVAX",LEFT(K5340,6)="MV15AX",LEFT(K5340,4)="CTAX",LEFT(K5340,2)="W|"),2*N5340*O5340,0)</f>
        <v/>
      </c>
      <c r="Z5340" s="12" t="inlineStr">
        <is>
          <t>2 sets of 3 x 500 kcmil + ground</t>
        </is>
      </c>
      <c r="AA5340" s="12">
        <f>N5340*O5340</f>
        <v/>
      </c>
    </row>
    <row r="5341">
      <c r="A5341" s="12" t="inlineStr">
        <is>
          <t>I-P-0085</t>
        </is>
      </c>
      <c r="B5341" s="12" t="inlineStr">
        <is>
          <t>I</t>
        </is>
      </c>
      <c r="C5341" s="12" t="inlineStr">
        <is>
          <t>Modular / portable power</t>
        </is>
      </c>
      <c r="D5341" s="12" t="inlineStr">
        <is>
          <t>LV power feeder</t>
        </is>
      </c>
      <c r="E5341" s="12" t="inlineStr">
        <is>
          <t>PAD-LV</t>
        </is>
      </c>
      <c r="F5341" s="12" t="inlineStr">
        <is>
          <t>PAD-LV 480 V paralleling switchboard</t>
        </is>
      </c>
      <c r="G5341" s="12" t="inlineStr">
        <is>
          <t>GBS-3</t>
        </is>
      </c>
      <c r="H5341" s="12" t="inlineStr">
        <is>
          <t>GBS-3: block 3 480 V paralleling switchgear (4 gensets)</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15</v>
      </c>
      <c r="R5341" s="12" t="n">
        <v>21.2</v>
      </c>
      <c r="S5341" s="12" t="inlineStr">
        <is>
          <t>Surface</t>
        </is>
      </c>
      <c r="T5341" s="17" t="n">
        <v>167</v>
      </c>
      <c r="U5341" s="17" t="n">
        <v>35</v>
      </c>
      <c r="V5341" s="17">
        <f>ROUNDUP((T5341+U5341+2*'Read Me'!$B$13)*(1+'Read Me'!$B$12),-1)</f>
        <v/>
      </c>
      <c r="W5341" s="17">
        <f>V5341*N5341*O5341</f>
        <v/>
      </c>
      <c r="X5341" s="12">
        <f>IF(LEFT(I5341,2)="MV",2*N5341*IF(L5341="1/C",O5341,1),0)</f>
        <v/>
      </c>
      <c r="Y5341" s="12">
        <f>IF(OR(LEFT(K5341,4)="LVAX",LEFT(K5341,6)="MV15AX",LEFT(K5341,4)="CTAX",LEFT(K5341,2)="W|"),2*N5341*O5341,0)</f>
        <v/>
      </c>
      <c r="Z5341" s="12" t="inlineStr">
        <is>
          <t>VD 2.1 %</t>
        </is>
      </c>
      <c r="AA5341" s="12">
        <f>N5341*O5341</f>
        <v/>
      </c>
    </row>
    <row r="5342">
      <c r="A5342" s="12" t="inlineStr">
        <is>
          <t>I-P-0086</t>
        </is>
      </c>
      <c r="B5342" s="12" t="inlineStr">
        <is>
          <t>I</t>
        </is>
      </c>
      <c r="C5342" s="12" t="inlineStr">
        <is>
          <t>Modular / portable power</t>
        </is>
      </c>
      <c r="D5342" s="12" t="inlineStr">
        <is>
          <t>GB-4.1 480 V generator leads to GBS-4</t>
        </is>
      </c>
      <c r="E5342" s="12" t="inlineStr">
        <is>
          <t>GB-4.1</t>
        </is>
      </c>
      <c r="F5342" s="12" t="inlineStr">
        <is>
          <t>GB-4.1: modular gas genset ~450 kW, 480 V (block 4)</t>
        </is>
      </c>
      <c r="G5342" s="12" t="inlineStr">
        <is>
          <t>GBS-4</t>
        </is>
      </c>
      <c r="H5342" s="12" t="inlineStr">
        <is>
          <t>GBS-4: block 4 480 V paralleling switchgear (4 gensets)</t>
        </is>
      </c>
      <c r="I5342" s="12" t="inlineStr">
        <is>
          <t>LV 600 V</t>
        </is>
      </c>
      <c r="J5342" s="12" t="inlineStr">
        <is>
          <t>XHHW-2 600 V 1/C Cu (feeder sets in tray / duct)</t>
        </is>
      </c>
      <c r="K5342" s="12" t="inlineStr">
        <is>
          <t>LV1C|1/C|500</t>
        </is>
      </c>
      <c r="L5342" s="12" t="inlineStr">
        <is>
          <t>1/C</t>
        </is>
      </c>
      <c r="M5342" s="12" t="inlineStr">
        <is>
          <t>500 kcmil</t>
        </is>
      </c>
      <c r="N5342" s="12" t="n">
        <v>2</v>
      </c>
      <c r="O5342" s="12" t="n">
        <v>4</v>
      </c>
      <c r="P5342" s="12" t="n">
        <v>480</v>
      </c>
      <c r="Q5342" s="12" t="n">
        <v>450</v>
      </c>
      <c r="R5342" s="12" t="n">
        <v>677</v>
      </c>
      <c r="S5342" s="12" t="inlineStr">
        <is>
          <t>Riser</t>
        </is>
      </c>
      <c r="T5342" s="17" t="n">
        <v>3</v>
      </c>
      <c r="U5342" s="17" t="n">
        <v>30</v>
      </c>
      <c r="V5342" s="17">
        <f>ROUNDUP((T5342+U5342+2*'Read Me'!$B$13)*(1+'Read Me'!$B$12),-1)</f>
        <v/>
      </c>
      <c r="W5342" s="17">
        <f>V5342*N5342*O5342</f>
        <v/>
      </c>
      <c r="X5342" s="12">
        <f>IF(LEFT(I5342,2)="MV",2*N5342*IF(L5342="1/C",O5342,1),0)</f>
        <v/>
      </c>
      <c r="Y5342" s="12">
        <f>IF(OR(LEFT(K5342,4)="LVAX",LEFT(K5342,6)="MV15AX",LEFT(K5342,4)="CTAX",LEFT(K5342,2)="W|"),2*N5342*O5342,0)</f>
        <v/>
      </c>
      <c r="Z5342" s="12" t="inlineStr">
        <is>
          <t>2 sets of 3 x 500 kcmil + ground</t>
        </is>
      </c>
      <c r="AA5342" s="12">
        <f>N5342*O5342</f>
        <v/>
      </c>
    </row>
    <row r="5343">
      <c r="A5343" s="12" t="inlineStr">
        <is>
          <t>I-P-0087</t>
        </is>
      </c>
      <c r="B5343" s="12" t="inlineStr">
        <is>
          <t>I</t>
        </is>
      </c>
      <c r="C5343" s="12" t="inlineStr">
        <is>
          <t>Modular / portable power</t>
        </is>
      </c>
      <c r="D5343" s="12" t="inlineStr">
        <is>
          <t>GB-4.2 480 V generator leads to GBS-4</t>
        </is>
      </c>
      <c r="E5343" s="12" t="inlineStr">
        <is>
          <t>GB-4.2</t>
        </is>
      </c>
      <c r="F5343" s="12" t="inlineStr">
        <is>
          <t>GB-4.2: modular gas genset ~450 kW, 480 V (block 4)</t>
        </is>
      </c>
      <c r="G5343" s="12" t="inlineStr">
        <is>
          <t>GBS-4</t>
        </is>
      </c>
      <c r="H5343" s="12" t="inlineStr">
        <is>
          <t>GBS-4: block 4 480 V paralleling switchgear (4 gensets)</t>
        </is>
      </c>
      <c r="I5343" s="12" t="inlineStr">
        <is>
          <t>LV 600 V</t>
        </is>
      </c>
      <c r="J5343" s="12" t="inlineStr">
        <is>
          <t>XHHW-2 600 V 1/C Cu (feeder sets in tray / duct)</t>
        </is>
      </c>
      <c r="K5343" s="12" t="inlineStr">
        <is>
          <t>LV1C|1/C|500</t>
        </is>
      </c>
      <c r="L5343" s="12" t="inlineStr">
        <is>
          <t>1/C</t>
        </is>
      </c>
      <c r="M5343" s="12" t="inlineStr">
        <is>
          <t>500 kcmil</t>
        </is>
      </c>
      <c r="N5343" s="12" t="n">
        <v>2</v>
      </c>
      <c r="O5343" s="12" t="n">
        <v>4</v>
      </c>
      <c r="P5343" s="12" t="n">
        <v>480</v>
      </c>
      <c r="Q5343" s="12" t="n">
        <v>450</v>
      </c>
      <c r="R5343" s="12" t="n">
        <v>677</v>
      </c>
      <c r="S5343" s="12" t="inlineStr">
        <is>
          <t>Riser</t>
        </is>
      </c>
      <c r="T5343" s="17" t="n">
        <v>7</v>
      </c>
      <c r="U5343" s="17" t="n">
        <v>27</v>
      </c>
      <c r="V5343" s="17">
        <f>ROUNDUP((T5343+U5343+2*'Read Me'!$B$13)*(1+'Read Me'!$B$12),-1)</f>
        <v/>
      </c>
      <c r="W5343" s="17">
        <f>V5343*N5343*O5343</f>
        <v/>
      </c>
      <c r="X5343" s="12">
        <f>IF(LEFT(I5343,2)="MV",2*N5343*IF(L5343="1/C",O5343,1),0)</f>
        <v/>
      </c>
      <c r="Y5343" s="12">
        <f>IF(OR(LEFT(K5343,4)="LVAX",LEFT(K5343,6)="MV15AX",LEFT(K5343,4)="CTAX",LEFT(K5343,2)="W|"),2*N5343*O5343,0)</f>
        <v/>
      </c>
      <c r="Z5343" s="12" t="inlineStr">
        <is>
          <t>2 sets of 3 x 500 kcmil + ground</t>
        </is>
      </c>
      <c r="AA5343" s="12">
        <f>N5343*O5343</f>
        <v/>
      </c>
    </row>
    <row r="5344">
      <c r="A5344" s="12" t="inlineStr">
        <is>
          <t>I-P-0088</t>
        </is>
      </c>
      <c r="B5344" s="12" t="inlineStr">
        <is>
          <t>I</t>
        </is>
      </c>
      <c r="C5344" s="12" t="inlineStr">
        <is>
          <t>Modular / portable power</t>
        </is>
      </c>
      <c r="D5344" s="12" t="inlineStr">
        <is>
          <t>GB-4.3 480 V generator leads to GBS-4</t>
        </is>
      </c>
      <c r="E5344" s="12" t="inlineStr">
        <is>
          <t>GB-4.3</t>
        </is>
      </c>
      <c r="F5344" s="12" t="inlineStr">
        <is>
          <t>GB-4.3: modular gas genset ~450 kW, 480 V (block 4)</t>
        </is>
      </c>
      <c r="G5344" s="12" t="inlineStr">
        <is>
          <t>GBS-4</t>
        </is>
      </c>
      <c r="H5344" s="12" t="inlineStr">
        <is>
          <t>GBS-4: block 4 480 V paralleling switchgear (4 gensets)</t>
        </is>
      </c>
      <c r="I5344" s="12" t="inlineStr">
        <is>
          <t>LV 600 V</t>
        </is>
      </c>
      <c r="J5344" s="12" t="inlineStr">
        <is>
          <t>XHHW-2 600 V 1/C Cu (feeder sets in tray / duct)</t>
        </is>
      </c>
      <c r="K5344" s="12" t="inlineStr">
        <is>
          <t>LV1C|1/C|500</t>
        </is>
      </c>
      <c r="L5344" s="12" t="inlineStr">
        <is>
          <t>1/C</t>
        </is>
      </c>
      <c r="M5344" s="12" t="inlineStr">
        <is>
          <t>500 kcmil</t>
        </is>
      </c>
      <c r="N5344" s="12" t="n">
        <v>2</v>
      </c>
      <c r="O5344" s="12" t="n">
        <v>4</v>
      </c>
      <c r="P5344" s="12" t="n">
        <v>480</v>
      </c>
      <c r="Q5344" s="12" t="n">
        <v>450</v>
      </c>
      <c r="R5344" s="12" t="n">
        <v>677</v>
      </c>
      <c r="S5344" s="12" t="inlineStr">
        <is>
          <t>Surface</t>
        </is>
      </c>
      <c r="T5344" s="17" t="n">
        <v>15</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is>
          <t>2 sets of 3 x 500 kcmil + ground</t>
        </is>
      </c>
      <c r="AA5344" s="12">
        <f>N5344*O5344</f>
        <v/>
      </c>
    </row>
    <row r="5345">
      <c r="A5345" s="12" t="inlineStr">
        <is>
          <t>I-P-0089</t>
        </is>
      </c>
      <c r="B5345" s="12" t="inlineStr">
        <is>
          <t>I</t>
        </is>
      </c>
      <c r="C5345" s="12" t="inlineStr">
        <is>
          <t>Modular / portable power</t>
        </is>
      </c>
      <c r="D5345" s="12" t="inlineStr">
        <is>
          <t>GB-4.4 480 V generator leads to GBS-4</t>
        </is>
      </c>
      <c r="E5345" s="12" t="inlineStr">
        <is>
          <t>GB-4.4</t>
        </is>
      </c>
      <c r="F5345" s="12" t="inlineStr">
        <is>
          <t>GB-4.4: modular gas genset ~450 kW, 480 V (block 4)</t>
        </is>
      </c>
      <c r="G5345" s="12" t="inlineStr">
        <is>
          <t>GBS-4</t>
        </is>
      </c>
      <c r="H5345" s="12" t="inlineStr">
        <is>
          <t>GBS-4: block 4 480 V paralleling switchgear (4 gensets)</t>
        </is>
      </c>
      <c r="I5345" s="12" t="inlineStr">
        <is>
          <t>LV 600 V</t>
        </is>
      </c>
      <c r="J5345" s="12" t="inlineStr">
        <is>
          <t>XHHW-2 600 V 1/C Cu (feeder sets in tray / duct)</t>
        </is>
      </c>
      <c r="K5345" s="12" t="inlineStr">
        <is>
          <t>LV1C|1/C|500</t>
        </is>
      </c>
      <c r="L5345" s="12" t="inlineStr">
        <is>
          <t>1/C</t>
        </is>
      </c>
      <c r="M5345" s="12" t="inlineStr">
        <is>
          <t>500 kcmil</t>
        </is>
      </c>
      <c r="N5345" s="12" t="n">
        <v>2</v>
      </c>
      <c r="O5345" s="12" t="n">
        <v>4</v>
      </c>
      <c r="P5345" s="12" t="n">
        <v>480</v>
      </c>
      <c r="Q5345" s="12" t="n">
        <v>450</v>
      </c>
      <c r="R5345" s="12" t="n">
        <v>677</v>
      </c>
      <c r="S5345" s="12" t="inlineStr">
        <is>
          <t>Surface</t>
        </is>
      </c>
      <c r="T5345" s="17" t="n">
        <v>22</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is>
          <t>2 sets of 3 x 500 kcmil + ground</t>
        </is>
      </c>
      <c r="AA5345" s="12">
        <f>N5345*O5345</f>
        <v/>
      </c>
    </row>
    <row r="5346">
      <c r="A5346" s="12" t="inlineStr">
        <is>
          <t>I-P-0090</t>
        </is>
      </c>
      <c r="B5346" s="12" t="inlineStr">
        <is>
          <t>I</t>
        </is>
      </c>
      <c r="C5346" s="12" t="inlineStr">
        <is>
          <t>Modular / portable power</t>
        </is>
      </c>
      <c r="D5346" s="12" t="inlineStr">
        <is>
          <t>LV power feeder</t>
        </is>
      </c>
      <c r="E5346" s="12" t="inlineStr">
        <is>
          <t>PAD-LV</t>
        </is>
      </c>
      <c r="F5346" s="12" t="inlineStr">
        <is>
          <t>PAD-LV 480 V paralleling switchboard</t>
        </is>
      </c>
      <c r="G5346" s="12" t="inlineStr">
        <is>
          <t>GBS-4</t>
        </is>
      </c>
      <c r="H5346" s="12" t="inlineStr">
        <is>
          <t>GBS-4: block 4 480 V paralleling switchgear (4 gensets)</t>
        </is>
      </c>
      <c r="I5346" s="12" t="inlineStr">
        <is>
          <t>LV 600 V</t>
        </is>
      </c>
      <c r="J5346" s="12" t="inlineStr">
        <is>
          <t>Type TC-ER 600 V 3/C Cu XHHW-2 + ground, PVC jacket</t>
        </is>
      </c>
      <c r="K5346" s="12" t="inlineStr">
        <is>
          <t>LV|3/C+G|8</t>
        </is>
      </c>
      <c r="L5346" s="12" t="inlineStr">
        <is>
          <t>3/C+G</t>
        </is>
      </c>
      <c r="M5346" s="12" t="inlineStr">
        <is>
          <t>8</t>
        </is>
      </c>
      <c r="N5346" s="12" t="n">
        <v>1</v>
      </c>
      <c r="O5346" s="12" t="n">
        <v>1</v>
      </c>
      <c r="P5346" s="12" t="n">
        <v>480</v>
      </c>
      <c r="Q5346" s="12" t="n">
        <v>15</v>
      </c>
      <c r="R5346" s="12" t="n">
        <v>21.2</v>
      </c>
      <c r="S5346" s="12" t="inlineStr">
        <is>
          <t>Surface</t>
        </is>
      </c>
      <c r="T5346" s="17" t="n">
        <v>268</v>
      </c>
      <c r="U5346" s="17" t="n">
        <v>41</v>
      </c>
      <c r="V5346" s="17">
        <f>ROUNDUP((T5346+U5346+2*'Read Me'!$B$13)*(1+'Read Me'!$B$12),-1)</f>
        <v/>
      </c>
      <c r="W5346" s="17">
        <f>V5346*N5346*O5346</f>
        <v/>
      </c>
      <c r="X5346" s="12">
        <f>IF(LEFT(I5346,2)="MV",2*N5346*IF(L5346="1/C",O5346,1),0)</f>
        <v/>
      </c>
      <c r="Y5346" s="12">
        <f>IF(OR(LEFT(K5346,4)="LVAX",LEFT(K5346,6)="MV15AX",LEFT(K5346,4)="CTAX",LEFT(K5346,2)="W|"),2*N5346*O5346,0)</f>
        <v/>
      </c>
      <c r="Z5346" s="12" t="inlineStr">
        <is>
          <t>VD 2.0 %</t>
        </is>
      </c>
      <c r="AA5346" s="12">
        <f>N5346*O5346</f>
        <v/>
      </c>
    </row>
    <row r="5347">
      <c r="A5347" s="12" t="inlineStr">
        <is>
          <t>I-P-0091</t>
        </is>
      </c>
      <c r="B5347" s="12" t="inlineStr">
        <is>
          <t>I</t>
        </is>
      </c>
      <c r="C5347" s="12" t="inlineStr">
        <is>
          <t>Modular / portable power</t>
        </is>
      </c>
      <c r="D5347" s="12" t="inlineStr">
        <is>
          <t>GB-5.1 480 V generator leads to GBS-5</t>
        </is>
      </c>
      <c r="E5347" s="12" t="inlineStr">
        <is>
          <t>GB-5.1</t>
        </is>
      </c>
      <c r="F5347" s="12" t="inlineStr">
        <is>
          <t>GB-5.1: modular gas genset ~450 kW, 480 V (block 5)</t>
        </is>
      </c>
      <c r="G5347" s="12" t="inlineStr">
        <is>
          <t>GBS-5</t>
        </is>
      </c>
      <c r="H5347" s="12" t="inlineStr">
        <is>
          <t>GBS-5: block 5 480 V paralleling switchgear (4 gensets)</t>
        </is>
      </c>
      <c r="I5347" s="12" t="inlineStr">
        <is>
          <t>LV 600 V</t>
        </is>
      </c>
      <c r="J5347" s="12" t="inlineStr">
        <is>
          <t>XHHW-2 600 V 1/C Cu (feeder sets in tray / duct)</t>
        </is>
      </c>
      <c r="K5347" s="12" t="inlineStr">
        <is>
          <t>LV1C|1/C|500</t>
        </is>
      </c>
      <c r="L5347" s="12" t="inlineStr">
        <is>
          <t>1/C</t>
        </is>
      </c>
      <c r="M5347" s="12" t="inlineStr">
        <is>
          <t>500 kcmil</t>
        </is>
      </c>
      <c r="N5347" s="12" t="n">
        <v>2</v>
      </c>
      <c r="O5347" s="12" t="n">
        <v>4</v>
      </c>
      <c r="P5347" s="12" t="n">
        <v>480</v>
      </c>
      <c r="Q5347" s="12" t="n">
        <v>450</v>
      </c>
      <c r="R5347" s="12" t="n">
        <v>677</v>
      </c>
      <c r="S5347" s="12" t="inlineStr">
        <is>
          <t>Riser</t>
        </is>
      </c>
      <c r="T5347" s="17" t="n">
        <v>3</v>
      </c>
      <c r="U5347" s="17" t="n">
        <v>30</v>
      </c>
      <c r="V5347" s="17">
        <f>ROUNDUP((T5347+U5347+2*'Read Me'!$B$13)*(1+'Read Me'!$B$12),-1)</f>
        <v/>
      </c>
      <c r="W5347" s="17">
        <f>V5347*N5347*O5347</f>
        <v/>
      </c>
      <c r="X5347" s="12">
        <f>IF(LEFT(I5347,2)="MV",2*N5347*IF(L5347="1/C",O5347,1),0)</f>
        <v/>
      </c>
      <c r="Y5347" s="12">
        <f>IF(OR(LEFT(K5347,4)="LVAX",LEFT(K5347,6)="MV15AX",LEFT(K5347,4)="CTAX",LEFT(K5347,2)="W|"),2*N5347*O5347,0)</f>
        <v/>
      </c>
      <c r="Z5347" s="12" t="inlineStr">
        <is>
          <t>2 sets of 3 x 500 kcmil + ground</t>
        </is>
      </c>
      <c r="AA5347" s="12">
        <f>N5347*O5347</f>
        <v/>
      </c>
    </row>
    <row r="5348">
      <c r="A5348" s="12" t="inlineStr">
        <is>
          <t>I-P-0092</t>
        </is>
      </c>
      <c r="B5348" s="12" t="inlineStr">
        <is>
          <t>I</t>
        </is>
      </c>
      <c r="C5348" s="12" t="inlineStr">
        <is>
          <t>Modular / portable power</t>
        </is>
      </c>
      <c r="D5348" s="12" t="inlineStr">
        <is>
          <t>GB-5.2 480 V generator leads to GBS-5</t>
        </is>
      </c>
      <c r="E5348" s="12" t="inlineStr">
        <is>
          <t>GB-5.2</t>
        </is>
      </c>
      <c r="F5348" s="12" t="inlineStr">
        <is>
          <t>GB-5.2: modular gas genset ~450 kW, 480 V (block 5)</t>
        </is>
      </c>
      <c r="G5348" s="12" t="inlineStr">
        <is>
          <t>GBS-5</t>
        </is>
      </c>
      <c r="H5348" s="12" t="inlineStr">
        <is>
          <t>GBS-5: block 5 480 V paralleling switchgear (4 gensets)</t>
        </is>
      </c>
      <c r="I5348" s="12" t="inlineStr">
        <is>
          <t>LV 600 V</t>
        </is>
      </c>
      <c r="J5348" s="12" t="inlineStr">
        <is>
          <t>XHHW-2 600 V 1/C Cu (feeder sets in tray / duct)</t>
        </is>
      </c>
      <c r="K5348" s="12" t="inlineStr">
        <is>
          <t>LV1C|1/C|500</t>
        </is>
      </c>
      <c r="L5348" s="12" t="inlineStr">
        <is>
          <t>1/C</t>
        </is>
      </c>
      <c r="M5348" s="12" t="inlineStr">
        <is>
          <t>500 kcmil</t>
        </is>
      </c>
      <c r="N5348" s="12" t="n">
        <v>2</v>
      </c>
      <c r="O5348" s="12" t="n">
        <v>4</v>
      </c>
      <c r="P5348" s="12" t="n">
        <v>480</v>
      </c>
      <c r="Q5348" s="12" t="n">
        <v>450</v>
      </c>
      <c r="R5348" s="12" t="n">
        <v>677</v>
      </c>
      <c r="S5348" s="12" t="inlineStr">
        <is>
          <t>Riser</t>
        </is>
      </c>
      <c r="T5348" s="17" t="n">
        <v>7</v>
      </c>
      <c r="U5348" s="17" t="n">
        <v>27</v>
      </c>
      <c r="V5348" s="17">
        <f>ROUNDUP((T5348+U5348+2*'Read Me'!$B$13)*(1+'Read Me'!$B$12),-1)</f>
        <v/>
      </c>
      <c r="W5348" s="17">
        <f>V5348*N5348*O5348</f>
        <v/>
      </c>
      <c r="X5348" s="12">
        <f>IF(LEFT(I5348,2)="MV",2*N5348*IF(L5348="1/C",O5348,1),0)</f>
        <v/>
      </c>
      <c r="Y5348" s="12">
        <f>IF(OR(LEFT(K5348,4)="LVAX",LEFT(K5348,6)="MV15AX",LEFT(K5348,4)="CTAX",LEFT(K5348,2)="W|"),2*N5348*O5348,0)</f>
        <v/>
      </c>
      <c r="Z5348" s="12" t="inlineStr">
        <is>
          <t>2 sets of 3 x 500 kcmil + ground</t>
        </is>
      </c>
      <c r="AA5348" s="12">
        <f>N5348*O5348</f>
        <v/>
      </c>
    </row>
    <row r="5349">
      <c r="A5349" s="12" t="inlineStr">
        <is>
          <t>I-P-0093</t>
        </is>
      </c>
      <c r="B5349" s="12" t="inlineStr">
        <is>
          <t>I</t>
        </is>
      </c>
      <c r="C5349" s="12" t="inlineStr">
        <is>
          <t>Modular / portable power</t>
        </is>
      </c>
      <c r="D5349" s="12" t="inlineStr">
        <is>
          <t>GB-5.3 480 V generator leads to GBS-5</t>
        </is>
      </c>
      <c r="E5349" s="12" t="inlineStr">
        <is>
          <t>GB-5.3</t>
        </is>
      </c>
      <c r="F5349" s="12" t="inlineStr">
        <is>
          <t>GB-5.3: modular gas genset ~450 kW, 480 V (block 5)</t>
        </is>
      </c>
      <c r="G5349" s="12" t="inlineStr">
        <is>
          <t>GBS-5</t>
        </is>
      </c>
      <c r="H5349" s="12" t="inlineStr">
        <is>
          <t>GBS-5: block 5 480 V paralleling switchgear (4 gensets)</t>
        </is>
      </c>
      <c r="I5349" s="12" t="inlineStr">
        <is>
          <t>LV 600 V</t>
        </is>
      </c>
      <c r="J5349" s="12" t="inlineStr">
        <is>
          <t>XHHW-2 600 V 1/C Cu (feeder sets in tray / duct)</t>
        </is>
      </c>
      <c r="K5349" s="12" t="inlineStr">
        <is>
          <t>LV1C|1/C|500</t>
        </is>
      </c>
      <c r="L5349" s="12" t="inlineStr">
        <is>
          <t>1/C</t>
        </is>
      </c>
      <c r="M5349" s="12" t="inlineStr">
        <is>
          <t>500 kcmil</t>
        </is>
      </c>
      <c r="N5349" s="12" t="n">
        <v>2</v>
      </c>
      <c r="O5349" s="12" t="n">
        <v>4</v>
      </c>
      <c r="P5349" s="12" t="n">
        <v>480</v>
      </c>
      <c r="Q5349" s="12" t="n">
        <v>450</v>
      </c>
      <c r="R5349" s="12" t="n">
        <v>677</v>
      </c>
      <c r="S5349" s="12" t="inlineStr">
        <is>
          <t>Surface</t>
        </is>
      </c>
      <c r="T5349" s="17" t="n">
        <v>15</v>
      </c>
      <c r="U5349" s="17" t="n">
        <v>32</v>
      </c>
      <c r="V5349" s="17">
        <f>ROUNDUP((T5349+U5349+2*'Read Me'!$B$13)*(1+'Read Me'!$B$12),-1)</f>
        <v/>
      </c>
      <c r="W5349" s="17">
        <f>V5349*N5349*O5349</f>
        <v/>
      </c>
      <c r="X5349" s="12">
        <f>IF(LEFT(I5349,2)="MV",2*N5349*IF(L5349="1/C",O5349,1),0)</f>
        <v/>
      </c>
      <c r="Y5349" s="12">
        <f>IF(OR(LEFT(K5349,4)="LVAX",LEFT(K5349,6)="MV15AX",LEFT(K5349,4)="CTAX",LEFT(K5349,2)="W|"),2*N5349*O5349,0)</f>
        <v/>
      </c>
      <c r="Z5349" s="12" t="inlineStr">
        <is>
          <t>2 sets of 3 x 500 kcmil + ground</t>
        </is>
      </c>
      <c r="AA5349" s="12">
        <f>N5349*O5349</f>
        <v/>
      </c>
    </row>
    <row r="5350">
      <c r="A5350" s="12" t="inlineStr">
        <is>
          <t>I-P-0094</t>
        </is>
      </c>
      <c r="B5350" s="12" t="inlineStr">
        <is>
          <t>I</t>
        </is>
      </c>
      <c r="C5350" s="12" t="inlineStr">
        <is>
          <t>Modular / portable power</t>
        </is>
      </c>
      <c r="D5350" s="12" t="inlineStr">
        <is>
          <t>GB-5.4 480 V generator leads to GBS-5</t>
        </is>
      </c>
      <c r="E5350" s="12" t="inlineStr">
        <is>
          <t>GB-5.4</t>
        </is>
      </c>
      <c r="F5350" s="12" t="inlineStr">
        <is>
          <t>GB-5.4: modular gas genset ~450 kW, 480 V (block 5)</t>
        </is>
      </c>
      <c r="G5350" s="12" t="inlineStr">
        <is>
          <t>GBS-5</t>
        </is>
      </c>
      <c r="H5350" s="12" t="inlineStr">
        <is>
          <t>GBS-5: block 5 480 V paralleling switchgear (4 gensets)</t>
        </is>
      </c>
      <c r="I5350" s="12" t="inlineStr">
        <is>
          <t>LV 600 V</t>
        </is>
      </c>
      <c r="J5350" s="12" t="inlineStr">
        <is>
          <t>XHHW-2 600 V 1/C Cu (feeder sets in tray / duct)</t>
        </is>
      </c>
      <c r="K5350" s="12" t="inlineStr">
        <is>
          <t>LV1C|1/C|500</t>
        </is>
      </c>
      <c r="L5350" s="12" t="inlineStr">
        <is>
          <t>1/C</t>
        </is>
      </c>
      <c r="M5350" s="12" t="inlineStr">
        <is>
          <t>500 kcmil</t>
        </is>
      </c>
      <c r="N5350" s="12" t="n">
        <v>2</v>
      </c>
      <c r="O5350" s="12" t="n">
        <v>4</v>
      </c>
      <c r="P5350" s="12" t="n">
        <v>480</v>
      </c>
      <c r="Q5350" s="12" t="n">
        <v>450</v>
      </c>
      <c r="R5350" s="12" t="n">
        <v>677</v>
      </c>
      <c r="S5350" s="12" t="inlineStr">
        <is>
          <t>Surface</t>
        </is>
      </c>
      <c r="T5350" s="17" t="n">
        <v>22</v>
      </c>
      <c r="U5350" s="17" t="n">
        <v>32</v>
      </c>
      <c r="V5350" s="17">
        <f>ROUNDUP((T5350+U5350+2*'Read Me'!$B$13)*(1+'Read Me'!$B$12),-1)</f>
        <v/>
      </c>
      <c r="W5350" s="17">
        <f>V5350*N5350*O5350</f>
        <v/>
      </c>
      <c r="X5350" s="12">
        <f>IF(LEFT(I5350,2)="MV",2*N5350*IF(L5350="1/C",O5350,1),0)</f>
        <v/>
      </c>
      <c r="Y5350" s="12">
        <f>IF(OR(LEFT(K5350,4)="LVAX",LEFT(K5350,6)="MV15AX",LEFT(K5350,4)="CTAX",LEFT(K5350,2)="W|"),2*N5350*O5350,0)</f>
        <v/>
      </c>
      <c r="Z5350" s="12" t="inlineStr">
        <is>
          <t>2 sets of 3 x 500 kcmil + ground</t>
        </is>
      </c>
      <c r="AA5350" s="12">
        <f>N5350*O5350</f>
        <v/>
      </c>
    </row>
    <row r="5351">
      <c r="A5351" s="12" t="inlineStr">
        <is>
          <t>I-P-0095</t>
        </is>
      </c>
      <c r="B5351" s="12" t="inlineStr">
        <is>
          <t>I</t>
        </is>
      </c>
      <c r="C5351" s="12" t="inlineStr">
        <is>
          <t>Modular / portable power</t>
        </is>
      </c>
      <c r="D5351" s="12" t="inlineStr">
        <is>
          <t>LV power feeder</t>
        </is>
      </c>
      <c r="E5351" s="12" t="inlineStr">
        <is>
          <t>PAD-LV</t>
        </is>
      </c>
      <c r="F5351" s="12" t="inlineStr">
        <is>
          <t>PAD-LV 480 V paralleling switchboard</t>
        </is>
      </c>
      <c r="G5351" s="12" t="inlineStr">
        <is>
          <t>GBS-5</t>
        </is>
      </c>
      <c r="H5351" s="12" t="inlineStr">
        <is>
          <t>GBS-5: block 5 480 V paralleling switchgear (4 gensets)</t>
        </is>
      </c>
      <c r="I5351" s="12" t="inlineStr">
        <is>
          <t>LV 600 V</t>
        </is>
      </c>
      <c r="J5351" s="12" t="inlineStr">
        <is>
          <t>Type TC-ER 600 V 3/C Cu XHHW-2 + ground, PVC jacket</t>
        </is>
      </c>
      <c r="K5351" s="12" t="inlineStr">
        <is>
          <t>LV|3/C+G|8</t>
        </is>
      </c>
      <c r="L5351" s="12" t="inlineStr">
        <is>
          <t>3/C+G</t>
        </is>
      </c>
      <c r="M5351" s="12" t="inlineStr">
        <is>
          <t>8</t>
        </is>
      </c>
      <c r="N5351" s="12" t="n">
        <v>1</v>
      </c>
      <c r="O5351" s="12" t="n">
        <v>1</v>
      </c>
      <c r="P5351" s="12" t="n">
        <v>480</v>
      </c>
      <c r="Q5351" s="12" t="n">
        <v>15</v>
      </c>
      <c r="R5351" s="12" t="n">
        <v>21.2</v>
      </c>
      <c r="S5351" s="12" t="inlineStr">
        <is>
          <t>Surface</t>
        </is>
      </c>
      <c r="T5351" s="17" t="n">
        <v>345</v>
      </c>
      <c r="U5351" s="17" t="n">
        <v>44</v>
      </c>
      <c r="V5351" s="17">
        <f>ROUNDUP((T5351+U5351+2*'Read Me'!$B$13)*(1+'Read Me'!$B$12),-1)</f>
        <v/>
      </c>
      <c r="W5351" s="17">
        <f>V5351*N5351*O5351</f>
        <v/>
      </c>
      <c r="X5351" s="12">
        <f>IF(LEFT(I5351,2)="MV",2*N5351*IF(L5351="1/C",O5351,1),0)</f>
        <v/>
      </c>
      <c r="Y5351" s="12">
        <f>IF(OR(LEFT(K5351,4)="LVAX",LEFT(K5351,6)="MV15AX",LEFT(K5351,4)="CTAX",LEFT(K5351,2)="W|"),2*N5351*O5351,0)</f>
        <v/>
      </c>
      <c r="Z5351" s="12" t="inlineStr">
        <is>
          <t>VD 2.5 %</t>
        </is>
      </c>
      <c r="AA5351" s="12">
        <f>N5351*O5351</f>
        <v/>
      </c>
    </row>
    <row r="5352">
      <c r="A5352" s="12" t="inlineStr">
        <is>
          <t>I-P-0096</t>
        </is>
      </c>
      <c r="B5352" s="12" t="inlineStr">
        <is>
          <t>I</t>
        </is>
      </c>
      <c r="C5352" s="12" t="inlineStr">
        <is>
          <t>Modular / portable power</t>
        </is>
      </c>
      <c r="D5352" s="12" t="inlineStr">
        <is>
          <t>GB-6.1 480 V generator leads to GBS-6</t>
        </is>
      </c>
      <c r="E5352" s="12" t="inlineStr">
        <is>
          <t>GB-6.1</t>
        </is>
      </c>
      <c r="F5352" s="12" t="inlineStr">
        <is>
          <t>GB-6.1: modular gas genset ~450 kW, 480 V (block 6)</t>
        </is>
      </c>
      <c r="G5352" s="12" t="inlineStr">
        <is>
          <t>GBS-6</t>
        </is>
      </c>
      <c r="H5352" s="12" t="inlineStr">
        <is>
          <t>GBS-6: block 6 480 V paralleling switchgear (4 gensets)</t>
        </is>
      </c>
      <c r="I5352" s="12" t="inlineStr">
        <is>
          <t>LV 600 V</t>
        </is>
      </c>
      <c r="J5352" s="12" t="inlineStr">
        <is>
          <t>XHHW-2 600 V 1/C Cu (feeder sets in tray / duct)</t>
        </is>
      </c>
      <c r="K5352" s="12" t="inlineStr">
        <is>
          <t>LV1C|1/C|500</t>
        </is>
      </c>
      <c r="L5352" s="12" t="inlineStr">
        <is>
          <t>1/C</t>
        </is>
      </c>
      <c r="M5352" s="12" t="inlineStr">
        <is>
          <t>500 kcmil</t>
        </is>
      </c>
      <c r="N5352" s="12" t="n">
        <v>2</v>
      </c>
      <c r="O5352" s="12" t="n">
        <v>4</v>
      </c>
      <c r="P5352" s="12" t="n">
        <v>480</v>
      </c>
      <c r="Q5352" s="12" t="n">
        <v>450</v>
      </c>
      <c r="R5352" s="12" t="n">
        <v>677</v>
      </c>
      <c r="S5352" s="12" t="inlineStr">
        <is>
          <t>Riser</t>
        </is>
      </c>
      <c r="T5352" s="17" t="n">
        <v>3</v>
      </c>
      <c r="U5352" s="17" t="n">
        <v>30</v>
      </c>
      <c r="V5352" s="17">
        <f>ROUNDUP((T5352+U5352+2*'Read Me'!$B$13)*(1+'Read Me'!$B$12),-1)</f>
        <v/>
      </c>
      <c r="W5352" s="17">
        <f>V5352*N5352*O5352</f>
        <v/>
      </c>
      <c r="X5352" s="12">
        <f>IF(LEFT(I5352,2)="MV",2*N5352*IF(L5352="1/C",O5352,1),0)</f>
        <v/>
      </c>
      <c r="Y5352" s="12">
        <f>IF(OR(LEFT(K5352,4)="LVAX",LEFT(K5352,6)="MV15AX",LEFT(K5352,4)="CTAX",LEFT(K5352,2)="W|"),2*N5352*O5352,0)</f>
        <v/>
      </c>
      <c r="Z5352" s="12" t="inlineStr">
        <is>
          <t>2 sets of 3 x 500 kcmil + ground</t>
        </is>
      </c>
      <c r="AA5352" s="12">
        <f>N5352*O5352</f>
        <v/>
      </c>
    </row>
    <row r="5353">
      <c r="A5353" s="12" t="inlineStr">
        <is>
          <t>I-P-0097</t>
        </is>
      </c>
      <c r="B5353" s="12" t="inlineStr">
        <is>
          <t>I</t>
        </is>
      </c>
      <c r="C5353" s="12" t="inlineStr">
        <is>
          <t>Modular / portable power</t>
        </is>
      </c>
      <c r="D5353" s="12" t="inlineStr">
        <is>
          <t>GB-6.2 480 V generator leads to GBS-6</t>
        </is>
      </c>
      <c r="E5353" s="12" t="inlineStr">
        <is>
          <t>GB-6.2</t>
        </is>
      </c>
      <c r="F5353" s="12" t="inlineStr">
        <is>
          <t>GB-6.2: modular gas genset ~450 kW, 480 V (block 6)</t>
        </is>
      </c>
      <c r="G5353" s="12" t="inlineStr">
        <is>
          <t>GBS-6</t>
        </is>
      </c>
      <c r="H5353" s="12" t="inlineStr">
        <is>
          <t>GBS-6: block 6 480 V paralleling switchgear (4 gensets)</t>
        </is>
      </c>
      <c r="I5353" s="12" t="inlineStr">
        <is>
          <t>LV 600 V</t>
        </is>
      </c>
      <c r="J5353" s="12" t="inlineStr">
        <is>
          <t>XHHW-2 600 V 1/C Cu (feeder sets in tray / duct)</t>
        </is>
      </c>
      <c r="K5353" s="12" t="inlineStr">
        <is>
          <t>LV1C|1/C|500</t>
        </is>
      </c>
      <c r="L5353" s="12" t="inlineStr">
        <is>
          <t>1/C</t>
        </is>
      </c>
      <c r="M5353" s="12" t="inlineStr">
        <is>
          <t>500 kcmil</t>
        </is>
      </c>
      <c r="N5353" s="12" t="n">
        <v>2</v>
      </c>
      <c r="O5353" s="12" t="n">
        <v>4</v>
      </c>
      <c r="P5353" s="12" t="n">
        <v>480</v>
      </c>
      <c r="Q5353" s="12" t="n">
        <v>450</v>
      </c>
      <c r="R5353" s="12" t="n">
        <v>677</v>
      </c>
      <c r="S5353" s="12" t="inlineStr">
        <is>
          <t>Riser</t>
        </is>
      </c>
      <c r="T5353" s="17" t="n">
        <v>7</v>
      </c>
      <c r="U5353" s="17" t="n">
        <v>27</v>
      </c>
      <c r="V5353" s="17">
        <f>ROUNDUP((T5353+U5353+2*'Read Me'!$B$13)*(1+'Read Me'!$B$12),-1)</f>
        <v/>
      </c>
      <c r="W5353" s="17">
        <f>V5353*N5353*O5353</f>
        <v/>
      </c>
      <c r="X5353" s="12">
        <f>IF(LEFT(I5353,2)="MV",2*N5353*IF(L5353="1/C",O5353,1),0)</f>
        <v/>
      </c>
      <c r="Y5353" s="12">
        <f>IF(OR(LEFT(K5353,4)="LVAX",LEFT(K5353,6)="MV15AX",LEFT(K5353,4)="CTAX",LEFT(K5353,2)="W|"),2*N5353*O5353,0)</f>
        <v/>
      </c>
      <c r="Z5353" s="12" t="inlineStr">
        <is>
          <t>2 sets of 3 x 500 kcmil + ground</t>
        </is>
      </c>
      <c r="AA5353" s="12">
        <f>N5353*O5353</f>
        <v/>
      </c>
    </row>
    <row r="5354">
      <c r="A5354" s="12" t="inlineStr">
        <is>
          <t>I-P-0098</t>
        </is>
      </c>
      <c r="B5354" s="12" t="inlineStr">
        <is>
          <t>I</t>
        </is>
      </c>
      <c r="C5354" s="12" t="inlineStr">
        <is>
          <t>Modular / portable power</t>
        </is>
      </c>
      <c r="D5354" s="12" t="inlineStr">
        <is>
          <t>GB-6.3 480 V generator leads to GBS-6</t>
        </is>
      </c>
      <c r="E5354" s="12" t="inlineStr">
        <is>
          <t>GB-6.3</t>
        </is>
      </c>
      <c r="F5354" s="12" t="inlineStr">
        <is>
          <t>GB-6.3: modular gas genset ~450 kW, 480 V (block 6)</t>
        </is>
      </c>
      <c r="G5354" s="12" t="inlineStr">
        <is>
          <t>GBS-6</t>
        </is>
      </c>
      <c r="H5354" s="12" t="inlineStr">
        <is>
          <t>GBS-6: block 6 480 V paralleling switchgear (4 gensets)</t>
        </is>
      </c>
      <c r="I5354" s="12" t="inlineStr">
        <is>
          <t>LV 600 V</t>
        </is>
      </c>
      <c r="J5354" s="12" t="inlineStr">
        <is>
          <t>XHHW-2 600 V 1/C Cu (feeder sets in tray / duct)</t>
        </is>
      </c>
      <c r="K5354" s="12" t="inlineStr">
        <is>
          <t>LV1C|1/C|500</t>
        </is>
      </c>
      <c r="L5354" s="12" t="inlineStr">
        <is>
          <t>1/C</t>
        </is>
      </c>
      <c r="M5354" s="12" t="inlineStr">
        <is>
          <t>500 kcmil</t>
        </is>
      </c>
      <c r="N5354" s="12" t="n">
        <v>2</v>
      </c>
      <c r="O5354" s="12" t="n">
        <v>4</v>
      </c>
      <c r="P5354" s="12" t="n">
        <v>480</v>
      </c>
      <c r="Q5354" s="12" t="n">
        <v>450</v>
      </c>
      <c r="R5354" s="12" t="n">
        <v>677</v>
      </c>
      <c r="S5354" s="12" t="inlineStr">
        <is>
          <t>Surface</t>
        </is>
      </c>
      <c r="T5354" s="17" t="n">
        <v>15</v>
      </c>
      <c r="U5354" s="17" t="n">
        <v>32</v>
      </c>
      <c r="V5354" s="17">
        <f>ROUNDUP((T5354+U5354+2*'Read Me'!$B$13)*(1+'Read Me'!$B$12),-1)</f>
        <v/>
      </c>
      <c r="W5354" s="17">
        <f>V5354*N5354*O5354</f>
        <v/>
      </c>
      <c r="X5354" s="12">
        <f>IF(LEFT(I5354,2)="MV",2*N5354*IF(L5354="1/C",O5354,1),0)</f>
        <v/>
      </c>
      <c r="Y5354" s="12">
        <f>IF(OR(LEFT(K5354,4)="LVAX",LEFT(K5354,6)="MV15AX",LEFT(K5354,4)="CTAX",LEFT(K5354,2)="W|"),2*N5354*O5354,0)</f>
        <v/>
      </c>
      <c r="Z5354" s="12" t="inlineStr">
        <is>
          <t>2 sets of 3 x 500 kcmil + ground</t>
        </is>
      </c>
      <c r="AA5354" s="12">
        <f>N5354*O5354</f>
        <v/>
      </c>
    </row>
    <row r="5355">
      <c r="A5355" s="12" t="inlineStr">
        <is>
          <t>I-P-0099</t>
        </is>
      </c>
      <c r="B5355" s="12" t="inlineStr">
        <is>
          <t>I</t>
        </is>
      </c>
      <c r="C5355" s="12" t="inlineStr">
        <is>
          <t>Modular / portable power</t>
        </is>
      </c>
      <c r="D5355" s="12" t="inlineStr">
        <is>
          <t>GB-6.4 480 V generator leads to GBS-6</t>
        </is>
      </c>
      <c r="E5355" s="12" t="inlineStr">
        <is>
          <t>GB-6.4</t>
        </is>
      </c>
      <c r="F5355" s="12" t="inlineStr">
        <is>
          <t>GB-6.4: modular gas genset ~450 kW, 480 V (block 6)</t>
        </is>
      </c>
      <c r="G5355" s="12" t="inlineStr">
        <is>
          <t>GBS-6</t>
        </is>
      </c>
      <c r="H5355" s="12" t="inlineStr">
        <is>
          <t>GBS-6: block 6 480 V paralleling switchgear (4 gensets)</t>
        </is>
      </c>
      <c r="I5355" s="12" t="inlineStr">
        <is>
          <t>LV 600 V</t>
        </is>
      </c>
      <c r="J5355" s="12" t="inlineStr">
        <is>
          <t>XHHW-2 600 V 1/C Cu (feeder sets in tray / duct)</t>
        </is>
      </c>
      <c r="K5355" s="12" t="inlineStr">
        <is>
          <t>LV1C|1/C|500</t>
        </is>
      </c>
      <c r="L5355" s="12" t="inlineStr">
        <is>
          <t>1/C</t>
        </is>
      </c>
      <c r="M5355" s="12" t="inlineStr">
        <is>
          <t>500 kcmil</t>
        </is>
      </c>
      <c r="N5355" s="12" t="n">
        <v>2</v>
      </c>
      <c r="O5355" s="12" t="n">
        <v>4</v>
      </c>
      <c r="P5355" s="12" t="n">
        <v>480</v>
      </c>
      <c r="Q5355" s="12" t="n">
        <v>450</v>
      </c>
      <c r="R5355" s="12" t="n">
        <v>677</v>
      </c>
      <c r="S5355" s="12" t="inlineStr">
        <is>
          <t>Surface</t>
        </is>
      </c>
      <c r="T5355" s="17" t="n">
        <v>22</v>
      </c>
      <c r="U5355" s="17" t="n">
        <v>32</v>
      </c>
      <c r="V5355" s="17">
        <f>ROUNDUP((T5355+U5355+2*'Read Me'!$B$13)*(1+'Read Me'!$B$12),-1)</f>
        <v/>
      </c>
      <c r="W5355" s="17">
        <f>V5355*N5355*O5355</f>
        <v/>
      </c>
      <c r="X5355" s="12">
        <f>IF(LEFT(I5355,2)="MV",2*N5355*IF(L5355="1/C",O5355,1),0)</f>
        <v/>
      </c>
      <c r="Y5355" s="12">
        <f>IF(OR(LEFT(K5355,4)="LVAX",LEFT(K5355,6)="MV15AX",LEFT(K5355,4)="CTAX",LEFT(K5355,2)="W|"),2*N5355*O5355,0)</f>
        <v/>
      </c>
      <c r="Z5355" s="12" t="inlineStr">
        <is>
          <t>2 sets of 3 x 500 kcmil + ground</t>
        </is>
      </c>
      <c r="AA5355" s="12">
        <f>N5355*O5355</f>
        <v/>
      </c>
    </row>
    <row r="5356">
      <c r="A5356" s="12" t="inlineStr">
        <is>
          <t>I-P-0100</t>
        </is>
      </c>
      <c r="B5356" s="12" t="inlineStr">
        <is>
          <t>I</t>
        </is>
      </c>
      <c r="C5356" s="12" t="inlineStr">
        <is>
          <t>Modular / portable power</t>
        </is>
      </c>
      <c r="D5356" s="12" t="inlineStr">
        <is>
          <t>LV power feeder</t>
        </is>
      </c>
      <c r="E5356" s="12" t="inlineStr">
        <is>
          <t>PAD-LV</t>
        </is>
      </c>
      <c r="F5356" s="12" t="inlineStr">
        <is>
          <t>PAD-LV 480 V paralleling switchboard</t>
        </is>
      </c>
      <c r="G5356" s="12" t="inlineStr">
        <is>
          <t>GBS-6</t>
        </is>
      </c>
      <c r="H5356" s="12" t="inlineStr">
        <is>
          <t>GBS-6: block 6 480 V paralleling switchgear (4 gensets)</t>
        </is>
      </c>
      <c r="I5356" s="12" t="inlineStr">
        <is>
          <t>LV 600 V</t>
        </is>
      </c>
      <c r="J5356" s="12" t="inlineStr">
        <is>
          <t>Type TC-ER 600 V 3/C Cu XHHW-2 + ground, PVC jacket</t>
        </is>
      </c>
      <c r="K5356" s="12" t="inlineStr">
        <is>
          <t>LV|3/C+G|6</t>
        </is>
      </c>
      <c r="L5356" s="12" t="inlineStr">
        <is>
          <t>3/C+G</t>
        </is>
      </c>
      <c r="M5356" s="12" t="inlineStr">
        <is>
          <t>6</t>
        </is>
      </c>
      <c r="N5356" s="12" t="n">
        <v>1</v>
      </c>
      <c r="O5356" s="12" t="n">
        <v>1</v>
      </c>
      <c r="P5356" s="12" t="n">
        <v>480</v>
      </c>
      <c r="Q5356" s="12" t="n">
        <v>15</v>
      </c>
      <c r="R5356" s="12" t="n">
        <v>21.2</v>
      </c>
      <c r="S5356" s="12" t="inlineStr">
        <is>
          <t>Surface</t>
        </is>
      </c>
      <c r="T5356" s="17" t="n">
        <v>447</v>
      </c>
      <c r="U5356" s="17" t="n">
        <v>37</v>
      </c>
      <c r="V5356" s="17">
        <f>ROUNDUP((T5356+U5356+2*'Read Me'!$B$13)*(1+'Read Me'!$B$12),-1)</f>
        <v/>
      </c>
      <c r="W5356" s="17">
        <f>V5356*N5356*O5356</f>
        <v/>
      </c>
      <c r="X5356" s="12">
        <f>IF(LEFT(I5356,2)="MV",2*N5356*IF(L5356="1/C",O5356,1),0)</f>
        <v/>
      </c>
      <c r="Y5356" s="12">
        <f>IF(OR(LEFT(K5356,4)="LVAX",LEFT(K5356,6)="MV15AX",LEFT(K5356,4)="CTAX",LEFT(K5356,2)="W|"),2*N5356*O5356,0)</f>
        <v/>
      </c>
      <c r="Z5356" s="12" t="inlineStr">
        <is>
          <t>VD 2.0 %</t>
        </is>
      </c>
      <c r="AA5356" s="12">
        <f>N5356*O5356</f>
        <v/>
      </c>
    </row>
    <row r="5357">
      <c r="A5357" s="12" t="inlineStr">
        <is>
          <t>I-P-0101</t>
        </is>
      </c>
      <c r="B5357" s="12" t="inlineStr">
        <is>
          <t>I</t>
        </is>
      </c>
      <c r="C5357" s="12" t="inlineStr">
        <is>
          <t>Modular / portable power</t>
        </is>
      </c>
      <c r="D5357" s="12" t="inlineStr">
        <is>
          <t>GBS-1 to GBT-1 480 V secondary</t>
        </is>
      </c>
      <c r="E5357" s="12" t="inlineStr">
        <is>
          <t>GBS-1</t>
        </is>
      </c>
      <c r="F5357" s="12" t="inlineStr">
        <is>
          <t>GBS-1: block 1 480 V paralleling switchgear (4 gensets)</t>
        </is>
      </c>
      <c r="G5357" s="12" t="inlineStr">
        <is>
          <t>GBT-1</t>
        </is>
      </c>
      <c r="H5357" s="12" t="inlineStr">
        <is>
          <t>GBT-1: block 1 480 V : 13.8 kV 2,500 kVA pad-mount step-up</t>
        </is>
      </c>
      <c r="I5357" s="12" t="inlineStr">
        <is>
          <t>LV 600 V</t>
        </is>
      </c>
      <c r="J5357" s="12" t="inlineStr">
        <is>
          <t>XHHW-2 600 V 1/C Cu (feeder sets in tray / duct)</t>
        </is>
      </c>
      <c r="K5357" s="12" t="inlineStr">
        <is>
          <t>LV1C|1/C|600</t>
        </is>
      </c>
      <c r="L5357" s="12" t="inlineStr">
        <is>
          <t>1/C</t>
        </is>
      </c>
      <c r="M5357" s="12" t="inlineStr">
        <is>
          <t>600 kcmil</t>
        </is>
      </c>
      <c r="N5357" s="12" t="n">
        <v>8</v>
      </c>
      <c r="O5357" s="12" t="n">
        <v>4</v>
      </c>
      <c r="P5357" s="12" t="n">
        <v>480</v>
      </c>
      <c r="Q5357" s="12" t="n">
        <v>2250</v>
      </c>
      <c r="R5357" s="12" t="n">
        <v>2706</v>
      </c>
      <c r="S5357" s="12" t="inlineStr">
        <is>
          <t>Surface</t>
        </is>
      </c>
      <c r="T5357" s="17" t="n">
        <v>6</v>
      </c>
      <c r="U5357" s="17" t="n">
        <v>27</v>
      </c>
      <c r="V5357" s="17">
        <f>ROUNDUP((T5357+U5357+2*'Read Me'!$B$13)*(1+'Read Me'!$B$12),-1)</f>
        <v/>
      </c>
      <c r="W5357" s="17">
        <f>V5357*N5357*O5357</f>
        <v/>
      </c>
      <c r="X5357" s="12">
        <f>IF(LEFT(I5357,2)="MV",2*N5357*IF(L5357="1/C",O5357,1),0)</f>
        <v/>
      </c>
      <c r="Y5357" s="12">
        <f>IF(OR(LEFT(K5357,4)="LVAX",LEFT(K5357,6)="MV15AX",LEFT(K5357,4)="CTAX",LEFT(K5357,2)="W|"),2*N5357*O5357,0)</f>
        <v/>
      </c>
      <c r="Z5357" s="12" t="inlineStr">
        <is>
          <t>8 sets of 4 x 1/C</t>
        </is>
      </c>
      <c r="AA5357" s="12">
        <f>N5357*O5357</f>
        <v/>
      </c>
    </row>
    <row r="5358">
      <c r="A5358" s="12" t="inlineStr">
        <is>
          <t>I-P-0102</t>
        </is>
      </c>
      <c r="B5358" s="12" t="inlineStr">
        <is>
          <t>I</t>
        </is>
      </c>
      <c r="C5358" s="12" t="inlineStr">
        <is>
          <t>Modular / portable power</t>
        </is>
      </c>
      <c r="D5358" s="12" t="inlineStr">
        <is>
          <t>GBS-2 to GBT-2 480 V secondary</t>
        </is>
      </c>
      <c r="E5358" s="12" t="inlineStr">
        <is>
          <t>GBS-2</t>
        </is>
      </c>
      <c r="F5358" s="12" t="inlineStr">
        <is>
          <t>GBS-2: block 2 480 V paralleling switchgear (4 gensets)</t>
        </is>
      </c>
      <c r="G5358" s="12" t="inlineStr">
        <is>
          <t>GBT-2</t>
        </is>
      </c>
      <c r="H5358" s="12" t="inlineStr">
        <is>
          <t>GBT-2: block 2 480 V : 13.8 kV 2,500 kVA pad-mount step-up</t>
        </is>
      </c>
      <c r="I5358" s="12" t="inlineStr">
        <is>
          <t>LV 600 V</t>
        </is>
      </c>
      <c r="J5358" s="12" t="inlineStr">
        <is>
          <t>XHHW-2 600 V 1/C Cu (feeder sets in tray / duct)</t>
        </is>
      </c>
      <c r="K5358" s="12" t="inlineStr">
        <is>
          <t>LV1C|1/C|600</t>
        </is>
      </c>
      <c r="L5358" s="12" t="inlineStr">
        <is>
          <t>1/C</t>
        </is>
      </c>
      <c r="M5358" s="12" t="inlineStr">
        <is>
          <t>600 kcmil</t>
        </is>
      </c>
      <c r="N5358" s="12" t="n">
        <v>8</v>
      </c>
      <c r="O5358" s="12" t="n">
        <v>4</v>
      </c>
      <c r="P5358" s="12" t="n">
        <v>480</v>
      </c>
      <c r="Q5358" s="12" t="n">
        <v>2250</v>
      </c>
      <c r="R5358" s="12" t="n">
        <v>2706</v>
      </c>
      <c r="S5358" s="12" t="inlineStr">
        <is>
          <t>Surface</t>
        </is>
      </c>
      <c r="T5358" s="17" t="n">
        <v>6</v>
      </c>
      <c r="U5358" s="17" t="n">
        <v>27</v>
      </c>
      <c r="V5358" s="17">
        <f>ROUNDUP((T5358+U5358+2*'Read Me'!$B$13)*(1+'Read Me'!$B$12),-1)</f>
        <v/>
      </c>
      <c r="W5358" s="17">
        <f>V5358*N5358*O5358</f>
        <v/>
      </c>
      <c r="X5358" s="12">
        <f>IF(LEFT(I5358,2)="MV",2*N5358*IF(L5358="1/C",O5358,1),0)</f>
        <v/>
      </c>
      <c r="Y5358" s="12">
        <f>IF(OR(LEFT(K5358,4)="LVAX",LEFT(K5358,6)="MV15AX",LEFT(K5358,4)="CTAX",LEFT(K5358,2)="W|"),2*N5358*O5358,0)</f>
        <v/>
      </c>
      <c r="Z5358" s="12" t="inlineStr">
        <is>
          <t>8 sets of 4 x 1/C</t>
        </is>
      </c>
      <c r="AA5358" s="12">
        <f>N5358*O5358</f>
        <v/>
      </c>
    </row>
    <row r="5359">
      <c r="A5359" s="12" t="inlineStr">
        <is>
          <t>I-P-0103</t>
        </is>
      </c>
      <c r="B5359" s="12" t="inlineStr">
        <is>
          <t>I</t>
        </is>
      </c>
      <c r="C5359" s="12" t="inlineStr">
        <is>
          <t>Modular / portable power</t>
        </is>
      </c>
      <c r="D5359" s="12" t="inlineStr">
        <is>
          <t>GBS-3 to GBT-3 480 V secondary</t>
        </is>
      </c>
      <c r="E5359" s="12" t="inlineStr">
        <is>
          <t>GBS-3</t>
        </is>
      </c>
      <c r="F5359" s="12" t="inlineStr">
        <is>
          <t>GBS-3: block 3 480 V paralleling switchgear (4 gensets)</t>
        </is>
      </c>
      <c r="G5359" s="12" t="inlineStr">
        <is>
          <t>GBT-3</t>
        </is>
      </c>
      <c r="H5359" s="12" t="inlineStr">
        <is>
          <t>GBT-3: block 3 480 V : 13.8 kV 2,500 kVA pad-mount step-up</t>
        </is>
      </c>
      <c r="I5359" s="12" t="inlineStr">
        <is>
          <t>LV 600 V</t>
        </is>
      </c>
      <c r="J5359" s="12" t="inlineStr">
        <is>
          <t>XHHW-2 600 V 1/C Cu (feeder sets in tray / duct)</t>
        </is>
      </c>
      <c r="K5359" s="12" t="inlineStr">
        <is>
          <t>LV1C|1/C|600</t>
        </is>
      </c>
      <c r="L5359" s="12" t="inlineStr">
        <is>
          <t>1/C</t>
        </is>
      </c>
      <c r="M5359" s="12" t="inlineStr">
        <is>
          <t>600 kcmil</t>
        </is>
      </c>
      <c r="N5359" s="12" t="n">
        <v>8</v>
      </c>
      <c r="O5359" s="12" t="n">
        <v>4</v>
      </c>
      <c r="P5359" s="12" t="n">
        <v>480</v>
      </c>
      <c r="Q5359" s="12" t="n">
        <v>2250</v>
      </c>
      <c r="R5359" s="12" t="n">
        <v>2706</v>
      </c>
      <c r="S5359" s="12" t="inlineStr">
        <is>
          <t>Surface</t>
        </is>
      </c>
      <c r="T5359" s="17" t="n">
        <v>6</v>
      </c>
      <c r="U5359" s="17" t="n">
        <v>27</v>
      </c>
      <c r="V5359" s="17">
        <f>ROUNDUP((T5359+U5359+2*'Read Me'!$B$13)*(1+'Read Me'!$B$12),-1)</f>
        <v/>
      </c>
      <c r="W5359" s="17">
        <f>V5359*N5359*O5359</f>
        <v/>
      </c>
      <c r="X5359" s="12">
        <f>IF(LEFT(I5359,2)="MV",2*N5359*IF(L5359="1/C",O5359,1),0)</f>
        <v/>
      </c>
      <c r="Y5359" s="12">
        <f>IF(OR(LEFT(K5359,4)="LVAX",LEFT(K5359,6)="MV15AX",LEFT(K5359,4)="CTAX",LEFT(K5359,2)="W|"),2*N5359*O5359,0)</f>
        <v/>
      </c>
      <c r="Z5359" s="12" t="inlineStr">
        <is>
          <t>8 sets of 4 x 1/C</t>
        </is>
      </c>
      <c r="AA5359" s="12">
        <f>N5359*O5359</f>
        <v/>
      </c>
    </row>
    <row r="5360">
      <c r="A5360" s="12" t="inlineStr">
        <is>
          <t>I-P-0104</t>
        </is>
      </c>
      <c r="B5360" s="12" t="inlineStr">
        <is>
          <t>I</t>
        </is>
      </c>
      <c r="C5360" s="12" t="inlineStr">
        <is>
          <t>Modular / portable power</t>
        </is>
      </c>
      <c r="D5360" s="12" t="inlineStr">
        <is>
          <t>GBS-4 to GBT-4 480 V secondary</t>
        </is>
      </c>
      <c r="E5360" s="12" t="inlineStr">
        <is>
          <t>GBS-4</t>
        </is>
      </c>
      <c r="F5360" s="12" t="inlineStr">
        <is>
          <t>GBS-4: block 4 480 V paralleling switchgear (4 gensets)</t>
        </is>
      </c>
      <c r="G5360" s="12" t="inlineStr">
        <is>
          <t>GBT-4</t>
        </is>
      </c>
      <c r="H5360" s="12" t="inlineStr">
        <is>
          <t>GBT-4: block 4 480 V : 13.8 kV 2,500 kVA pad-mount step-up</t>
        </is>
      </c>
      <c r="I5360" s="12" t="inlineStr">
        <is>
          <t>LV 600 V</t>
        </is>
      </c>
      <c r="J5360" s="12" t="inlineStr">
        <is>
          <t>XHHW-2 600 V 1/C Cu (feeder sets in tray / duct)</t>
        </is>
      </c>
      <c r="K5360" s="12" t="inlineStr">
        <is>
          <t>LV1C|1/C|600</t>
        </is>
      </c>
      <c r="L5360" s="12" t="inlineStr">
        <is>
          <t>1/C</t>
        </is>
      </c>
      <c r="M5360" s="12" t="inlineStr">
        <is>
          <t>600 kcmil</t>
        </is>
      </c>
      <c r="N5360" s="12" t="n">
        <v>8</v>
      </c>
      <c r="O5360" s="12" t="n">
        <v>4</v>
      </c>
      <c r="P5360" s="12" t="n">
        <v>480</v>
      </c>
      <c r="Q5360" s="12" t="n">
        <v>2250</v>
      </c>
      <c r="R5360" s="12" t="n">
        <v>2706</v>
      </c>
      <c r="S5360" s="12" t="inlineStr">
        <is>
          <t>Surface</t>
        </is>
      </c>
      <c r="T5360" s="17" t="n">
        <v>6</v>
      </c>
      <c r="U5360" s="17" t="n">
        <v>27</v>
      </c>
      <c r="V5360" s="17">
        <f>ROUNDUP((T5360+U5360+2*'Read Me'!$B$13)*(1+'Read Me'!$B$12),-1)</f>
        <v/>
      </c>
      <c r="W5360" s="17">
        <f>V5360*N5360*O5360</f>
        <v/>
      </c>
      <c r="X5360" s="12">
        <f>IF(LEFT(I5360,2)="MV",2*N5360*IF(L5360="1/C",O5360,1),0)</f>
        <v/>
      </c>
      <c r="Y5360" s="12">
        <f>IF(OR(LEFT(K5360,4)="LVAX",LEFT(K5360,6)="MV15AX",LEFT(K5360,4)="CTAX",LEFT(K5360,2)="W|"),2*N5360*O5360,0)</f>
        <v/>
      </c>
      <c r="Z5360" s="12" t="inlineStr">
        <is>
          <t>8 sets of 4 x 1/C</t>
        </is>
      </c>
      <c r="AA5360" s="12">
        <f>N5360*O5360</f>
        <v/>
      </c>
    </row>
    <row r="5361">
      <c r="A5361" s="12" t="inlineStr">
        <is>
          <t>I-P-0105</t>
        </is>
      </c>
      <c r="B5361" s="12" t="inlineStr">
        <is>
          <t>I</t>
        </is>
      </c>
      <c r="C5361" s="12" t="inlineStr">
        <is>
          <t>Modular / portable power</t>
        </is>
      </c>
      <c r="D5361" s="12" t="inlineStr">
        <is>
          <t>GBS-5 to GBT-5 480 V secondary</t>
        </is>
      </c>
      <c r="E5361" s="12" t="inlineStr">
        <is>
          <t>GBS-5</t>
        </is>
      </c>
      <c r="F5361" s="12" t="inlineStr">
        <is>
          <t>GBS-5: block 5 480 V paralleling switchgear (4 gensets)</t>
        </is>
      </c>
      <c r="G5361" s="12" t="inlineStr">
        <is>
          <t>GBT-5</t>
        </is>
      </c>
      <c r="H5361" s="12" t="inlineStr">
        <is>
          <t>GBT-5: block 5 480 V : 13.8 kV 2,500 kVA pad-mount step-up</t>
        </is>
      </c>
      <c r="I5361" s="12" t="inlineStr">
        <is>
          <t>LV 600 V</t>
        </is>
      </c>
      <c r="J5361" s="12" t="inlineStr">
        <is>
          <t>XHHW-2 600 V 1/C Cu (feeder sets in tray / duct)</t>
        </is>
      </c>
      <c r="K5361" s="12" t="inlineStr">
        <is>
          <t>LV1C|1/C|600</t>
        </is>
      </c>
      <c r="L5361" s="12" t="inlineStr">
        <is>
          <t>1/C</t>
        </is>
      </c>
      <c r="M5361" s="12" t="inlineStr">
        <is>
          <t>600 kcmil</t>
        </is>
      </c>
      <c r="N5361" s="12" t="n">
        <v>8</v>
      </c>
      <c r="O5361" s="12" t="n">
        <v>4</v>
      </c>
      <c r="P5361" s="12" t="n">
        <v>480</v>
      </c>
      <c r="Q5361" s="12" t="n">
        <v>2250</v>
      </c>
      <c r="R5361" s="12" t="n">
        <v>2706</v>
      </c>
      <c r="S5361" s="12" t="inlineStr">
        <is>
          <t>Surface</t>
        </is>
      </c>
      <c r="T5361" s="17" t="n">
        <v>6</v>
      </c>
      <c r="U5361" s="17" t="n">
        <v>27</v>
      </c>
      <c r="V5361" s="17">
        <f>ROUNDUP((T5361+U5361+2*'Read Me'!$B$13)*(1+'Read Me'!$B$12),-1)</f>
        <v/>
      </c>
      <c r="W5361" s="17">
        <f>V5361*N5361*O5361</f>
        <v/>
      </c>
      <c r="X5361" s="12">
        <f>IF(LEFT(I5361,2)="MV",2*N5361*IF(L5361="1/C",O5361,1),0)</f>
        <v/>
      </c>
      <c r="Y5361" s="12">
        <f>IF(OR(LEFT(K5361,4)="LVAX",LEFT(K5361,6)="MV15AX",LEFT(K5361,4)="CTAX",LEFT(K5361,2)="W|"),2*N5361*O5361,0)</f>
        <v/>
      </c>
      <c r="Z5361" s="12" t="inlineStr">
        <is>
          <t>8 sets of 4 x 1/C</t>
        </is>
      </c>
      <c r="AA5361" s="12">
        <f>N5361*O5361</f>
        <v/>
      </c>
    </row>
    <row r="5362">
      <c r="A5362" s="12" t="inlineStr">
        <is>
          <t>I-P-0106</t>
        </is>
      </c>
      <c r="B5362" s="12" t="inlineStr">
        <is>
          <t>I</t>
        </is>
      </c>
      <c r="C5362" s="12" t="inlineStr">
        <is>
          <t>Modular / portable power</t>
        </is>
      </c>
      <c r="D5362" s="12" t="inlineStr">
        <is>
          <t>GBS-6 to GBT-6 480 V secondary</t>
        </is>
      </c>
      <c r="E5362" s="12" t="inlineStr">
        <is>
          <t>GBS-6</t>
        </is>
      </c>
      <c r="F5362" s="12" t="inlineStr">
        <is>
          <t>GBS-6: block 6 480 V paralleling switchgear (4 gensets)</t>
        </is>
      </c>
      <c r="G5362" s="12" t="inlineStr">
        <is>
          <t>GBT-6</t>
        </is>
      </c>
      <c r="H5362" s="12" t="inlineStr">
        <is>
          <t>GBT-6: block 6 480 V : 13.8 kV 2,500 kVA pad-mount step-up</t>
        </is>
      </c>
      <c r="I5362" s="12" t="inlineStr">
        <is>
          <t>LV 600 V</t>
        </is>
      </c>
      <c r="J5362" s="12" t="inlineStr">
        <is>
          <t>XHHW-2 600 V 1/C Cu (feeder sets in tray / duct)</t>
        </is>
      </c>
      <c r="K5362" s="12" t="inlineStr">
        <is>
          <t>LV1C|1/C|600</t>
        </is>
      </c>
      <c r="L5362" s="12" t="inlineStr">
        <is>
          <t>1/C</t>
        </is>
      </c>
      <c r="M5362" s="12" t="inlineStr">
        <is>
          <t>600 kcmil</t>
        </is>
      </c>
      <c r="N5362" s="12" t="n">
        <v>8</v>
      </c>
      <c r="O5362" s="12" t="n">
        <v>4</v>
      </c>
      <c r="P5362" s="12" t="n">
        <v>480</v>
      </c>
      <c r="Q5362" s="12" t="n">
        <v>2250</v>
      </c>
      <c r="R5362" s="12" t="n">
        <v>2706</v>
      </c>
      <c r="S5362" s="12" t="inlineStr">
        <is>
          <t>Surface</t>
        </is>
      </c>
      <c r="T5362" s="17" t="n">
        <v>6</v>
      </c>
      <c r="U5362" s="17" t="n">
        <v>27</v>
      </c>
      <c r="V5362" s="17">
        <f>ROUNDUP((T5362+U5362+2*'Read Me'!$B$13)*(1+'Read Me'!$B$12),-1)</f>
        <v/>
      </c>
      <c r="W5362" s="17">
        <f>V5362*N5362*O5362</f>
        <v/>
      </c>
      <c r="X5362" s="12">
        <f>IF(LEFT(I5362,2)="MV",2*N5362*IF(L5362="1/C",O5362,1),0)</f>
        <v/>
      </c>
      <c r="Y5362" s="12">
        <f>IF(OR(LEFT(K5362,4)="LVAX",LEFT(K5362,6)="MV15AX",LEFT(K5362,4)="CTAX",LEFT(K5362,2)="W|"),2*N5362*O5362,0)</f>
        <v/>
      </c>
      <c r="Z5362" s="12" t="inlineStr">
        <is>
          <t>8 sets of 4 x 1/C</t>
        </is>
      </c>
      <c r="AA5362" s="12">
        <f>N5362*O5362</f>
        <v/>
      </c>
    </row>
    <row r="5363">
      <c r="A5363" s="12" t="inlineStr">
        <is>
          <t>I-P-0107</t>
        </is>
      </c>
      <c r="B5363" s="12" t="inlineStr">
        <is>
          <t>I</t>
        </is>
      </c>
      <c r="C5363" s="12" t="inlineStr">
        <is>
          <t>Modular / portable power</t>
        </is>
      </c>
      <c r="D5363" s="12" t="inlineStr">
        <is>
          <t>LV power feeder</t>
        </is>
      </c>
      <c r="E5363" s="12" t="inlineStr"/>
      <c r="F5363" s="12" t="inlineStr">
        <is>
          <t>PCM: power control module</t>
        </is>
      </c>
      <c r="G5363" s="12" t="inlineStr"/>
      <c r="H5363" s="12" t="inlineStr">
        <is>
          <t>Gas conditioning skid</t>
        </is>
      </c>
      <c r="I5363" s="12" t="inlineStr">
        <is>
          <t>LV 600 V</t>
        </is>
      </c>
      <c r="J5363" s="12" t="inlineStr">
        <is>
          <t>ARMOR-X MC-HL 600 V 3/C Cu XHHW-2 + ground, CWA, black PVC (Class I Div 2)</t>
        </is>
      </c>
      <c r="K5363" s="12" t="inlineStr">
        <is>
          <t>LVAX|3/C+G|6</t>
        </is>
      </c>
      <c r="L5363" s="12" t="inlineStr">
        <is>
          <t>3/C+G</t>
        </is>
      </c>
      <c r="M5363" s="12" t="inlineStr">
        <is>
          <t>6</t>
        </is>
      </c>
      <c r="N5363" s="12" t="n">
        <v>1</v>
      </c>
      <c r="O5363" s="12" t="n">
        <v>1</v>
      </c>
      <c r="P5363" s="12" t="n">
        <v>480</v>
      </c>
      <c r="Q5363" s="12" t="n">
        <v>30</v>
      </c>
      <c r="R5363" s="12" t="n">
        <v>42.5</v>
      </c>
      <c r="S5363" s="12" t="inlineStr">
        <is>
          <t>Tray</t>
        </is>
      </c>
      <c r="T5363" s="17" t="n">
        <v>40</v>
      </c>
      <c r="U5363" s="17" t="n">
        <v>94</v>
      </c>
      <c r="V5363" s="17">
        <f>ROUNDUP((T5363+U5363+2*'Read Me'!$B$13)*(1+'Read Me'!$B$12),-1)</f>
        <v/>
      </c>
      <c r="W5363" s="17">
        <f>V5363*N5363*O5363</f>
        <v/>
      </c>
      <c r="X5363" s="12">
        <f>IF(LEFT(I5363,2)="MV",2*N5363*IF(L5363="1/C",O5363,1),0)</f>
        <v/>
      </c>
      <c r="Y5363" s="12">
        <f>IF(OR(LEFT(K5363,4)="LVAX",LEFT(K5363,6)="MV15AX",LEFT(K5363,4)="CTAX",LEFT(K5363,2)="W|"),2*N5363*O5363,0)</f>
        <v/>
      </c>
      <c r="Z5363" s="12" t="inlineStr">
        <is>
          <t>VD 1.1 %</t>
        </is>
      </c>
      <c r="AA5363" s="12">
        <f>N5363*O5363</f>
        <v/>
      </c>
    </row>
    <row r="5364">
      <c r="A5364" s="12" t="inlineStr">
        <is>
          <t>I-P-0108</t>
        </is>
      </c>
      <c r="B5364" s="12" t="inlineStr">
        <is>
          <t>I</t>
        </is>
      </c>
      <c r="C5364" s="12" t="inlineStr">
        <is>
          <t>Modular / portable power</t>
        </is>
      </c>
      <c r="D5364" s="12" t="inlineStr">
        <is>
          <t>LV panel / distribution feeder</t>
        </is>
      </c>
      <c r="E5364" s="12" t="inlineStr"/>
      <c r="F5364" s="12" t="inlineStr">
        <is>
          <t>PCM: power control module</t>
        </is>
      </c>
      <c r="G5364" s="12" t="inlineStr"/>
      <c r="H5364" s="12" t="inlineStr">
        <is>
          <t>Lube oil / starting air / oily water building</t>
        </is>
      </c>
      <c r="I5364" s="12" t="inlineStr">
        <is>
          <t>LV 600 V</t>
        </is>
      </c>
      <c r="J5364" s="12" t="inlineStr">
        <is>
          <t>Type TC-ER 600 V 3/C Cu XHHW-2 + ground, PVC jacket</t>
        </is>
      </c>
      <c r="K5364" s="12" t="inlineStr">
        <is>
          <t>LV|3/C+G|1/0</t>
        </is>
      </c>
      <c r="L5364" s="12" t="inlineStr">
        <is>
          <t>3/C+G</t>
        </is>
      </c>
      <c r="M5364" s="12" t="inlineStr">
        <is>
          <t>1/0</t>
        </is>
      </c>
      <c r="N5364" s="12" t="n">
        <v>1</v>
      </c>
      <c r="O5364" s="12" t="n">
        <v>1</v>
      </c>
      <c r="P5364" s="12" t="n">
        <v>480</v>
      </c>
      <c r="Q5364" s="12" t="n">
        <v>79</v>
      </c>
      <c r="R5364" s="12" t="n">
        <v>111.8</v>
      </c>
      <c r="S5364" s="12" t="inlineStr">
        <is>
          <t>Tray</t>
        </is>
      </c>
      <c r="T5364" s="17" t="n">
        <v>40</v>
      </c>
      <c r="U5364" s="17" t="n">
        <v>164</v>
      </c>
      <c r="V5364" s="17">
        <f>ROUNDUP((T5364+U5364+2*'Read Me'!$B$13)*(1+'Read Me'!$B$12),-1)</f>
        <v/>
      </c>
      <c r="W5364" s="17">
        <f>V5364*N5364*O5364</f>
        <v/>
      </c>
      <c r="X5364" s="12">
        <f>IF(LEFT(I5364,2)="MV",2*N5364*IF(L5364="1/C",O5364,1),0)</f>
        <v/>
      </c>
      <c r="Y5364" s="12">
        <f>IF(OR(LEFT(K5364,4)="LVAX",LEFT(K5364,6)="MV15AX",LEFT(K5364,4)="CTAX",LEFT(K5364,2)="W|"),2*N5364*O5364,0)</f>
        <v/>
      </c>
      <c r="Z5364" s="12" t="inlineStr">
        <is>
          <t>VD 1.1 %</t>
        </is>
      </c>
      <c r="AA5364" s="12">
        <f>N5364*O5364</f>
        <v/>
      </c>
    </row>
    <row r="5365">
      <c r="A5365" s="12" t="inlineStr">
        <is>
          <t>I-P-0109</t>
        </is>
      </c>
      <c r="B5365" s="12" t="inlineStr">
        <is>
          <t>I</t>
        </is>
      </c>
      <c r="C5365" s="12" t="inlineStr">
        <is>
          <t>Modular / portable power</t>
        </is>
      </c>
      <c r="D5365" s="12" t="inlineStr">
        <is>
          <t>LV panel / distribution feeder</t>
        </is>
      </c>
      <c r="E5365" s="12" t="inlineStr"/>
      <c r="F5365" s="12" t="inlineStr">
        <is>
          <t>MOD-LV 480 V board + 480 V : 13.8 kV step-up</t>
        </is>
      </c>
      <c r="G5365" s="12" t="inlineStr">
        <is>
          <t>MOD-EH</t>
        </is>
      </c>
      <c r="H5365" s="12" t="inlineStr">
        <is>
          <t>MOD-EH: 13.8 kV modular collector e-house</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30</v>
      </c>
      <c r="R5365" s="12" t="n">
        <v>42.5</v>
      </c>
      <c r="S5365" s="12" t="inlineStr">
        <is>
          <t>Duct bank</t>
        </is>
      </c>
      <c r="T5365" s="17" t="n">
        <v>350</v>
      </c>
      <c r="U5365" s="17" t="n">
        <v>32</v>
      </c>
      <c r="V5365" s="17">
        <f>ROUNDUP((T5365+U5365+2*'Read Me'!$B$13)*(1+'Read Me'!$B$12),-1)</f>
        <v/>
      </c>
      <c r="W5365" s="17">
        <f>V5365*N5365*O5365</f>
        <v/>
      </c>
      <c r="X5365" s="12">
        <f>IF(LEFT(I5365,2)="MV",2*N5365*IF(L5365="1/C",O5365,1),0)</f>
        <v/>
      </c>
      <c r="Y5365" s="12">
        <f>IF(OR(LEFT(K5365,4)="LVAX",LEFT(K5365,6)="MV15AX",LEFT(K5365,4)="CTAX",LEFT(K5365,2)="W|"),2*N5365*O5365,0)</f>
        <v/>
      </c>
      <c r="Z5365" s="12" t="inlineStr">
        <is>
          <t>VD 2.0 %</t>
        </is>
      </c>
      <c r="AA5365" s="12">
        <f>N5365*O5365</f>
        <v/>
      </c>
    </row>
    <row r="5366">
      <c r="A5366" s="12" t="inlineStr">
        <is>
          <t>I-P-0110</t>
        </is>
      </c>
      <c r="B5366" s="12" t="inlineStr">
        <is>
          <t>I</t>
        </is>
      </c>
      <c r="C5366" s="12" t="inlineStr">
        <is>
          <t>Modular / portable power</t>
        </is>
      </c>
      <c r="D5366" s="12" t="inlineStr">
        <is>
          <t>Fuel-cell AC cabinet to MOD-LV</t>
        </is>
      </c>
      <c r="E5366" s="12" t="inlineStr"/>
      <c r="F5366" s="12" t="inlineStr">
        <is>
          <t>FC-5..12 inverter / AC cabinet / desulfurizer</t>
        </is>
      </c>
      <c r="G5366" s="12" t="inlineStr"/>
      <c r="H5366" s="12" t="inlineStr">
        <is>
          <t>MOD-LV 480 V board + 480 V : 13.8 kV step-up</t>
        </is>
      </c>
      <c r="I5366" s="12" t="inlineStr">
        <is>
          <t>LV 600 V</t>
        </is>
      </c>
      <c r="J5366" s="12" t="inlineStr">
        <is>
          <t>Type TC-ER 600 V 3/C Cu XHHW-2 + ground, PVC jacket</t>
        </is>
      </c>
      <c r="K5366" s="12" t="inlineStr">
        <is>
          <t>LV|3/C+G|500</t>
        </is>
      </c>
      <c r="L5366" s="12" t="inlineStr">
        <is>
          <t>3/C+G</t>
        </is>
      </c>
      <c r="M5366" s="12" t="inlineStr">
        <is>
          <t>500 kcmil</t>
        </is>
      </c>
      <c r="N5366" s="12" t="n">
        <v>12</v>
      </c>
      <c r="O5366" s="12" t="n">
        <v>1</v>
      </c>
      <c r="P5366" s="12" t="n">
        <v>480</v>
      </c>
      <c r="Q5366" s="12" t="n">
        <v>2000</v>
      </c>
      <c r="R5366" s="12" t="n">
        <v>2532.3</v>
      </c>
      <c r="S5366" s="12" t="inlineStr">
        <is>
          <t>Duct bank</t>
        </is>
      </c>
      <c r="T5366" s="17" t="n">
        <v>2559</v>
      </c>
      <c r="U5366" s="17" t="n">
        <v>34</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I-P-0111</t>
        </is>
      </c>
      <c r="B5367" s="12" t="inlineStr">
        <is>
          <t>I</t>
        </is>
      </c>
      <c r="C5367" s="12" t="inlineStr">
        <is>
          <t>Modular / portable power</t>
        </is>
      </c>
      <c r="D5367" s="12" t="inlineStr">
        <is>
          <t>MT-4 microturbine output</t>
        </is>
      </c>
      <c r="E5367" s="12" t="inlineStr">
        <is>
          <t>MT-4</t>
        </is>
      </c>
      <c r="F5367" s="12" t="inlineStr">
        <is>
          <t>MT-4: microturbine 1 MW (Capstone C1000 class)</t>
        </is>
      </c>
      <c r="G5367" s="12" t="inlineStr"/>
      <c r="H5367" s="12" t="inlineStr">
        <is>
          <t>MOD-LV 480 V board + 480 V : 13.8 kV step-up</t>
        </is>
      </c>
      <c r="I5367" s="12" t="inlineStr">
        <is>
          <t>LV 600 V</t>
        </is>
      </c>
      <c r="J5367" s="12" t="inlineStr">
        <is>
          <t>Type TC-ER 600 V 3/C Cu XHHW-2 + ground, PVC jacket</t>
        </is>
      </c>
      <c r="K5367" s="12" t="inlineStr">
        <is>
          <t>LV|3/C+G|500</t>
        </is>
      </c>
      <c r="L5367" s="12" t="inlineStr">
        <is>
          <t>3/C+G</t>
        </is>
      </c>
      <c r="M5367" s="12" t="inlineStr">
        <is>
          <t>500 kcmil</t>
        </is>
      </c>
      <c r="N5367" s="12" t="n">
        <v>12</v>
      </c>
      <c r="O5367" s="12" t="n">
        <v>1</v>
      </c>
      <c r="P5367" s="12" t="n">
        <v>480</v>
      </c>
      <c r="Q5367" s="12" t="n">
        <v>1000</v>
      </c>
      <c r="R5367" s="12" t="n">
        <v>1266.2</v>
      </c>
      <c r="S5367" s="12" t="inlineStr">
        <is>
          <t>Duct bank</t>
        </is>
      </c>
      <c r="T5367" s="17" t="n">
        <v>2583</v>
      </c>
      <c r="U5367" s="17" t="n">
        <v>44</v>
      </c>
      <c r="V5367" s="17">
        <f>ROUNDUP((T5367+U5367+2*'Read Me'!$B$13)*(1+'Read Me'!$B$12),-1)</f>
        <v/>
      </c>
      <c r="W5367" s="17">
        <f>V5367*N5367*O5367</f>
        <v/>
      </c>
      <c r="X5367" s="12">
        <f>IF(LEFT(I5367,2)="MV",2*N5367*IF(L5367="1/C",O5367,1),0)</f>
        <v/>
      </c>
      <c r="Y5367" s="12">
        <f>IF(OR(LEFT(K5367,4)="LVAX",LEFT(K5367,6)="MV15AX",LEFT(K5367,4)="CTAX",LEFT(K5367,2)="W|"),2*N5367*O5367,0)</f>
        <v/>
      </c>
      <c r="Z5367" s="12" t="inlineStr">
        <is>
          <t>VD 2.8 %</t>
        </is>
      </c>
      <c r="AA5367" s="12">
        <f>N5367*O5367</f>
        <v/>
      </c>
    </row>
    <row r="5368">
      <c r="A5368" s="12" t="inlineStr">
        <is>
          <t>I-P-0112</t>
        </is>
      </c>
      <c r="B5368" s="12" t="inlineStr">
        <is>
          <t>I</t>
        </is>
      </c>
      <c r="C5368" s="12" t="inlineStr">
        <is>
          <t>Modular / portable power</t>
        </is>
      </c>
      <c r="D5368" s="12" t="inlineStr">
        <is>
          <t>MT-5 microturbine output</t>
        </is>
      </c>
      <c r="E5368" s="12" t="inlineStr">
        <is>
          <t>MT-5</t>
        </is>
      </c>
      <c r="F5368" s="12" t="inlineStr">
        <is>
          <t>MT-5: microturbine 1 MW (Capstone C1000 class)</t>
        </is>
      </c>
      <c r="G5368" s="12" t="inlineStr"/>
      <c r="H5368" s="12" t="inlineStr">
        <is>
          <t>MOD-LV 480 V board + 480 V : 13.8 kV step-up</t>
        </is>
      </c>
      <c r="I5368" s="12" t="inlineStr">
        <is>
          <t>LV 600 V</t>
        </is>
      </c>
      <c r="J5368" s="12" t="inlineStr">
        <is>
          <t>Type TC-ER 600 V 3/C Cu XHHW-2 + ground, PVC jacket</t>
        </is>
      </c>
      <c r="K5368" s="12" t="inlineStr">
        <is>
          <t>LV|3/C+G|500</t>
        </is>
      </c>
      <c r="L5368" s="12" t="inlineStr">
        <is>
          <t>3/C+G</t>
        </is>
      </c>
      <c r="M5368" s="12" t="inlineStr">
        <is>
          <t>500 kcmil</t>
        </is>
      </c>
      <c r="N5368" s="12" t="n">
        <v>12</v>
      </c>
      <c r="O5368" s="12" t="n">
        <v>1</v>
      </c>
      <c r="P5368" s="12" t="n">
        <v>480</v>
      </c>
      <c r="Q5368" s="12" t="n">
        <v>1000</v>
      </c>
      <c r="R5368" s="12" t="n">
        <v>1266.2</v>
      </c>
      <c r="S5368" s="12" t="inlineStr">
        <is>
          <t>Duct bank</t>
        </is>
      </c>
      <c r="T5368" s="17" t="n">
        <v>2607</v>
      </c>
      <c r="U5368" s="17" t="n">
        <v>34</v>
      </c>
      <c r="V5368" s="17">
        <f>ROUNDUP((T5368+U5368+2*'Read Me'!$B$13)*(1+'Read Me'!$B$12),-1)</f>
        <v/>
      </c>
      <c r="W5368" s="17">
        <f>V5368*N5368*O5368</f>
        <v/>
      </c>
      <c r="X5368" s="12">
        <f>IF(LEFT(I5368,2)="MV",2*N5368*IF(L5368="1/C",O5368,1),0)</f>
        <v/>
      </c>
      <c r="Y5368" s="12">
        <f>IF(OR(LEFT(K5368,4)="LVAX",LEFT(K5368,6)="MV15AX",LEFT(K5368,4)="CTAX",LEFT(K5368,2)="W|"),2*N5368*O5368,0)</f>
        <v/>
      </c>
      <c r="Z5368" s="12" t="inlineStr">
        <is>
          <t>VD 2.9 %</t>
        </is>
      </c>
      <c r="AA5368" s="12">
        <f>N5368*O5368</f>
        <v/>
      </c>
    </row>
    <row r="5369">
      <c r="A5369" s="12" t="inlineStr">
        <is>
          <t>I-P-0113</t>
        </is>
      </c>
      <c r="B5369" s="12" t="inlineStr">
        <is>
          <t>I</t>
        </is>
      </c>
      <c r="C5369" s="12" t="inlineStr">
        <is>
          <t>Modular / portable power</t>
        </is>
      </c>
      <c r="D5369" s="12" t="inlineStr">
        <is>
          <t>MT-6 microturbine output</t>
        </is>
      </c>
      <c r="E5369" s="12" t="inlineStr">
        <is>
          <t>MT-6</t>
        </is>
      </c>
      <c r="F5369" s="12" t="inlineStr">
        <is>
          <t>MT-6: microturbine 1 MW (Capstone C1000 class)</t>
        </is>
      </c>
      <c r="G5369" s="12" t="inlineStr"/>
      <c r="H5369" s="12" t="inlineStr">
        <is>
          <t>MOD-LV 480 V board + 480 V : 13.8 kV step-up</t>
        </is>
      </c>
      <c r="I5369" s="12" t="inlineStr">
        <is>
          <t>LV 600 V</t>
        </is>
      </c>
      <c r="J5369" s="12" t="inlineStr">
        <is>
          <t>Type TC-ER 600 V 3/C Cu XHHW-2 + ground, PVC jacket</t>
        </is>
      </c>
      <c r="K5369" s="12" t="inlineStr">
        <is>
          <t>LV|3/C+G|500</t>
        </is>
      </c>
      <c r="L5369" s="12" t="inlineStr">
        <is>
          <t>3/C+G</t>
        </is>
      </c>
      <c r="M5369" s="12" t="inlineStr">
        <is>
          <t>500 kcmil</t>
        </is>
      </c>
      <c r="N5369" s="12" t="n">
        <v>12</v>
      </c>
      <c r="O5369" s="12" t="n">
        <v>1</v>
      </c>
      <c r="P5369" s="12" t="n">
        <v>480</v>
      </c>
      <c r="Q5369" s="12" t="n">
        <v>1000</v>
      </c>
      <c r="R5369" s="12" t="n">
        <v>1266.2</v>
      </c>
      <c r="S5369" s="12" t="inlineStr">
        <is>
          <t>Duct bank</t>
        </is>
      </c>
      <c r="T5369" s="17" t="n">
        <v>2740</v>
      </c>
      <c r="U5369" s="17" t="n">
        <v>51</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I-P-0114</t>
        </is>
      </c>
      <c r="B5370" s="12" t="inlineStr">
        <is>
          <t>I</t>
        </is>
      </c>
      <c r="C5370" s="12" t="inlineStr">
        <is>
          <t>Modular / portable power</t>
        </is>
      </c>
      <c r="D5370" s="12" t="inlineStr">
        <is>
          <t>PAD-LV to PAD-TX</t>
        </is>
      </c>
      <c r="E5370" s="12" t="inlineStr">
        <is>
          <t>PAD-LV</t>
        </is>
      </c>
      <c r="F5370" s="12" t="inlineStr">
        <is>
          <t>PAD-LV 480 V paralleling switchboard</t>
        </is>
      </c>
      <c r="G5370" s="12" t="inlineStr">
        <is>
          <t>PAD-TX</t>
        </is>
      </c>
      <c r="H5370" s="12" t="inlineStr">
        <is>
          <t>PAD-TX 480 V : 13.8 kV</t>
        </is>
      </c>
      <c r="I5370" s="12" t="inlineStr">
        <is>
          <t>LV 600 V</t>
        </is>
      </c>
      <c r="J5370" s="12" t="inlineStr">
        <is>
          <t>XHHW-2 600 V 1/C Cu (feeder sets in tray / duct)</t>
        </is>
      </c>
      <c r="K5370" s="12" t="inlineStr">
        <is>
          <t>LV1C|1/C|500</t>
        </is>
      </c>
      <c r="L5370" s="12" t="inlineStr">
        <is>
          <t>1/C</t>
        </is>
      </c>
      <c r="M5370" s="12" t="inlineStr">
        <is>
          <t>500 kcmil</t>
        </is>
      </c>
      <c r="N5370" s="12" t="n">
        <v>12</v>
      </c>
      <c r="O5370" s="12" t="n">
        <v>4</v>
      </c>
      <c r="P5370" s="12" t="n">
        <v>480</v>
      </c>
      <c r="Q5370" s="12" t="n">
        <v>3000</v>
      </c>
      <c r="R5370" s="12" t="n">
        <v>3600</v>
      </c>
      <c r="S5370" s="12" t="inlineStr">
        <is>
          <t>Duct bank</t>
        </is>
      </c>
      <c r="T5370" s="17" t="n">
        <v>55</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is>
          <t>12 sets of 4 x 1/C (or bus duct)</t>
        </is>
      </c>
      <c r="AA5370" s="12">
        <f>N5370*O5370</f>
        <v/>
      </c>
    </row>
    <row r="5371">
      <c r="A5371" s="12" t="inlineStr">
        <is>
          <t>I-P-0115</t>
        </is>
      </c>
      <c r="B5371" s="12" t="inlineStr">
        <is>
          <t>I</t>
        </is>
      </c>
      <c r="C5371" s="12" t="inlineStr">
        <is>
          <t>Modular / portable power</t>
        </is>
      </c>
      <c r="D5371" s="12" t="inlineStr">
        <is>
          <t>LV panel / distribution feeder</t>
        </is>
      </c>
      <c r="E5371" s="12" t="inlineStr"/>
      <c r="F5371" s="12" t="inlineStr">
        <is>
          <t>PCM: power control module</t>
        </is>
      </c>
      <c r="G5371" s="12" t="inlineStr"/>
      <c r="H5371" s="12" t="inlineStr">
        <is>
          <t>PCM: power control module</t>
        </is>
      </c>
      <c r="I5371" s="12" t="inlineStr">
        <is>
          <t>LV 600 V</t>
        </is>
      </c>
      <c r="J5371" s="12" t="inlineStr">
        <is>
          <t>Type TC-ER 600 V 3/C Cu XHHW-2 + ground, PVC jacket</t>
        </is>
      </c>
      <c r="K5371" s="12" t="inlineStr">
        <is>
          <t>LV|3/C+G|4</t>
        </is>
      </c>
      <c r="L5371" s="12" t="inlineStr">
        <is>
          <t>3/C+G</t>
        </is>
      </c>
      <c r="M5371" s="12" t="inlineStr">
        <is>
          <t>4</t>
        </is>
      </c>
      <c r="N5371" s="12" t="n">
        <v>1</v>
      </c>
      <c r="O5371" s="12" t="n">
        <v>1</v>
      </c>
      <c r="P5371" s="12" t="n">
        <v>480</v>
      </c>
      <c r="Q5371" s="12" t="n">
        <v>38</v>
      </c>
      <c r="R5371" s="12" t="n">
        <v>53.8</v>
      </c>
      <c r="S5371" s="12" t="inlineStr">
        <is>
          <t>Tray</t>
        </is>
      </c>
      <c r="T5371" s="17" t="n">
        <v>0</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is>
          <t>VD 0.2 %</t>
        </is>
      </c>
      <c r="AA5371" s="12">
        <f>N5371*O5371</f>
        <v/>
      </c>
    </row>
    <row r="5372">
      <c r="A5372" s="12" t="inlineStr">
        <is>
          <t>I-P-0116</t>
        </is>
      </c>
      <c r="B5372" s="12" t="inlineStr">
        <is>
          <t>I</t>
        </is>
      </c>
      <c r="C5372" s="12" t="inlineStr">
        <is>
          <t>Modular / portable power</t>
        </is>
      </c>
      <c r="D5372" s="12" t="inlineStr">
        <is>
          <t>Motor 1 of 1, 15 kW</t>
        </is>
      </c>
      <c r="E5372" s="12" t="inlineStr"/>
      <c r="F5372" s="12" t="inlineStr">
        <is>
          <t>PCM: power control module</t>
        </is>
      </c>
      <c r="G5372" s="12" t="inlineStr"/>
      <c r="H5372" s="12" t="inlineStr">
        <is>
          <t>RICE 1 SCR + oxidation catalyst and stack</t>
        </is>
      </c>
      <c r="I5372" s="12" t="inlineStr">
        <is>
          <t>LV 600 V</t>
        </is>
      </c>
      <c r="J5372" s="12" t="inlineStr">
        <is>
          <t>Type TC-ER 600 V 3/C Cu XHHW-2 + ground, PVC jacket</t>
        </is>
      </c>
      <c r="K5372" s="12" t="inlineStr">
        <is>
          <t>LV|3/C+G|6</t>
        </is>
      </c>
      <c r="L5372" s="12" t="inlineStr">
        <is>
          <t>3/C+G</t>
        </is>
      </c>
      <c r="M5372" s="12" t="inlineStr">
        <is>
          <t>6</t>
        </is>
      </c>
      <c r="N5372" s="12" t="n">
        <v>1</v>
      </c>
      <c r="O5372" s="12" t="n">
        <v>1</v>
      </c>
      <c r="P5372" s="12" t="n">
        <v>480</v>
      </c>
      <c r="Q5372" s="12" t="n">
        <v>15</v>
      </c>
      <c r="R5372" s="12" t="n">
        <v>21.2</v>
      </c>
      <c r="S5372" s="12" t="inlineStr">
        <is>
          <t>Duct bank</t>
        </is>
      </c>
      <c r="T5372" s="17" t="n">
        <v>470</v>
      </c>
      <c r="U5372" s="17" t="n">
        <v>160</v>
      </c>
      <c r="V5372" s="17">
        <f>ROUNDUP((T5372+U5372+2*'Read Me'!$B$13)*(1+'Read Me'!$B$12),-1)</f>
        <v/>
      </c>
      <c r="W5372" s="17">
        <f>V5372*N5372*O5372</f>
        <v/>
      </c>
      <c r="X5372" s="12">
        <f>IF(LEFT(I5372,2)="MV",2*N5372*IF(L5372="1/C",O5372,1),0)</f>
        <v/>
      </c>
      <c r="Y5372" s="12">
        <f>IF(OR(LEFT(K5372,4)="LVAX",LEFT(K5372,6)="MV15AX",LEFT(K5372,4)="CTAX",LEFT(K5372,2)="W|"),2*N5372*O5372,0)</f>
        <v/>
      </c>
      <c r="Z5372" s="12" t="inlineStr">
        <is>
          <t>VD 2.6 %</t>
        </is>
      </c>
      <c r="AA5372" s="12">
        <f>N5372*O5372</f>
        <v/>
      </c>
    </row>
    <row r="5373">
      <c r="A5373" s="12" t="inlineStr">
        <is>
          <t>I-P-0117</t>
        </is>
      </c>
      <c r="B5373" s="12" t="inlineStr">
        <is>
          <t>I</t>
        </is>
      </c>
      <c r="C5373" s="12" t="inlineStr">
        <is>
          <t>Modular / portable power</t>
        </is>
      </c>
      <c r="D5373" s="12" t="inlineStr">
        <is>
          <t>Area / platform lighting circuit 1 (6 fixtures)</t>
        </is>
      </c>
      <c r="E5373" s="12" t="inlineStr"/>
      <c r="F5373" s="12" t="inlineStr">
        <is>
          <t>PCM: power control module</t>
        </is>
      </c>
      <c r="G5373" s="12" t="inlineStr"/>
      <c r="H5373" s="12" t="inlineStr">
        <is>
          <t>RICE 1 SCR + oxidation catalyst and stack</t>
        </is>
      </c>
      <c r="I5373" s="12" t="inlineStr">
        <is>
          <t>LV 600 V</t>
        </is>
      </c>
      <c r="J5373" s="12" t="inlineStr">
        <is>
          <t>Type TC-ER 600 V 3/C Cu XHHW-2 + ground, PVC jacket</t>
        </is>
      </c>
      <c r="K5373" s="12" t="inlineStr">
        <is>
          <t>LV|3/C+G|10</t>
        </is>
      </c>
      <c r="L5373" s="12" t="inlineStr">
        <is>
          <t>3/C+G</t>
        </is>
      </c>
      <c r="M5373" s="12" t="inlineStr">
        <is>
          <t>10</t>
        </is>
      </c>
      <c r="N5373" s="12" t="n">
        <v>1</v>
      </c>
      <c r="O5373" s="12" t="n">
        <v>1</v>
      </c>
      <c r="P5373" s="12" t="n">
        <v>480</v>
      </c>
      <c r="Q5373" s="12" t="n">
        <v>3</v>
      </c>
      <c r="R5373" s="12" t="n">
        <v>5</v>
      </c>
      <c r="S5373" s="12" t="inlineStr">
        <is>
          <t>Duct bank</t>
        </is>
      </c>
      <c r="T5373" s="17" t="n">
        <v>770</v>
      </c>
      <c r="U5373" s="17" t="n">
        <v>160</v>
      </c>
      <c r="V5373" s="17">
        <f>ROUNDUP((T5373+U5373+2*'Read Me'!$B$13)*(1+'Read Me'!$B$12),-1)</f>
        <v/>
      </c>
      <c r="W5373" s="17">
        <f>V5373*N5373*O5373</f>
        <v/>
      </c>
      <c r="X5373" s="12">
        <f>IF(LEFT(I5373,2)="MV",2*N5373*IF(L5373="1/C",O5373,1),0)</f>
        <v/>
      </c>
      <c r="Y5373" s="12">
        <f>IF(OR(LEFT(K5373,4)="LVAX",LEFT(K5373,6)="MV15AX",LEFT(K5373,4)="CTAX",LEFT(K5373,2)="W|"),2*N5373*O5373,0)</f>
        <v/>
      </c>
      <c r="Z5373" s="12" t="inlineStr">
        <is>
          <t>fixture-to-fixture run included</t>
        </is>
      </c>
      <c r="AA5373" s="12">
        <f>N5373*O5373</f>
        <v/>
      </c>
    </row>
    <row r="5374">
      <c r="A5374" s="12" t="inlineStr">
        <is>
          <t>I-P-0118</t>
        </is>
      </c>
      <c r="B5374" s="12" t="inlineStr">
        <is>
          <t>I</t>
        </is>
      </c>
      <c r="C5374" s="12" t="inlineStr">
        <is>
          <t>Modular / portable power</t>
        </is>
      </c>
      <c r="D5374" s="12" t="inlineStr">
        <is>
          <t>Motor 1 of 5, 30 kW (VFD output)</t>
        </is>
      </c>
      <c r="E5374" s="12" t="inlineStr"/>
      <c r="F5374" s="12" t="inlineStr">
        <is>
          <t>PCM: power control module</t>
        </is>
      </c>
      <c r="G5374" s="12" t="inlineStr"/>
      <c r="H5374" s="12" t="inlineStr">
        <is>
          <t>RICE 1 radiators (5)</t>
        </is>
      </c>
      <c r="I5374" s="12" t="inlineStr">
        <is>
          <t>LV 600 V</t>
        </is>
      </c>
      <c r="J5374" s="12" t="inlineStr">
        <is>
          <t>VFD cable 600 V 3/C Cu XHHW-2, 3 symmetrical grounds, overall Cu tape shield, TC-ER</t>
        </is>
      </c>
      <c r="K5374" s="12" t="inlineStr">
        <is>
          <t>VFD|3/C+3G|1</t>
        </is>
      </c>
      <c r="L5374" s="12" t="inlineStr">
        <is>
          <t>3/C+3G</t>
        </is>
      </c>
      <c r="M5374" s="12" t="inlineStr">
        <is>
          <t>1</t>
        </is>
      </c>
      <c r="N5374" s="12" t="n">
        <v>1</v>
      </c>
      <c r="O5374" s="12" t="n">
        <v>1</v>
      </c>
      <c r="P5374" s="12" t="n">
        <v>480</v>
      </c>
      <c r="Q5374" s="12" t="n">
        <v>30</v>
      </c>
      <c r="R5374" s="12" t="n">
        <v>42</v>
      </c>
      <c r="S5374" s="12" t="inlineStr">
        <is>
          <t>Duct bank</t>
        </is>
      </c>
      <c r="T5374" s="17" t="n">
        <v>825</v>
      </c>
      <c r="U5374" s="17" t="n">
        <v>139</v>
      </c>
      <c r="V5374" s="17">
        <f>ROUNDUP((T5374+U5374+2*'Read Me'!$B$13)*(1+'Read Me'!$B$12),-1)</f>
        <v/>
      </c>
      <c r="W5374" s="17">
        <f>V5374*N5374*O5374</f>
        <v/>
      </c>
      <c r="X5374" s="12">
        <f>IF(LEFT(I5374,2)="MV",2*N5374*IF(L5374="1/C",O5374,1),0)</f>
        <v/>
      </c>
      <c r="Y5374" s="12">
        <f>IF(OR(LEFT(K5374,4)="LVAX",LEFT(K5374,6)="MV15AX",LEFT(K5374,4)="CTAX",LEFT(K5374,2)="W|"),2*N5374*O5374,0)</f>
        <v/>
      </c>
      <c r="Z5374" s="12" t="inlineStr">
        <is>
          <t>VD 2.5 %</t>
        </is>
      </c>
      <c r="AA5374" s="12">
        <f>N5374*O5374</f>
        <v/>
      </c>
    </row>
    <row r="5375">
      <c r="A5375" s="12" t="inlineStr">
        <is>
          <t>I-P-0119</t>
        </is>
      </c>
      <c r="B5375" s="12" t="inlineStr">
        <is>
          <t>I</t>
        </is>
      </c>
      <c r="C5375" s="12" t="inlineStr">
        <is>
          <t>Modular / portable power</t>
        </is>
      </c>
      <c r="D5375" s="12" t="inlineStr">
        <is>
          <t>Motor 2 of 5, 30 kW (VFD output)</t>
        </is>
      </c>
      <c r="E5375" s="12" t="inlineStr"/>
      <c r="F5375" s="12" t="inlineStr">
        <is>
          <t>PCM: power control module</t>
        </is>
      </c>
      <c r="G5375" s="12" t="inlineStr"/>
      <c r="H5375" s="12" t="inlineStr">
        <is>
          <t>RICE 1 radiators (5)</t>
        </is>
      </c>
      <c r="I5375" s="12" t="inlineStr">
        <is>
          <t>LV 600 V</t>
        </is>
      </c>
      <c r="J5375" s="12" t="inlineStr">
        <is>
          <t>VFD cable 600 V 3/C Cu XHHW-2, 3 symmetrical grounds, overall Cu tape shield, TC-ER</t>
        </is>
      </c>
      <c r="K5375" s="12" t="inlineStr">
        <is>
          <t>VFD|3/C+3G|1</t>
        </is>
      </c>
      <c r="L5375" s="12" t="inlineStr">
        <is>
          <t>3/C+3G</t>
        </is>
      </c>
      <c r="M5375" s="12" t="inlineStr">
        <is>
          <t>1</t>
        </is>
      </c>
      <c r="N5375" s="12" t="n">
        <v>1</v>
      </c>
      <c r="O5375" s="12" t="n">
        <v>1</v>
      </c>
      <c r="P5375" s="12" t="n">
        <v>480</v>
      </c>
      <c r="Q5375" s="12" t="n">
        <v>30</v>
      </c>
      <c r="R5375" s="12" t="n">
        <v>42</v>
      </c>
      <c r="S5375" s="12" t="inlineStr">
        <is>
          <t>Duct bank</t>
        </is>
      </c>
      <c r="T5375" s="17" t="n">
        <v>825</v>
      </c>
      <c r="U5375" s="17" t="n">
        <v>139</v>
      </c>
      <c r="V5375" s="17">
        <f>ROUNDUP((T5375+U5375+2*'Read Me'!$B$13)*(1+'Read Me'!$B$12),-1)</f>
        <v/>
      </c>
      <c r="W5375" s="17">
        <f>V5375*N5375*O5375</f>
        <v/>
      </c>
      <c r="X5375" s="12">
        <f>IF(LEFT(I5375,2)="MV",2*N5375*IF(L5375="1/C",O5375,1),0)</f>
        <v/>
      </c>
      <c r="Y5375" s="12">
        <f>IF(OR(LEFT(K5375,4)="LVAX",LEFT(K5375,6)="MV15AX",LEFT(K5375,4)="CTAX",LEFT(K5375,2)="W|"),2*N5375*O5375,0)</f>
        <v/>
      </c>
      <c r="Z5375" s="12" t="inlineStr">
        <is>
          <t>VD 2.5 %</t>
        </is>
      </c>
      <c r="AA5375" s="12">
        <f>N5375*O5375</f>
        <v/>
      </c>
    </row>
    <row r="5376">
      <c r="A5376" s="12" t="inlineStr">
        <is>
          <t>I-P-0120</t>
        </is>
      </c>
      <c r="B5376" s="12" t="inlineStr">
        <is>
          <t>I</t>
        </is>
      </c>
      <c r="C5376" s="12" t="inlineStr">
        <is>
          <t>Modular / portable power</t>
        </is>
      </c>
      <c r="D5376" s="12" t="inlineStr">
        <is>
          <t>Motor 3 of 5, 30 kW (VFD output)</t>
        </is>
      </c>
      <c r="E5376" s="12" t="inlineStr"/>
      <c r="F5376" s="12" t="inlineStr">
        <is>
          <t>PCM: power control module</t>
        </is>
      </c>
      <c r="G5376" s="12" t="inlineStr"/>
      <c r="H5376" s="12" t="inlineStr">
        <is>
          <t>RICE 1 radiators (5)</t>
        </is>
      </c>
      <c r="I5376" s="12" t="inlineStr">
        <is>
          <t>LV 600 V</t>
        </is>
      </c>
      <c r="J5376" s="12" t="inlineStr">
        <is>
          <t>VFD cable 600 V 3/C Cu XHHW-2, 3 symmetrical grounds, overall Cu tape shield, TC-ER</t>
        </is>
      </c>
      <c r="K5376" s="12" t="inlineStr">
        <is>
          <t>VFD|3/C+3G|1</t>
        </is>
      </c>
      <c r="L5376" s="12" t="inlineStr">
        <is>
          <t>3/C+3G</t>
        </is>
      </c>
      <c r="M5376" s="12" t="inlineStr">
        <is>
          <t>1</t>
        </is>
      </c>
      <c r="N5376" s="12" t="n">
        <v>1</v>
      </c>
      <c r="O5376" s="12" t="n">
        <v>1</v>
      </c>
      <c r="P5376" s="12" t="n">
        <v>480</v>
      </c>
      <c r="Q5376" s="12" t="n">
        <v>30</v>
      </c>
      <c r="R5376" s="12" t="n">
        <v>42</v>
      </c>
      <c r="S5376" s="12" t="inlineStr">
        <is>
          <t>Duct bank</t>
        </is>
      </c>
      <c r="T5376" s="17" t="n">
        <v>825</v>
      </c>
      <c r="U5376" s="17" t="n">
        <v>139</v>
      </c>
      <c r="V5376" s="17">
        <f>ROUNDUP((T5376+U5376+2*'Read Me'!$B$13)*(1+'Read Me'!$B$12),-1)</f>
        <v/>
      </c>
      <c r="W5376" s="17">
        <f>V5376*N5376*O5376</f>
        <v/>
      </c>
      <c r="X5376" s="12">
        <f>IF(LEFT(I5376,2)="MV",2*N5376*IF(L5376="1/C",O5376,1),0)</f>
        <v/>
      </c>
      <c r="Y5376" s="12">
        <f>IF(OR(LEFT(K5376,4)="LVAX",LEFT(K5376,6)="MV15AX",LEFT(K5376,4)="CTAX",LEFT(K5376,2)="W|"),2*N5376*O5376,0)</f>
        <v/>
      </c>
      <c r="Z5376" s="12" t="inlineStr">
        <is>
          <t>VD 2.5 %</t>
        </is>
      </c>
      <c r="AA5376" s="12">
        <f>N5376*O5376</f>
        <v/>
      </c>
    </row>
    <row r="5377">
      <c r="A5377" s="12" t="inlineStr">
        <is>
          <t>I-P-0121</t>
        </is>
      </c>
      <c r="B5377" s="12" t="inlineStr">
        <is>
          <t>I</t>
        </is>
      </c>
      <c r="C5377" s="12" t="inlineStr">
        <is>
          <t>Modular / portable power</t>
        </is>
      </c>
      <c r="D5377" s="12" t="inlineStr">
        <is>
          <t>Motor 4 of 5, 30 kW (VFD output)</t>
        </is>
      </c>
      <c r="E5377" s="12" t="inlineStr"/>
      <c r="F5377" s="12" t="inlineStr">
        <is>
          <t>PCM: power control module</t>
        </is>
      </c>
      <c r="G5377" s="12" t="inlineStr"/>
      <c r="H5377" s="12" t="inlineStr">
        <is>
          <t>RICE 1 radiators (5)</t>
        </is>
      </c>
      <c r="I5377" s="12" t="inlineStr">
        <is>
          <t>LV 600 V</t>
        </is>
      </c>
      <c r="J5377" s="12" t="inlineStr">
        <is>
          <t>VFD cable 600 V 3/C Cu XHHW-2, 3 symmetrical grounds, overall Cu tape shield, TC-ER</t>
        </is>
      </c>
      <c r="K5377" s="12" t="inlineStr">
        <is>
          <t>VFD|3/C+3G|1</t>
        </is>
      </c>
      <c r="L5377" s="12" t="inlineStr">
        <is>
          <t>3/C+3G</t>
        </is>
      </c>
      <c r="M5377" s="12" t="inlineStr">
        <is>
          <t>1</t>
        </is>
      </c>
      <c r="N5377" s="12" t="n">
        <v>1</v>
      </c>
      <c r="O5377" s="12" t="n">
        <v>1</v>
      </c>
      <c r="P5377" s="12" t="n">
        <v>480</v>
      </c>
      <c r="Q5377" s="12" t="n">
        <v>30</v>
      </c>
      <c r="R5377" s="12" t="n">
        <v>42</v>
      </c>
      <c r="S5377" s="12" t="inlineStr">
        <is>
          <t>Duct bank</t>
        </is>
      </c>
      <c r="T5377" s="17" t="n">
        <v>825</v>
      </c>
      <c r="U5377" s="17" t="n">
        <v>139</v>
      </c>
      <c r="V5377" s="17">
        <f>ROUNDUP((T5377+U5377+2*'Read Me'!$B$13)*(1+'Read Me'!$B$12),-1)</f>
        <v/>
      </c>
      <c r="W5377" s="17">
        <f>V5377*N5377*O5377</f>
        <v/>
      </c>
      <c r="X5377" s="12">
        <f>IF(LEFT(I5377,2)="MV",2*N5377*IF(L5377="1/C",O5377,1),0)</f>
        <v/>
      </c>
      <c r="Y5377" s="12">
        <f>IF(OR(LEFT(K5377,4)="LVAX",LEFT(K5377,6)="MV15AX",LEFT(K5377,4)="CTAX",LEFT(K5377,2)="W|"),2*N5377*O5377,0)</f>
        <v/>
      </c>
      <c r="Z5377" s="12" t="inlineStr">
        <is>
          <t>VD 2.5 %</t>
        </is>
      </c>
      <c r="AA5377" s="12">
        <f>N5377*O5377</f>
        <v/>
      </c>
    </row>
    <row r="5378">
      <c r="A5378" s="12" t="inlineStr">
        <is>
          <t>I-P-0122</t>
        </is>
      </c>
      <c r="B5378" s="12" t="inlineStr">
        <is>
          <t>I</t>
        </is>
      </c>
      <c r="C5378" s="12" t="inlineStr">
        <is>
          <t>Modular / portable power</t>
        </is>
      </c>
      <c r="D5378" s="12" t="inlineStr">
        <is>
          <t>Motor 5 of 5, 30 kW (VFD output)</t>
        </is>
      </c>
      <c r="E5378" s="12" t="inlineStr"/>
      <c r="F5378" s="12" t="inlineStr">
        <is>
          <t>PCM: power control module</t>
        </is>
      </c>
      <c r="G5378" s="12" t="inlineStr"/>
      <c r="H5378" s="12" t="inlineStr">
        <is>
          <t>RICE 1 radiators (5)</t>
        </is>
      </c>
      <c r="I5378" s="12" t="inlineStr">
        <is>
          <t>LV 600 V</t>
        </is>
      </c>
      <c r="J5378" s="12" t="inlineStr">
        <is>
          <t>VFD cable 600 V 3/C Cu XHHW-2, 3 symmetrical grounds, overall Cu tape shield, TC-ER</t>
        </is>
      </c>
      <c r="K5378" s="12" t="inlineStr">
        <is>
          <t>VFD|3/C+3G|1</t>
        </is>
      </c>
      <c r="L5378" s="12" t="inlineStr">
        <is>
          <t>3/C+3G</t>
        </is>
      </c>
      <c r="M5378" s="12" t="inlineStr">
        <is>
          <t>1</t>
        </is>
      </c>
      <c r="N5378" s="12" t="n">
        <v>1</v>
      </c>
      <c r="O5378" s="12" t="n">
        <v>1</v>
      </c>
      <c r="P5378" s="12" t="n">
        <v>480</v>
      </c>
      <c r="Q5378" s="12" t="n">
        <v>30</v>
      </c>
      <c r="R5378" s="12" t="n">
        <v>42</v>
      </c>
      <c r="S5378" s="12" t="inlineStr">
        <is>
          <t>Duct bank</t>
        </is>
      </c>
      <c r="T5378" s="17" t="n">
        <v>825</v>
      </c>
      <c r="U5378" s="17" t="n">
        <v>139</v>
      </c>
      <c r="V5378" s="17">
        <f>ROUNDUP((T5378+U5378+2*'Read Me'!$B$13)*(1+'Read Me'!$B$12),-1)</f>
        <v/>
      </c>
      <c r="W5378" s="17">
        <f>V5378*N5378*O5378</f>
        <v/>
      </c>
      <c r="X5378" s="12">
        <f>IF(LEFT(I5378,2)="MV",2*N5378*IF(L5378="1/C",O5378,1),0)</f>
        <v/>
      </c>
      <c r="Y5378" s="12">
        <f>IF(OR(LEFT(K5378,4)="LVAX",LEFT(K5378,6)="MV15AX",LEFT(K5378,4)="CTAX",LEFT(K5378,2)="W|"),2*N5378*O5378,0)</f>
        <v/>
      </c>
      <c r="Z5378" s="12" t="inlineStr">
        <is>
          <t>VD 2.5 %</t>
        </is>
      </c>
      <c r="AA5378" s="12">
        <f>N5378*O5378</f>
        <v/>
      </c>
    </row>
    <row r="5379">
      <c r="A5379" s="12" t="inlineStr">
        <is>
          <t>I-P-0123</t>
        </is>
      </c>
      <c r="B5379" s="12" t="inlineStr">
        <is>
          <t>I</t>
        </is>
      </c>
      <c r="C5379" s="12" t="inlineStr">
        <is>
          <t>Modular / portable power</t>
        </is>
      </c>
      <c r="D5379" s="12" t="inlineStr">
        <is>
          <t>Motor 1 of 1, 15 kW</t>
        </is>
      </c>
      <c r="E5379" s="12" t="inlineStr"/>
      <c r="F5379" s="12" t="inlineStr">
        <is>
          <t>PCM: power control module</t>
        </is>
      </c>
      <c r="G5379" s="12" t="inlineStr"/>
      <c r="H5379" s="12" t="inlineStr">
        <is>
          <t>RICE 2 SCR + oxidation catalyst and stack</t>
        </is>
      </c>
      <c r="I5379" s="12" t="inlineStr">
        <is>
          <t>LV 600 V</t>
        </is>
      </c>
      <c r="J5379" s="12" t="inlineStr">
        <is>
          <t>Type TC-ER 600 V 3/C Cu XHHW-2 + ground, PVC jacket</t>
        </is>
      </c>
      <c r="K5379" s="12" t="inlineStr">
        <is>
          <t>LV|3/C+G|6</t>
        </is>
      </c>
      <c r="L5379" s="12" t="inlineStr">
        <is>
          <t>3/C+G</t>
        </is>
      </c>
      <c r="M5379" s="12" t="inlineStr">
        <is>
          <t>6</t>
        </is>
      </c>
      <c r="N5379" s="12" t="n">
        <v>1</v>
      </c>
      <c r="O5379" s="12" t="n">
        <v>1</v>
      </c>
      <c r="P5379" s="12" t="n">
        <v>480</v>
      </c>
      <c r="Q5379" s="12" t="n">
        <v>15</v>
      </c>
      <c r="R5379" s="12" t="n">
        <v>21.2</v>
      </c>
      <c r="S5379" s="12" t="inlineStr">
        <is>
          <t>Duct bank</t>
        </is>
      </c>
      <c r="T5379" s="17" t="n">
        <v>470</v>
      </c>
      <c r="U5379" s="17" t="n">
        <v>132</v>
      </c>
      <c r="V5379" s="17">
        <f>ROUNDUP((T5379+U5379+2*'Read Me'!$B$13)*(1+'Read Me'!$B$12),-1)</f>
        <v/>
      </c>
      <c r="W5379" s="17">
        <f>V5379*N5379*O5379</f>
        <v/>
      </c>
      <c r="X5379" s="12">
        <f>IF(LEFT(I5379,2)="MV",2*N5379*IF(L5379="1/C",O5379,1),0)</f>
        <v/>
      </c>
      <c r="Y5379" s="12">
        <f>IF(OR(LEFT(K5379,4)="LVAX",LEFT(K5379,6)="MV15AX",LEFT(K5379,4)="CTAX",LEFT(K5379,2)="W|"),2*N5379*O5379,0)</f>
        <v/>
      </c>
      <c r="Z5379" s="12" t="inlineStr">
        <is>
          <t>VD 2.5 %</t>
        </is>
      </c>
      <c r="AA5379" s="12">
        <f>N5379*O5379</f>
        <v/>
      </c>
    </row>
    <row r="5380">
      <c r="A5380" s="12" t="inlineStr">
        <is>
          <t>I-P-0124</t>
        </is>
      </c>
      <c r="B5380" s="12" t="inlineStr">
        <is>
          <t>I</t>
        </is>
      </c>
      <c r="C5380" s="12" t="inlineStr">
        <is>
          <t>Modular / portable power</t>
        </is>
      </c>
      <c r="D5380" s="12" t="inlineStr">
        <is>
          <t>Area / platform lighting circuit 1 (6 fixtures)</t>
        </is>
      </c>
      <c r="E5380" s="12" t="inlineStr"/>
      <c r="F5380" s="12" t="inlineStr">
        <is>
          <t>PCM: power control module</t>
        </is>
      </c>
      <c r="G5380" s="12" t="inlineStr"/>
      <c r="H5380" s="12" t="inlineStr">
        <is>
          <t>RICE 2 SCR + oxidation catalyst and stack</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3</v>
      </c>
      <c r="R5380" s="12" t="n">
        <v>5</v>
      </c>
      <c r="S5380" s="12" t="inlineStr">
        <is>
          <t>Duct bank</t>
        </is>
      </c>
      <c r="T5380" s="17" t="n">
        <v>770</v>
      </c>
      <c r="U5380" s="17" t="n">
        <v>132</v>
      </c>
      <c r="V5380" s="17">
        <f>ROUNDUP((T5380+U5380+2*'Read Me'!$B$13)*(1+'Read Me'!$B$12),-1)</f>
        <v/>
      </c>
      <c r="W5380" s="17">
        <f>V5380*N5380*O5380</f>
        <v/>
      </c>
      <c r="X5380" s="12">
        <f>IF(LEFT(I5380,2)="MV",2*N5380*IF(L5380="1/C",O5380,1),0)</f>
        <v/>
      </c>
      <c r="Y5380" s="12">
        <f>IF(OR(LEFT(K5380,4)="LVAX",LEFT(K5380,6)="MV15AX",LEFT(K5380,4)="CTAX",LEFT(K5380,2)="W|"),2*N5380*O5380,0)</f>
        <v/>
      </c>
      <c r="Z5380" s="12" t="inlineStr">
        <is>
          <t>fixture-to-fixture run included</t>
        </is>
      </c>
      <c r="AA5380" s="12">
        <f>N5380*O5380</f>
        <v/>
      </c>
    </row>
    <row r="5381">
      <c r="A5381" s="12" t="inlineStr">
        <is>
          <t>I-P-0125</t>
        </is>
      </c>
      <c r="B5381" s="12" t="inlineStr">
        <is>
          <t>I</t>
        </is>
      </c>
      <c r="C5381" s="12" t="inlineStr">
        <is>
          <t>Modular / portable power</t>
        </is>
      </c>
      <c r="D5381" s="12" t="inlineStr">
        <is>
          <t>Motor 1 of 5, 30 kW (VFD output)</t>
        </is>
      </c>
      <c r="E5381" s="12" t="inlineStr"/>
      <c r="F5381" s="12" t="inlineStr">
        <is>
          <t>PCM: power control module</t>
        </is>
      </c>
      <c r="G5381" s="12" t="inlineStr"/>
      <c r="H5381" s="12" t="inlineStr">
        <is>
          <t>RICE 2 radiators (5)</t>
        </is>
      </c>
      <c r="I5381" s="12" t="inlineStr">
        <is>
          <t>LV 600 V</t>
        </is>
      </c>
      <c r="J5381" s="12" t="inlineStr">
        <is>
          <t>VFD cable 600 V 3/C Cu XHHW-2, 3 symmetrical grounds, overall Cu tape shield, TC-ER</t>
        </is>
      </c>
      <c r="K5381" s="12" t="inlineStr">
        <is>
          <t>VFD|3/C+3G|2</t>
        </is>
      </c>
      <c r="L5381" s="12" t="inlineStr">
        <is>
          <t>3/C+3G</t>
        </is>
      </c>
      <c r="M5381" s="12" t="inlineStr">
        <is>
          <t>2</t>
        </is>
      </c>
      <c r="N5381" s="12" t="n">
        <v>1</v>
      </c>
      <c r="O5381" s="12" t="n">
        <v>1</v>
      </c>
      <c r="P5381" s="12" t="n">
        <v>480</v>
      </c>
      <c r="Q5381" s="12" t="n">
        <v>30</v>
      </c>
      <c r="R5381" s="12" t="n">
        <v>42</v>
      </c>
      <c r="S5381" s="12" t="inlineStr">
        <is>
          <t>Duct bank</t>
        </is>
      </c>
      <c r="T5381" s="17" t="n">
        <v>630</v>
      </c>
      <c r="U5381" s="17" t="n">
        <v>192</v>
      </c>
      <c r="V5381" s="17">
        <f>ROUNDUP((T5381+U5381+2*'Read Me'!$B$13)*(1+'Read Me'!$B$12),-1)</f>
        <v/>
      </c>
      <c r="W5381" s="17">
        <f>V5381*N5381*O5381</f>
        <v/>
      </c>
      <c r="X5381" s="12">
        <f>IF(LEFT(I5381,2)="MV",2*N5381*IF(L5381="1/C",O5381,1),0)</f>
        <v/>
      </c>
      <c r="Y5381" s="12">
        <f>IF(OR(LEFT(K5381,4)="LVAX",LEFT(K5381,6)="MV15AX",LEFT(K5381,4)="CTAX",LEFT(K5381,2)="W|"),2*N5381*O5381,0)</f>
        <v/>
      </c>
      <c r="Z5381" s="12" t="inlineStr">
        <is>
          <t>VD 2.7 %</t>
        </is>
      </c>
      <c r="AA5381" s="12">
        <f>N5381*O5381</f>
        <v/>
      </c>
    </row>
    <row r="5382">
      <c r="A5382" s="12" t="inlineStr">
        <is>
          <t>I-P-0126</t>
        </is>
      </c>
      <c r="B5382" s="12" t="inlineStr">
        <is>
          <t>I</t>
        </is>
      </c>
      <c r="C5382" s="12" t="inlineStr">
        <is>
          <t>Modular / portable power</t>
        </is>
      </c>
      <c r="D5382" s="12" t="inlineStr">
        <is>
          <t>Motor 2 of 5, 30 kW (VFD output)</t>
        </is>
      </c>
      <c r="E5382" s="12" t="inlineStr"/>
      <c r="F5382" s="12" t="inlineStr">
        <is>
          <t>PCM: power control module</t>
        </is>
      </c>
      <c r="G5382" s="12" t="inlineStr"/>
      <c r="H5382" s="12" t="inlineStr">
        <is>
          <t>RICE 2 radiators (5)</t>
        </is>
      </c>
      <c r="I5382" s="12" t="inlineStr">
        <is>
          <t>LV 600 V</t>
        </is>
      </c>
      <c r="J5382" s="12" t="inlineStr">
        <is>
          <t>VFD cable 600 V 3/C Cu XHHW-2, 3 symmetrical grounds, overall Cu tape shield, TC-ER</t>
        </is>
      </c>
      <c r="K5382" s="12" t="inlineStr">
        <is>
          <t>VFD|3/C+3G|2</t>
        </is>
      </c>
      <c r="L5382" s="12" t="inlineStr">
        <is>
          <t>3/C+3G</t>
        </is>
      </c>
      <c r="M5382" s="12" t="inlineStr">
        <is>
          <t>2</t>
        </is>
      </c>
      <c r="N5382" s="12" t="n">
        <v>1</v>
      </c>
      <c r="O5382" s="12" t="n">
        <v>1</v>
      </c>
      <c r="P5382" s="12" t="n">
        <v>480</v>
      </c>
      <c r="Q5382" s="12" t="n">
        <v>30</v>
      </c>
      <c r="R5382" s="12" t="n">
        <v>42</v>
      </c>
      <c r="S5382" s="12" t="inlineStr">
        <is>
          <t>Duct bank</t>
        </is>
      </c>
      <c r="T5382" s="17" t="n">
        <v>630</v>
      </c>
      <c r="U5382" s="17" t="n">
        <v>192</v>
      </c>
      <c r="V5382" s="17">
        <f>ROUNDUP((T5382+U5382+2*'Read Me'!$B$13)*(1+'Read Me'!$B$12),-1)</f>
        <v/>
      </c>
      <c r="W5382" s="17">
        <f>V5382*N5382*O5382</f>
        <v/>
      </c>
      <c r="X5382" s="12">
        <f>IF(LEFT(I5382,2)="MV",2*N5382*IF(L5382="1/C",O5382,1),0)</f>
        <v/>
      </c>
      <c r="Y5382" s="12">
        <f>IF(OR(LEFT(K5382,4)="LVAX",LEFT(K5382,6)="MV15AX",LEFT(K5382,4)="CTAX",LEFT(K5382,2)="W|"),2*N5382*O5382,0)</f>
        <v/>
      </c>
      <c r="Z5382" s="12" t="inlineStr">
        <is>
          <t>VD 2.7 %</t>
        </is>
      </c>
      <c r="AA5382" s="12">
        <f>N5382*O5382</f>
        <v/>
      </c>
    </row>
    <row r="5383">
      <c r="A5383" s="12" t="inlineStr">
        <is>
          <t>I-P-0127</t>
        </is>
      </c>
      <c r="B5383" s="12" t="inlineStr">
        <is>
          <t>I</t>
        </is>
      </c>
      <c r="C5383" s="12" t="inlineStr">
        <is>
          <t>Modular / portable power</t>
        </is>
      </c>
      <c r="D5383" s="12" t="inlineStr">
        <is>
          <t>Motor 3 of 5, 30 kW (VFD output)</t>
        </is>
      </c>
      <c r="E5383" s="12" t="inlineStr"/>
      <c r="F5383" s="12" t="inlineStr">
        <is>
          <t>PCM: power control module</t>
        </is>
      </c>
      <c r="G5383" s="12" t="inlineStr"/>
      <c r="H5383" s="12" t="inlineStr">
        <is>
          <t>RICE 2 radiators (5)</t>
        </is>
      </c>
      <c r="I5383" s="12" t="inlineStr">
        <is>
          <t>LV 600 V</t>
        </is>
      </c>
      <c r="J5383" s="12" t="inlineStr">
        <is>
          <t>VFD cable 600 V 3/C Cu XHHW-2, 3 symmetrical grounds, overall Cu tape shield, TC-ER</t>
        </is>
      </c>
      <c r="K5383" s="12" t="inlineStr">
        <is>
          <t>VFD|3/C+3G|2</t>
        </is>
      </c>
      <c r="L5383" s="12" t="inlineStr">
        <is>
          <t>3/C+3G</t>
        </is>
      </c>
      <c r="M5383" s="12" t="inlineStr">
        <is>
          <t>2</t>
        </is>
      </c>
      <c r="N5383" s="12" t="n">
        <v>1</v>
      </c>
      <c r="O5383" s="12" t="n">
        <v>1</v>
      </c>
      <c r="P5383" s="12" t="n">
        <v>480</v>
      </c>
      <c r="Q5383" s="12" t="n">
        <v>30</v>
      </c>
      <c r="R5383" s="12" t="n">
        <v>42</v>
      </c>
      <c r="S5383" s="12" t="inlineStr">
        <is>
          <t>Duct bank</t>
        </is>
      </c>
      <c r="T5383" s="17" t="n">
        <v>630</v>
      </c>
      <c r="U5383" s="17" t="n">
        <v>192</v>
      </c>
      <c r="V5383" s="17">
        <f>ROUNDUP((T5383+U5383+2*'Read Me'!$B$13)*(1+'Read Me'!$B$12),-1)</f>
        <v/>
      </c>
      <c r="W5383" s="17">
        <f>V5383*N5383*O5383</f>
        <v/>
      </c>
      <c r="X5383" s="12">
        <f>IF(LEFT(I5383,2)="MV",2*N5383*IF(L5383="1/C",O5383,1),0)</f>
        <v/>
      </c>
      <c r="Y5383" s="12">
        <f>IF(OR(LEFT(K5383,4)="LVAX",LEFT(K5383,6)="MV15AX",LEFT(K5383,4)="CTAX",LEFT(K5383,2)="W|"),2*N5383*O5383,0)</f>
        <v/>
      </c>
      <c r="Z5383" s="12" t="inlineStr">
        <is>
          <t>VD 2.7 %</t>
        </is>
      </c>
      <c r="AA5383" s="12">
        <f>N5383*O5383</f>
        <v/>
      </c>
    </row>
    <row r="5384">
      <c r="A5384" s="12" t="inlineStr">
        <is>
          <t>I-P-0128</t>
        </is>
      </c>
      <c r="B5384" s="12" t="inlineStr">
        <is>
          <t>I</t>
        </is>
      </c>
      <c r="C5384" s="12" t="inlineStr">
        <is>
          <t>Modular / portable power</t>
        </is>
      </c>
      <c r="D5384" s="12" t="inlineStr">
        <is>
          <t>Motor 4 of 5, 30 kW (VFD output)</t>
        </is>
      </c>
      <c r="E5384" s="12" t="inlineStr"/>
      <c r="F5384" s="12" t="inlineStr">
        <is>
          <t>PCM: power control module</t>
        </is>
      </c>
      <c r="G5384" s="12" t="inlineStr"/>
      <c r="H5384" s="12" t="inlineStr">
        <is>
          <t>RICE 2 radiators (5)</t>
        </is>
      </c>
      <c r="I5384" s="12" t="inlineStr">
        <is>
          <t>LV 600 V</t>
        </is>
      </c>
      <c r="J5384" s="12" t="inlineStr">
        <is>
          <t>VFD cable 600 V 3/C Cu XHHW-2, 3 symmetrical grounds, overall Cu tape shield, TC-ER</t>
        </is>
      </c>
      <c r="K5384" s="12" t="inlineStr">
        <is>
          <t>VFD|3/C+3G|2</t>
        </is>
      </c>
      <c r="L5384" s="12" t="inlineStr">
        <is>
          <t>3/C+3G</t>
        </is>
      </c>
      <c r="M5384" s="12" t="inlineStr">
        <is>
          <t>2</t>
        </is>
      </c>
      <c r="N5384" s="12" t="n">
        <v>1</v>
      </c>
      <c r="O5384" s="12" t="n">
        <v>1</v>
      </c>
      <c r="P5384" s="12" t="n">
        <v>480</v>
      </c>
      <c r="Q5384" s="12" t="n">
        <v>30</v>
      </c>
      <c r="R5384" s="12" t="n">
        <v>42</v>
      </c>
      <c r="S5384" s="12" t="inlineStr">
        <is>
          <t>Duct bank</t>
        </is>
      </c>
      <c r="T5384" s="17" t="n">
        <v>630</v>
      </c>
      <c r="U5384" s="17" t="n">
        <v>192</v>
      </c>
      <c r="V5384" s="17">
        <f>ROUNDUP((T5384+U5384+2*'Read Me'!$B$13)*(1+'Read Me'!$B$12),-1)</f>
        <v/>
      </c>
      <c r="W5384" s="17">
        <f>V5384*N5384*O5384</f>
        <v/>
      </c>
      <c r="X5384" s="12">
        <f>IF(LEFT(I5384,2)="MV",2*N5384*IF(L5384="1/C",O5384,1),0)</f>
        <v/>
      </c>
      <c r="Y5384" s="12">
        <f>IF(OR(LEFT(K5384,4)="LVAX",LEFT(K5384,6)="MV15AX",LEFT(K5384,4)="CTAX",LEFT(K5384,2)="W|"),2*N5384*O5384,0)</f>
        <v/>
      </c>
      <c r="Z5384" s="12" t="inlineStr">
        <is>
          <t>VD 2.7 %</t>
        </is>
      </c>
      <c r="AA5384" s="12">
        <f>N5384*O5384</f>
        <v/>
      </c>
    </row>
    <row r="5385">
      <c r="A5385" s="12" t="inlineStr">
        <is>
          <t>I-P-0129</t>
        </is>
      </c>
      <c r="B5385" s="12" t="inlineStr">
        <is>
          <t>I</t>
        </is>
      </c>
      <c r="C5385" s="12" t="inlineStr">
        <is>
          <t>Modular / portable power</t>
        </is>
      </c>
      <c r="D5385" s="12" t="inlineStr">
        <is>
          <t>Motor 5 of 5, 30 kW (VFD output)</t>
        </is>
      </c>
      <c r="E5385" s="12" t="inlineStr"/>
      <c r="F5385" s="12" t="inlineStr">
        <is>
          <t>PCM: power control module</t>
        </is>
      </c>
      <c r="G5385" s="12" t="inlineStr"/>
      <c r="H5385" s="12" t="inlineStr">
        <is>
          <t>RICE 2 radiators (5)</t>
        </is>
      </c>
      <c r="I5385" s="12" t="inlineStr">
        <is>
          <t>LV 600 V</t>
        </is>
      </c>
      <c r="J5385" s="12" t="inlineStr">
        <is>
          <t>VFD cable 600 V 3/C Cu XHHW-2, 3 symmetrical grounds, overall Cu tape shield, TC-ER</t>
        </is>
      </c>
      <c r="K5385" s="12" t="inlineStr">
        <is>
          <t>VFD|3/C+3G|2</t>
        </is>
      </c>
      <c r="L5385" s="12" t="inlineStr">
        <is>
          <t>3/C+3G</t>
        </is>
      </c>
      <c r="M5385" s="12" t="inlineStr">
        <is>
          <t>2</t>
        </is>
      </c>
      <c r="N5385" s="12" t="n">
        <v>1</v>
      </c>
      <c r="O5385" s="12" t="n">
        <v>1</v>
      </c>
      <c r="P5385" s="12" t="n">
        <v>480</v>
      </c>
      <c r="Q5385" s="12" t="n">
        <v>30</v>
      </c>
      <c r="R5385" s="12" t="n">
        <v>42</v>
      </c>
      <c r="S5385" s="12" t="inlineStr">
        <is>
          <t>Duct bank</t>
        </is>
      </c>
      <c r="T5385" s="17" t="n">
        <v>630</v>
      </c>
      <c r="U5385" s="17" t="n">
        <v>192</v>
      </c>
      <c r="V5385" s="17">
        <f>ROUNDUP((T5385+U5385+2*'Read Me'!$B$13)*(1+'Read Me'!$B$12),-1)</f>
        <v/>
      </c>
      <c r="W5385" s="17">
        <f>V5385*N5385*O5385</f>
        <v/>
      </c>
      <c r="X5385" s="12">
        <f>IF(LEFT(I5385,2)="MV",2*N5385*IF(L5385="1/C",O5385,1),0)</f>
        <v/>
      </c>
      <c r="Y5385" s="12">
        <f>IF(OR(LEFT(K5385,4)="LVAX",LEFT(K5385,6)="MV15AX",LEFT(K5385,4)="CTAX",LEFT(K5385,2)="W|"),2*N5385*O5385,0)</f>
        <v/>
      </c>
      <c r="Z5385" s="12" t="inlineStr">
        <is>
          <t>VD 2.7 %</t>
        </is>
      </c>
      <c r="AA5385" s="12">
        <f>N5385*O5385</f>
        <v/>
      </c>
    </row>
    <row r="5386">
      <c r="A5386" s="12" t="inlineStr">
        <is>
          <t>I-P-0130</t>
        </is>
      </c>
      <c r="B5386" s="12" t="inlineStr">
        <is>
          <t>I</t>
        </is>
      </c>
      <c r="C5386" s="12" t="inlineStr">
        <is>
          <t>Modular / portable power</t>
        </is>
      </c>
      <c r="D5386" s="12" t="inlineStr">
        <is>
          <t>Motor 1 of 1, 15 kW</t>
        </is>
      </c>
      <c r="E5386" s="12" t="inlineStr"/>
      <c r="F5386" s="12" t="inlineStr">
        <is>
          <t>PCM: power control module</t>
        </is>
      </c>
      <c r="G5386" s="12" t="inlineStr"/>
      <c r="H5386" s="12" t="inlineStr">
        <is>
          <t>RICE 3 SCR + oxidation catalyst and stack</t>
        </is>
      </c>
      <c r="I5386" s="12" t="inlineStr">
        <is>
          <t>LV 600 V</t>
        </is>
      </c>
      <c r="J5386" s="12" t="inlineStr">
        <is>
          <t>Type TC-ER 600 V 3/C Cu XHHW-2 + ground, PVC jacket</t>
        </is>
      </c>
      <c r="K5386" s="12" t="inlineStr">
        <is>
          <t>LV|3/C+G|6</t>
        </is>
      </c>
      <c r="L5386" s="12" t="inlineStr">
        <is>
          <t>3/C+G</t>
        </is>
      </c>
      <c r="M5386" s="12" t="inlineStr">
        <is>
          <t>6</t>
        </is>
      </c>
      <c r="N5386" s="12" t="n">
        <v>1</v>
      </c>
      <c r="O5386" s="12" t="n">
        <v>1</v>
      </c>
      <c r="P5386" s="12" t="n">
        <v>480</v>
      </c>
      <c r="Q5386" s="12" t="n">
        <v>15</v>
      </c>
      <c r="R5386" s="12" t="n">
        <v>21.2</v>
      </c>
      <c r="S5386" s="12" t="inlineStr">
        <is>
          <t>Duct bank</t>
        </is>
      </c>
      <c r="T5386" s="17" t="n">
        <v>470</v>
      </c>
      <c r="U5386" s="17" t="n">
        <v>104</v>
      </c>
      <c r="V5386" s="17">
        <f>ROUNDUP((T5386+U5386+2*'Read Me'!$B$13)*(1+'Read Me'!$B$12),-1)</f>
        <v/>
      </c>
      <c r="W5386" s="17">
        <f>V5386*N5386*O5386</f>
        <v/>
      </c>
      <c r="X5386" s="12">
        <f>IF(LEFT(I5386,2)="MV",2*N5386*IF(L5386="1/C",O5386,1),0)</f>
        <v/>
      </c>
      <c r="Y5386" s="12">
        <f>IF(OR(LEFT(K5386,4)="LVAX",LEFT(K5386,6)="MV15AX",LEFT(K5386,4)="CTAX",LEFT(K5386,2)="W|"),2*N5386*O5386,0)</f>
        <v/>
      </c>
      <c r="Z5386" s="12" t="inlineStr">
        <is>
          <t>VD 2.4 %</t>
        </is>
      </c>
      <c r="AA5386" s="12">
        <f>N5386*O5386</f>
        <v/>
      </c>
    </row>
    <row r="5387">
      <c r="A5387" s="12" t="inlineStr">
        <is>
          <t>I-P-0131</t>
        </is>
      </c>
      <c r="B5387" s="12" t="inlineStr">
        <is>
          <t>I</t>
        </is>
      </c>
      <c r="C5387" s="12" t="inlineStr">
        <is>
          <t>Modular / portable power</t>
        </is>
      </c>
      <c r="D5387" s="12" t="inlineStr">
        <is>
          <t>Area / platform lighting circuit 1 (6 fixtures)</t>
        </is>
      </c>
      <c r="E5387" s="12" t="inlineStr"/>
      <c r="F5387" s="12" t="inlineStr">
        <is>
          <t>PCM: power control module</t>
        </is>
      </c>
      <c r="G5387" s="12" t="inlineStr"/>
      <c r="H5387" s="12" t="inlineStr">
        <is>
          <t>RICE 3 SCR + oxidation catalyst and stack</t>
        </is>
      </c>
      <c r="I5387" s="12" t="inlineStr">
        <is>
          <t>LV 600 V</t>
        </is>
      </c>
      <c r="J5387" s="12" t="inlineStr">
        <is>
          <t>Type TC-ER 600 V 3/C Cu XHHW-2 + ground, PVC jacket</t>
        </is>
      </c>
      <c r="K5387" s="12" t="inlineStr">
        <is>
          <t>LV|3/C+G|10</t>
        </is>
      </c>
      <c r="L5387" s="12" t="inlineStr">
        <is>
          <t>3/C+G</t>
        </is>
      </c>
      <c r="M5387" s="12" t="inlineStr">
        <is>
          <t>10</t>
        </is>
      </c>
      <c r="N5387" s="12" t="n">
        <v>1</v>
      </c>
      <c r="O5387" s="12" t="n">
        <v>1</v>
      </c>
      <c r="P5387" s="12" t="n">
        <v>480</v>
      </c>
      <c r="Q5387" s="12" t="n">
        <v>3</v>
      </c>
      <c r="R5387" s="12" t="n">
        <v>5</v>
      </c>
      <c r="S5387" s="12" t="inlineStr">
        <is>
          <t>Duct bank</t>
        </is>
      </c>
      <c r="T5387" s="17" t="n">
        <v>770</v>
      </c>
      <c r="U5387" s="17" t="n">
        <v>104</v>
      </c>
      <c r="V5387" s="17">
        <f>ROUNDUP((T5387+U5387+2*'Read Me'!$B$13)*(1+'Read Me'!$B$12),-1)</f>
        <v/>
      </c>
      <c r="W5387" s="17">
        <f>V5387*N5387*O5387</f>
        <v/>
      </c>
      <c r="X5387" s="12">
        <f>IF(LEFT(I5387,2)="MV",2*N5387*IF(L5387="1/C",O5387,1),0)</f>
        <v/>
      </c>
      <c r="Y5387" s="12">
        <f>IF(OR(LEFT(K5387,4)="LVAX",LEFT(K5387,6)="MV15AX",LEFT(K5387,4)="CTAX",LEFT(K5387,2)="W|"),2*N5387*O5387,0)</f>
        <v/>
      </c>
      <c r="Z5387" s="12" t="inlineStr">
        <is>
          <t>fixture-to-fixture run included</t>
        </is>
      </c>
      <c r="AA5387" s="12">
        <f>N5387*O5387</f>
        <v/>
      </c>
    </row>
    <row r="5388">
      <c r="A5388" s="12" t="inlineStr">
        <is>
          <t>I-P-0132</t>
        </is>
      </c>
      <c r="B5388" s="12" t="inlineStr">
        <is>
          <t>I</t>
        </is>
      </c>
      <c r="C5388" s="12" t="inlineStr">
        <is>
          <t>Modular / portable power</t>
        </is>
      </c>
      <c r="D5388" s="12" t="inlineStr">
        <is>
          <t>Motor 1 of 5, 30 kW (VFD output)</t>
        </is>
      </c>
      <c r="E5388" s="12" t="inlineStr"/>
      <c r="F5388" s="12" t="inlineStr">
        <is>
          <t>PCM: power control module</t>
        </is>
      </c>
      <c r="G5388" s="12" t="inlineStr"/>
      <c r="H5388" s="12" t="inlineStr">
        <is>
          <t>RICE 3 radiators (5)</t>
        </is>
      </c>
      <c r="I5388" s="12" t="inlineStr">
        <is>
          <t>LV 600 V</t>
        </is>
      </c>
      <c r="J5388" s="12" t="inlineStr">
        <is>
          <t>VFD cable 600 V 3/C Cu XHHW-2, 3 symmetrical grounds, overall Cu tape shield, TC-ER</t>
        </is>
      </c>
      <c r="K5388" s="12" t="inlineStr">
        <is>
          <t>VFD|3/C+3G|6</t>
        </is>
      </c>
      <c r="L5388" s="12" t="inlineStr">
        <is>
          <t>3/C+3G</t>
        </is>
      </c>
      <c r="M5388" s="12" t="inlineStr">
        <is>
          <t>6</t>
        </is>
      </c>
      <c r="N5388" s="12" t="n">
        <v>1</v>
      </c>
      <c r="O5388" s="12" t="n">
        <v>1</v>
      </c>
      <c r="P5388" s="12" t="n">
        <v>480</v>
      </c>
      <c r="Q5388" s="12" t="n">
        <v>30</v>
      </c>
      <c r="R5388" s="12" t="n">
        <v>42</v>
      </c>
      <c r="S5388" s="12" t="inlineStr">
        <is>
          <t>Tray</t>
        </is>
      </c>
      <c r="T5388" s="17" t="n">
        <v>120</v>
      </c>
      <c r="U5388" s="17" t="n">
        <v>240</v>
      </c>
      <c r="V5388" s="17">
        <f>ROUNDUP((T5388+U5388+2*'Read Me'!$B$13)*(1+'Read Me'!$B$12),-1)</f>
        <v/>
      </c>
      <c r="W5388" s="17">
        <f>V5388*N5388*O5388</f>
        <v/>
      </c>
      <c r="X5388" s="12">
        <f>IF(LEFT(I5388,2)="MV",2*N5388*IF(L5388="1/C",O5388,1),0)</f>
        <v/>
      </c>
      <c r="Y5388" s="12">
        <f>IF(OR(LEFT(K5388,4)="LVAX",LEFT(K5388,6)="MV15AX",LEFT(K5388,4)="CTAX",LEFT(K5388,2)="W|"),2*N5388*O5388,0)</f>
        <v/>
      </c>
      <c r="Z5388" s="12" t="inlineStr">
        <is>
          <t>VD 3.0 %</t>
        </is>
      </c>
      <c r="AA5388" s="12">
        <f>N5388*O5388</f>
        <v/>
      </c>
    </row>
    <row r="5389">
      <c r="A5389" s="12" t="inlineStr">
        <is>
          <t>I-P-0133</t>
        </is>
      </c>
      <c r="B5389" s="12" t="inlineStr">
        <is>
          <t>I</t>
        </is>
      </c>
      <c r="C5389" s="12" t="inlineStr">
        <is>
          <t>Modular / portable power</t>
        </is>
      </c>
      <c r="D5389" s="12" t="inlineStr">
        <is>
          <t>Motor 2 of 5, 30 kW (VFD output)</t>
        </is>
      </c>
      <c r="E5389" s="12" t="inlineStr"/>
      <c r="F5389" s="12" t="inlineStr">
        <is>
          <t>PCM: power control module</t>
        </is>
      </c>
      <c r="G5389" s="12" t="inlineStr"/>
      <c r="H5389" s="12" t="inlineStr">
        <is>
          <t>RICE 3 radiators (5)</t>
        </is>
      </c>
      <c r="I5389" s="12" t="inlineStr">
        <is>
          <t>LV 600 V</t>
        </is>
      </c>
      <c r="J5389" s="12" t="inlineStr">
        <is>
          <t>VFD cable 600 V 3/C Cu XHHW-2, 3 symmetrical grounds, overall Cu tape shield, TC-ER</t>
        </is>
      </c>
      <c r="K5389" s="12" t="inlineStr">
        <is>
          <t>VFD|3/C+3G|6</t>
        </is>
      </c>
      <c r="L5389" s="12" t="inlineStr">
        <is>
          <t>3/C+3G</t>
        </is>
      </c>
      <c r="M5389" s="12" t="inlineStr">
        <is>
          <t>6</t>
        </is>
      </c>
      <c r="N5389" s="12" t="n">
        <v>1</v>
      </c>
      <c r="O5389" s="12" t="n">
        <v>1</v>
      </c>
      <c r="P5389" s="12" t="n">
        <v>480</v>
      </c>
      <c r="Q5389" s="12" t="n">
        <v>30</v>
      </c>
      <c r="R5389" s="12" t="n">
        <v>42</v>
      </c>
      <c r="S5389" s="12" t="inlineStr">
        <is>
          <t>Tray</t>
        </is>
      </c>
      <c r="T5389" s="17" t="n">
        <v>120</v>
      </c>
      <c r="U5389" s="17" t="n">
        <v>240</v>
      </c>
      <c r="V5389" s="17">
        <f>ROUNDUP((T5389+U5389+2*'Read Me'!$B$13)*(1+'Read Me'!$B$12),-1)</f>
        <v/>
      </c>
      <c r="W5389" s="17">
        <f>V5389*N5389*O5389</f>
        <v/>
      </c>
      <c r="X5389" s="12">
        <f>IF(LEFT(I5389,2)="MV",2*N5389*IF(L5389="1/C",O5389,1),0)</f>
        <v/>
      </c>
      <c r="Y5389" s="12">
        <f>IF(OR(LEFT(K5389,4)="LVAX",LEFT(K5389,6)="MV15AX",LEFT(K5389,4)="CTAX",LEFT(K5389,2)="W|"),2*N5389*O5389,0)</f>
        <v/>
      </c>
      <c r="Z5389" s="12" t="inlineStr">
        <is>
          <t>VD 3.0 %</t>
        </is>
      </c>
      <c r="AA5389" s="12">
        <f>N5389*O5389</f>
        <v/>
      </c>
    </row>
    <row r="5390">
      <c r="A5390" s="12" t="inlineStr">
        <is>
          <t>I-P-0134</t>
        </is>
      </c>
      <c r="B5390" s="12" t="inlineStr">
        <is>
          <t>I</t>
        </is>
      </c>
      <c r="C5390" s="12" t="inlineStr">
        <is>
          <t>Modular / portable power</t>
        </is>
      </c>
      <c r="D5390" s="12" t="inlineStr">
        <is>
          <t>Motor 3 of 5, 30 kW (VFD output)</t>
        </is>
      </c>
      <c r="E5390" s="12" t="inlineStr"/>
      <c r="F5390" s="12" t="inlineStr">
        <is>
          <t>PCM: power control module</t>
        </is>
      </c>
      <c r="G5390" s="12" t="inlineStr"/>
      <c r="H5390" s="12" t="inlineStr">
        <is>
          <t>RICE 3 radiators (5)</t>
        </is>
      </c>
      <c r="I5390" s="12" t="inlineStr">
        <is>
          <t>LV 600 V</t>
        </is>
      </c>
      <c r="J5390" s="12" t="inlineStr">
        <is>
          <t>VFD cable 600 V 3/C Cu XHHW-2, 3 symmetrical grounds, overall Cu tape shield, TC-ER</t>
        </is>
      </c>
      <c r="K5390" s="12" t="inlineStr">
        <is>
          <t>VFD|3/C+3G|6</t>
        </is>
      </c>
      <c r="L5390" s="12" t="inlineStr">
        <is>
          <t>3/C+3G</t>
        </is>
      </c>
      <c r="M5390" s="12" t="inlineStr">
        <is>
          <t>6</t>
        </is>
      </c>
      <c r="N5390" s="12" t="n">
        <v>1</v>
      </c>
      <c r="O5390" s="12" t="n">
        <v>1</v>
      </c>
      <c r="P5390" s="12" t="n">
        <v>480</v>
      </c>
      <c r="Q5390" s="12" t="n">
        <v>30</v>
      </c>
      <c r="R5390" s="12" t="n">
        <v>42</v>
      </c>
      <c r="S5390" s="12" t="inlineStr">
        <is>
          <t>Tray</t>
        </is>
      </c>
      <c r="T5390" s="17" t="n">
        <v>120</v>
      </c>
      <c r="U5390" s="17" t="n">
        <v>240</v>
      </c>
      <c r="V5390" s="17">
        <f>ROUNDUP((T5390+U5390+2*'Read Me'!$B$13)*(1+'Read Me'!$B$12),-1)</f>
        <v/>
      </c>
      <c r="W5390" s="17">
        <f>V5390*N5390*O5390</f>
        <v/>
      </c>
      <c r="X5390" s="12">
        <f>IF(LEFT(I5390,2)="MV",2*N5390*IF(L5390="1/C",O5390,1),0)</f>
        <v/>
      </c>
      <c r="Y5390" s="12">
        <f>IF(OR(LEFT(K5390,4)="LVAX",LEFT(K5390,6)="MV15AX",LEFT(K5390,4)="CTAX",LEFT(K5390,2)="W|"),2*N5390*O5390,0)</f>
        <v/>
      </c>
      <c r="Z5390" s="12" t="inlineStr">
        <is>
          <t>VD 3.0 %</t>
        </is>
      </c>
      <c r="AA5390" s="12">
        <f>N5390*O5390</f>
        <v/>
      </c>
    </row>
    <row r="5391">
      <c r="A5391" s="12" t="inlineStr">
        <is>
          <t>I-P-0135</t>
        </is>
      </c>
      <c r="B5391" s="12" t="inlineStr">
        <is>
          <t>I</t>
        </is>
      </c>
      <c r="C5391" s="12" t="inlineStr">
        <is>
          <t>Modular / portable power</t>
        </is>
      </c>
      <c r="D5391" s="12" t="inlineStr">
        <is>
          <t>Motor 4 of 5, 30 kW (VFD output)</t>
        </is>
      </c>
      <c r="E5391" s="12" t="inlineStr"/>
      <c r="F5391" s="12" t="inlineStr">
        <is>
          <t>PCM: power control module</t>
        </is>
      </c>
      <c r="G5391" s="12" t="inlineStr"/>
      <c r="H5391" s="12" t="inlineStr">
        <is>
          <t>RICE 3 radiators (5)</t>
        </is>
      </c>
      <c r="I5391" s="12" t="inlineStr">
        <is>
          <t>LV 600 V</t>
        </is>
      </c>
      <c r="J5391" s="12" t="inlineStr">
        <is>
          <t>VFD cable 600 V 3/C Cu XHHW-2, 3 symmetrical grounds, overall Cu tape shield, TC-ER</t>
        </is>
      </c>
      <c r="K5391" s="12" t="inlineStr">
        <is>
          <t>VFD|3/C+3G|6</t>
        </is>
      </c>
      <c r="L5391" s="12" t="inlineStr">
        <is>
          <t>3/C+3G</t>
        </is>
      </c>
      <c r="M5391" s="12" t="inlineStr">
        <is>
          <t>6</t>
        </is>
      </c>
      <c r="N5391" s="12" t="n">
        <v>1</v>
      </c>
      <c r="O5391" s="12" t="n">
        <v>1</v>
      </c>
      <c r="P5391" s="12" t="n">
        <v>480</v>
      </c>
      <c r="Q5391" s="12" t="n">
        <v>30</v>
      </c>
      <c r="R5391" s="12" t="n">
        <v>42</v>
      </c>
      <c r="S5391" s="12" t="inlineStr">
        <is>
          <t>Tray</t>
        </is>
      </c>
      <c r="T5391" s="17" t="n">
        <v>120</v>
      </c>
      <c r="U5391" s="17" t="n">
        <v>240</v>
      </c>
      <c r="V5391" s="17">
        <f>ROUNDUP((T5391+U5391+2*'Read Me'!$B$13)*(1+'Read Me'!$B$12),-1)</f>
        <v/>
      </c>
      <c r="W5391" s="17">
        <f>V5391*N5391*O5391</f>
        <v/>
      </c>
      <c r="X5391" s="12">
        <f>IF(LEFT(I5391,2)="MV",2*N5391*IF(L5391="1/C",O5391,1),0)</f>
        <v/>
      </c>
      <c r="Y5391" s="12">
        <f>IF(OR(LEFT(K5391,4)="LVAX",LEFT(K5391,6)="MV15AX",LEFT(K5391,4)="CTAX",LEFT(K5391,2)="W|"),2*N5391*O5391,0)</f>
        <v/>
      </c>
      <c r="Z5391" s="12" t="inlineStr">
        <is>
          <t>VD 3.0 %</t>
        </is>
      </c>
      <c r="AA5391" s="12">
        <f>N5391*O5391</f>
        <v/>
      </c>
    </row>
    <row r="5392">
      <c r="A5392" s="12" t="inlineStr">
        <is>
          <t>I-P-0136</t>
        </is>
      </c>
      <c r="B5392" s="12" t="inlineStr">
        <is>
          <t>I</t>
        </is>
      </c>
      <c r="C5392" s="12" t="inlineStr">
        <is>
          <t>Modular / portable power</t>
        </is>
      </c>
      <c r="D5392" s="12" t="inlineStr">
        <is>
          <t>Motor 5 of 5, 30 kW (VFD output)</t>
        </is>
      </c>
      <c r="E5392" s="12" t="inlineStr"/>
      <c r="F5392" s="12" t="inlineStr">
        <is>
          <t>PCM: power control module</t>
        </is>
      </c>
      <c r="G5392" s="12" t="inlineStr"/>
      <c r="H5392" s="12" t="inlineStr">
        <is>
          <t>RICE 3 radiators (5)</t>
        </is>
      </c>
      <c r="I5392" s="12" t="inlineStr">
        <is>
          <t>LV 600 V</t>
        </is>
      </c>
      <c r="J5392" s="12" t="inlineStr">
        <is>
          <t>VFD cable 600 V 3/C Cu XHHW-2, 3 symmetrical grounds, overall Cu tape shield, TC-ER</t>
        </is>
      </c>
      <c r="K5392" s="12" t="inlineStr">
        <is>
          <t>VFD|3/C+3G|6</t>
        </is>
      </c>
      <c r="L5392" s="12" t="inlineStr">
        <is>
          <t>3/C+3G</t>
        </is>
      </c>
      <c r="M5392" s="12" t="inlineStr">
        <is>
          <t>6</t>
        </is>
      </c>
      <c r="N5392" s="12" t="n">
        <v>1</v>
      </c>
      <c r="O5392" s="12" t="n">
        <v>1</v>
      </c>
      <c r="P5392" s="12" t="n">
        <v>480</v>
      </c>
      <c r="Q5392" s="12" t="n">
        <v>30</v>
      </c>
      <c r="R5392" s="12" t="n">
        <v>42</v>
      </c>
      <c r="S5392" s="12" t="inlineStr">
        <is>
          <t>Tray</t>
        </is>
      </c>
      <c r="T5392" s="17" t="n">
        <v>120</v>
      </c>
      <c r="U5392" s="17" t="n">
        <v>240</v>
      </c>
      <c r="V5392" s="17">
        <f>ROUNDUP((T5392+U5392+2*'Read Me'!$B$13)*(1+'Read Me'!$B$12),-1)</f>
        <v/>
      </c>
      <c r="W5392" s="17">
        <f>V5392*N5392*O5392</f>
        <v/>
      </c>
      <c r="X5392" s="12">
        <f>IF(LEFT(I5392,2)="MV",2*N5392*IF(L5392="1/C",O5392,1),0)</f>
        <v/>
      </c>
      <c r="Y5392" s="12">
        <f>IF(OR(LEFT(K5392,4)="LVAX",LEFT(K5392,6)="MV15AX",LEFT(K5392,4)="CTAX",LEFT(K5392,2)="W|"),2*N5392*O5392,0)</f>
        <v/>
      </c>
      <c r="Z5392" s="12" t="inlineStr">
        <is>
          <t>VD 3.0 %</t>
        </is>
      </c>
      <c r="AA5392" s="12">
        <f>N5392*O5392</f>
        <v/>
      </c>
    </row>
    <row r="5393">
      <c r="A5393" s="12" t="inlineStr">
        <is>
          <t>I-P-0137</t>
        </is>
      </c>
      <c r="B5393" s="12" t="inlineStr">
        <is>
          <t>I</t>
        </is>
      </c>
      <c r="C5393" s="12" t="inlineStr">
        <is>
          <t>Modular / portable power</t>
        </is>
      </c>
      <c r="D5393" s="12" t="inlineStr">
        <is>
          <t>Motor 1 of 1, 15 kW</t>
        </is>
      </c>
      <c r="E5393" s="12" t="inlineStr"/>
      <c r="F5393" s="12" t="inlineStr">
        <is>
          <t>PCM: power control module</t>
        </is>
      </c>
      <c r="G5393" s="12" t="inlineStr"/>
      <c r="H5393" s="12" t="inlineStr">
        <is>
          <t>RICE 4 SCR + oxidation catalyst and stack</t>
        </is>
      </c>
      <c r="I5393" s="12" t="inlineStr">
        <is>
          <t>LV 600 V</t>
        </is>
      </c>
      <c r="J5393" s="12" t="inlineStr">
        <is>
          <t>Type TC-ER 600 V 3/C Cu XHHW-2 + ground, PVC jacket</t>
        </is>
      </c>
      <c r="K5393" s="12" t="inlineStr">
        <is>
          <t>LV|3/C+G|6</t>
        </is>
      </c>
      <c r="L5393" s="12" t="inlineStr">
        <is>
          <t>3/C+G</t>
        </is>
      </c>
      <c r="M5393" s="12" t="inlineStr">
        <is>
          <t>6</t>
        </is>
      </c>
      <c r="N5393" s="12" t="n">
        <v>1</v>
      </c>
      <c r="O5393" s="12" t="n">
        <v>1</v>
      </c>
      <c r="P5393" s="12" t="n">
        <v>480</v>
      </c>
      <c r="Q5393" s="12" t="n">
        <v>15</v>
      </c>
      <c r="R5393" s="12" t="n">
        <v>21.2</v>
      </c>
      <c r="S5393" s="12" t="inlineStr">
        <is>
          <t>Duct bank</t>
        </is>
      </c>
      <c r="T5393" s="17" t="n">
        <v>470</v>
      </c>
      <c r="U5393" s="17" t="n">
        <v>76</v>
      </c>
      <c r="V5393" s="17">
        <f>ROUNDUP((T5393+U5393+2*'Read Me'!$B$13)*(1+'Read Me'!$B$12),-1)</f>
        <v/>
      </c>
      <c r="W5393" s="17">
        <f>V5393*N5393*O5393</f>
        <v/>
      </c>
      <c r="X5393" s="12">
        <f>IF(LEFT(I5393,2)="MV",2*N5393*IF(L5393="1/C",O5393,1),0)</f>
        <v/>
      </c>
      <c r="Y5393" s="12">
        <f>IF(OR(LEFT(K5393,4)="LVAX",LEFT(K5393,6)="MV15AX",LEFT(K5393,4)="CTAX",LEFT(K5393,2)="W|"),2*N5393*O5393,0)</f>
        <v/>
      </c>
      <c r="Z5393" s="12" t="inlineStr">
        <is>
          <t>VD 2.3 %</t>
        </is>
      </c>
      <c r="AA5393" s="12">
        <f>N5393*O5393</f>
        <v/>
      </c>
    </row>
    <row r="5394">
      <c r="A5394" s="12" t="inlineStr">
        <is>
          <t>I-P-0138</t>
        </is>
      </c>
      <c r="B5394" s="12" t="inlineStr">
        <is>
          <t>I</t>
        </is>
      </c>
      <c r="C5394" s="12" t="inlineStr">
        <is>
          <t>Modular / portable power</t>
        </is>
      </c>
      <c r="D5394" s="12" t="inlineStr">
        <is>
          <t>Area / platform lighting circuit 1 (6 fixtures)</t>
        </is>
      </c>
      <c r="E5394" s="12" t="inlineStr"/>
      <c r="F5394" s="12" t="inlineStr">
        <is>
          <t>PCM: power control module</t>
        </is>
      </c>
      <c r="G5394" s="12" t="inlineStr"/>
      <c r="H5394" s="12" t="inlineStr">
        <is>
          <t>RICE 4 SCR + oxidation catalyst and stack</t>
        </is>
      </c>
      <c r="I5394" s="12" t="inlineStr">
        <is>
          <t>LV 600 V</t>
        </is>
      </c>
      <c r="J5394" s="12" t="inlineStr">
        <is>
          <t>Type TC-ER 600 V 3/C Cu XHHW-2 + ground, PVC jacket</t>
        </is>
      </c>
      <c r="K5394" s="12" t="inlineStr">
        <is>
          <t>LV|3/C+G|10</t>
        </is>
      </c>
      <c r="L5394" s="12" t="inlineStr">
        <is>
          <t>3/C+G</t>
        </is>
      </c>
      <c r="M5394" s="12" t="inlineStr">
        <is>
          <t>10</t>
        </is>
      </c>
      <c r="N5394" s="12" t="n">
        <v>1</v>
      </c>
      <c r="O5394" s="12" t="n">
        <v>1</v>
      </c>
      <c r="P5394" s="12" t="n">
        <v>480</v>
      </c>
      <c r="Q5394" s="12" t="n">
        <v>3</v>
      </c>
      <c r="R5394" s="12" t="n">
        <v>5</v>
      </c>
      <c r="S5394" s="12" t="inlineStr">
        <is>
          <t>Duct bank</t>
        </is>
      </c>
      <c r="T5394" s="17" t="n">
        <v>770</v>
      </c>
      <c r="U5394" s="17" t="n">
        <v>76</v>
      </c>
      <c r="V5394" s="17">
        <f>ROUNDUP((T5394+U5394+2*'Read Me'!$B$13)*(1+'Read Me'!$B$12),-1)</f>
        <v/>
      </c>
      <c r="W5394" s="17">
        <f>V5394*N5394*O5394</f>
        <v/>
      </c>
      <c r="X5394" s="12">
        <f>IF(LEFT(I5394,2)="MV",2*N5394*IF(L5394="1/C",O5394,1),0)</f>
        <v/>
      </c>
      <c r="Y5394" s="12">
        <f>IF(OR(LEFT(K5394,4)="LVAX",LEFT(K5394,6)="MV15AX",LEFT(K5394,4)="CTAX",LEFT(K5394,2)="W|"),2*N5394*O5394,0)</f>
        <v/>
      </c>
      <c r="Z5394" s="12" t="inlineStr">
        <is>
          <t>fixture-to-fixture run included</t>
        </is>
      </c>
      <c r="AA5394" s="12">
        <f>N5394*O5394</f>
        <v/>
      </c>
    </row>
    <row r="5395">
      <c r="A5395" s="12" t="inlineStr">
        <is>
          <t>I-P-0139</t>
        </is>
      </c>
      <c r="B5395" s="12" t="inlineStr">
        <is>
          <t>I</t>
        </is>
      </c>
      <c r="C5395" s="12" t="inlineStr">
        <is>
          <t>Modular / portable power</t>
        </is>
      </c>
      <c r="D5395" s="12" t="inlineStr">
        <is>
          <t>Motor 1 of 5, 30 kW (VFD output)</t>
        </is>
      </c>
      <c r="E5395" s="12" t="inlineStr"/>
      <c r="F5395" s="12" t="inlineStr">
        <is>
          <t>PCM: power control module</t>
        </is>
      </c>
      <c r="G5395" s="12" t="inlineStr"/>
      <c r="H5395" s="12" t="inlineStr">
        <is>
          <t>RICE 4 radiators (5)</t>
        </is>
      </c>
      <c r="I5395" s="12" t="inlineStr">
        <is>
          <t>LV 600 V</t>
        </is>
      </c>
      <c r="J5395" s="12" t="inlineStr">
        <is>
          <t>VFD cable 600 V 3/C Cu XHHW-2, 3 symmetrical grounds, overall Cu tape shield, TC-ER</t>
        </is>
      </c>
      <c r="K5395" s="12" t="inlineStr">
        <is>
          <t>VFD|3/C+3G|6</t>
        </is>
      </c>
      <c r="L5395" s="12" t="inlineStr">
        <is>
          <t>3/C+3G</t>
        </is>
      </c>
      <c r="M5395" s="12" t="inlineStr">
        <is>
          <t>6</t>
        </is>
      </c>
      <c r="N5395" s="12" t="n">
        <v>1</v>
      </c>
      <c r="O5395" s="12" t="n">
        <v>1</v>
      </c>
      <c r="P5395" s="12" t="n">
        <v>480</v>
      </c>
      <c r="Q5395" s="12" t="n">
        <v>30</v>
      </c>
      <c r="R5395" s="12" t="n">
        <v>42</v>
      </c>
      <c r="S5395" s="12" t="inlineStr">
        <is>
          <t>Tray</t>
        </is>
      </c>
      <c r="T5395" s="17" t="n">
        <v>80</v>
      </c>
      <c r="U5395" s="17" t="n">
        <v>206</v>
      </c>
      <c r="V5395" s="17">
        <f>ROUNDUP((T5395+U5395+2*'Read Me'!$B$13)*(1+'Read Me'!$B$12),-1)</f>
        <v/>
      </c>
      <c r="W5395" s="17">
        <f>V5395*N5395*O5395</f>
        <v/>
      </c>
      <c r="X5395" s="12">
        <f>IF(LEFT(I5395,2)="MV",2*N5395*IF(L5395="1/C",O5395,1),0)</f>
        <v/>
      </c>
      <c r="Y5395" s="12">
        <f>IF(OR(LEFT(K5395,4)="LVAX",LEFT(K5395,6)="MV15AX",LEFT(K5395,4)="CTAX",LEFT(K5395,2)="W|"),2*N5395*O5395,0)</f>
        <v/>
      </c>
      <c r="Z5395" s="12" t="inlineStr">
        <is>
          <t>VD 2.4 %</t>
        </is>
      </c>
      <c r="AA5395" s="12">
        <f>N5395*O5395</f>
        <v/>
      </c>
    </row>
    <row r="5396">
      <c r="A5396" s="12" t="inlineStr">
        <is>
          <t>I-P-0140</t>
        </is>
      </c>
      <c r="B5396" s="12" t="inlineStr">
        <is>
          <t>I</t>
        </is>
      </c>
      <c r="C5396" s="12" t="inlineStr">
        <is>
          <t>Modular / portable power</t>
        </is>
      </c>
      <c r="D5396" s="12" t="inlineStr">
        <is>
          <t>Motor 2 of 5, 30 kW (VFD output)</t>
        </is>
      </c>
      <c r="E5396" s="12" t="inlineStr"/>
      <c r="F5396" s="12" t="inlineStr">
        <is>
          <t>PCM: power control module</t>
        </is>
      </c>
      <c r="G5396" s="12" t="inlineStr"/>
      <c r="H5396" s="12" t="inlineStr">
        <is>
          <t>RICE 4 radiators (5)</t>
        </is>
      </c>
      <c r="I5396" s="12" t="inlineStr">
        <is>
          <t>LV 600 V</t>
        </is>
      </c>
      <c r="J5396" s="12" t="inlineStr">
        <is>
          <t>VFD cable 600 V 3/C Cu XHHW-2, 3 symmetrical grounds, overall Cu tape shield, TC-ER</t>
        </is>
      </c>
      <c r="K5396" s="12" t="inlineStr">
        <is>
          <t>VFD|3/C+3G|6</t>
        </is>
      </c>
      <c r="L5396" s="12" t="inlineStr">
        <is>
          <t>3/C+3G</t>
        </is>
      </c>
      <c r="M5396" s="12" t="inlineStr">
        <is>
          <t>6</t>
        </is>
      </c>
      <c r="N5396" s="12" t="n">
        <v>1</v>
      </c>
      <c r="O5396" s="12" t="n">
        <v>1</v>
      </c>
      <c r="P5396" s="12" t="n">
        <v>480</v>
      </c>
      <c r="Q5396" s="12" t="n">
        <v>30</v>
      </c>
      <c r="R5396" s="12" t="n">
        <v>42</v>
      </c>
      <c r="S5396" s="12" t="inlineStr">
        <is>
          <t>Tray</t>
        </is>
      </c>
      <c r="T5396" s="17" t="n">
        <v>80</v>
      </c>
      <c r="U5396" s="17" t="n">
        <v>206</v>
      </c>
      <c r="V5396" s="17">
        <f>ROUNDUP((T5396+U5396+2*'Read Me'!$B$13)*(1+'Read Me'!$B$12),-1)</f>
        <v/>
      </c>
      <c r="W5396" s="17">
        <f>V5396*N5396*O5396</f>
        <v/>
      </c>
      <c r="X5396" s="12">
        <f>IF(LEFT(I5396,2)="MV",2*N5396*IF(L5396="1/C",O5396,1),0)</f>
        <v/>
      </c>
      <c r="Y5396" s="12">
        <f>IF(OR(LEFT(K5396,4)="LVAX",LEFT(K5396,6)="MV15AX",LEFT(K5396,4)="CTAX",LEFT(K5396,2)="W|"),2*N5396*O5396,0)</f>
        <v/>
      </c>
      <c r="Z5396" s="12" t="inlineStr">
        <is>
          <t>VD 2.4 %</t>
        </is>
      </c>
      <c r="AA5396" s="12">
        <f>N5396*O5396</f>
        <v/>
      </c>
    </row>
    <row r="5397">
      <c r="A5397" s="12" t="inlineStr">
        <is>
          <t>I-P-0141</t>
        </is>
      </c>
      <c r="B5397" s="12" t="inlineStr">
        <is>
          <t>I</t>
        </is>
      </c>
      <c r="C5397" s="12" t="inlineStr">
        <is>
          <t>Modular / portable power</t>
        </is>
      </c>
      <c r="D5397" s="12" t="inlineStr">
        <is>
          <t>Motor 3 of 5, 30 kW (VFD output)</t>
        </is>
      </c>
      <c r="E5397" s="12" t="inlineStr"/>
      <c r="F5397" s="12" t="inlineStr">
        <is>
          <t>PCM: power control module</t>
        </is>
      </c>
      <c r="G5397" s="12" t="inlineStr"/>
      <c r="H5397" s="12" t="inlineStr">
        <is>
          <t>RICE 4 radiators (5)</t>
        </is>
      </c>
      <c r="I5397" s="12" t="inlineStr">
        <is>
          <t>LV 600 V</t>
        </is>
      </c>
      <c r="J5397" s="12" t="inlineStr">
        <is>
          <t>VFD cable 600 V 3/C Cu XHHW-2, 3 symmetrical grounds, overall Cu tape shield, TC-ER</t>
        </is>
      </c>
      <c r="K5397" s="12" t="inlineStr">
        <is>
          <t>VFD|3/C+3G|6</t>
        </is>
      </c>
      <c r="L5397" s="12" t="inlineStr">
        <is>
          <t>3/C+3G</t>
        </is>
      </c>
      <c r="M5397" s="12" t="inlineStr">
        <is>
          <t>6</t>
        </is>
      </c>
      <c r="N5397" s="12" t="n">
        <v>1</v>
      </c>
      <c r="O5397" s="12" t="n">
        <v>1</v>
      </c>
      <c r="P5397" s="12" t="n">
        <v>480</v>
      </c>
      <c r="Q5397" s="12" t="n">
        <v>30</v>
      </c>
      <c r="R5397" s="12" t="n">
        <v>42</v>
      </c>
      <c r="S5397" s="12" t="inlineStr">
        <is>
          <t>Tray</t>
        </is>
      </c>
      <c r="T5397" s="17" t="n">
        <v>80</v>
      </c>
      <c r="U5397" s="17" t="n">
        <v>206</v>
      </c>
      <c r="V5397" s="17">
        <f>ROUNDUP((T5397+U5397+2*'Read Me'!$B$13)*(1+'Read Me'!$B$12),-1)</f>
        <v/>
      </c>
      <c r="W5397" s="17">
        <f>V5397*N5397*O5397</f>
        <v/>
      </c>
      <c r="X5397" s="12">
        <f>IF(LEFT(I5397,2)="MV",2*N5397*IF(L5397="1/C",O5397,1),0)</f>
        <v/>
      </c>
      <c r="Y5397" s="12">
        <f>IF(OR(LEFT(K5397,4)="LVAX",LEFT(K5397,6)="MV15AX",LEFT(K5397,4)="CTAX",LEFT(K5397,2)="W|"),2*N5397*O5397,0)</f>
        <v/>
      </c>
      <c r="Z5397" s="12" t="inlineStr">
        <is>
          <t>VD 2.4 %</t>
        </is>
      </c>
      <c r="AA5397" s="12">
        <f>N5397*O5397</f>
        <v/>
      </c>
    </row>
    <row r="5398">
      <c r="A5398" s="12" t="inlineStr">
        <is>
          <t>I-P-0142</t>
        </is>
      </c>
      <c r="B5398" s="12" t="inlineStr">
        <is>
          <t>I</t>
        </is>
      </c>
      <c r="C5398" s="12" t="inlineStr">
        <is>
          <t>Modular / portable power</t>
        </is>
      </c>
      <c r="D5398" s="12" t="inlineStr">
        <is>
          <t>Motor 4 of 5, 30 kW (VFD output)</t>
        </is>
      </c>
      <c r="E5398" s="12" t="inlineStr"/>
      <c r="F5398" s="12" t="inlineStr">
        <is>
          <t>PCM: power control module</t>
        </is>
      </c>
      <c r="G5398" s="12" t="inlineStr"/>
      <c r="H5398" s="12" t="inlineStr">
        <is>
          <t>RICE 4 radiators (5)</t>
        </is>
      </c>
      <c r="I5398" s="12" t="inlineStr">
        <is>
          <t>LV 600 V</t>
        </is>
      </c>
      <c r="J5398" s="12" t="inlineStr">
        <is>
          <t>VFD cable 600 V 3/C Cu XHHW-2, 3 symmetrical grounds, overall Cu tape shield, TC-ER</t>
        </is>
      </c>
      <c r="K5398" s="12" t="inlineStr">
        <is>
          <t>VFD|3/C+3G|6</t>
        </is>
      </c>
      <c r="L5398" s="12" t="inlineStr">
        <is>
          <t>3/C+3G</t>
        </is>
      </c>
      <c r="M5398" s="12" t="inlineStr">
        <is>
          <t>6</t>
        </is>
      </c>
      <c r="N5398" s="12" t="n">
        <v>1</v>
      </c>
      <c r="O5398" s="12" t="n">
        <v>1</v>
      </c>
      <c r="P5398" s="12" t="n">
        <v>480</v>
      </c>
      <c r="Q5398" s="12" t="n">
        <v>30</v>
      </c>
      <c r="R5398" s="12" t="n">
        <v>42</v>
      </c>
      <c r="S5398" s="12" t="inlineStr">
        <is>
          <t>Tray</t>
        </is>
      </c>
      <c r="T5398" s="17" t="n">
        <v>80</v>
      </c>
      <c r="U5398" s="17" t="n">
        <v>206</v>
      </c>
      <c r="V5398" s="17">
        <f>ROUNDUP((T5398+U5398+2*'Read Me'!$B$13)*(1+'Read Me'!$B$12),-1)</f>
        <v/>
      </c>
      <c r="W5398" s="17">
        <f>V5398*N5398*O5398</f>
        <v/>
      </c>
      <c r="X5398" s="12">
        <f>IF(LEFT(I5398,2)="MV",2*N5398*IF(L5398="1/C",O5398,1),0)</f>
        <v/>
      </c>
      <c r="Y5398" s="12">
        <f>IF(OR(LEFT(K5398,4)="LVAX",LEFT(K5398,6)="MV15AX",LEFT(K5398,4)="CTAX",LEFT(K5398,2)="W|"),2*N5398*O5398,0)</f>
        <v/>
      </c>
      <c r="Z5398" s="12" t="inlineStr">
        <is>
          <t>VD 2.4 %</t>
        </is>
      </c>
      <c r="AA5398" s="12">
        <f>N5398*O5398</f>
        <v/>
      </c>
    </row>
    <row r="5399">
      <c r="A5399" s="12" t="inlineStr">
        <is>
          <t>I-P-0143</t>
        </is>
      </c>
      <c r="B5399" s="12" t="inlineStr">
        <is>
          <t>I</t>
        </is>
      </c>
      <c r="C5399" s="12" t="inlineStr">
        <is>
          <t>Modular / portable power</t>
        </is>
      </c>
      <c r="D5399" s="12" t="inlineStr">
        <is>
          <t>Motor 5 of 5, 30 kW (VFD output)</t>
        </is>
      </c>
      <c r="E5399" s="12" t="inlineStr"/>
      <c r="F5399" s="12" t="inlineStr">
        <is>
          <t>PCM: power control module</t>
        </is>
      </c>
      <c r="G5399" s="12" t="inlineStr"/>
      <c r="H5399" s="12" t="inlineStr">
        <is>
          <t>RICE 4 radiators (5)</t>
        </is>
      </c>
      <c r="I5399" s="12" t="inlineStr">
        <is>
          <t>LV 600 V</t>
        </is>
      </c>
      <c r="J5399" s="12" t="inlineStr">
        <is>
          <t>VFD cable 600 V 3/C Cu XHHW-2, 3 symmetrical grounds, overall Cu tape shield, TC-ER</t>
        </is>
      </c>
      <c r="K5399" s="12" t="inlineStr">
        <is>
          <t>VFD|3/C+3G|6</t>
        </is>
      </c>
      <c r="L5399" s="12" t="inlineStr">
        <is>
          <t>3/C+3G</t>
        </is>
      </c>
      <c r="M5399" s="12" t="inlineStr">
        <is>
          <t>6</t>
        </is>
      </c>
      <c r="N5399" s="12" t="n">
        <v>1</v>
      </c>
      <c r="O5399" s="12" t="n">
        <v>1</v>
      </c>
      <c r="P5399" s="12" t="n">
        <v>480</v>
      </c>
      <c r="Q5399" s="12" t="n">
        <v>30</v>
      </c>
      <c r="R5399" s="12" t="n">
        <v>42</v>
      </c>
      <c r="S5399" s="12" t="inlineStr">
        <is>
          <t>Tray</t>
        </is>
      </c>
      <c r="T5399" s="17" t="n">
        <v>80</v>
      </c>
      <c r="U5399" s="17" t="n">
        <v>206</v>
      </c>
      <c r="V5399" s="17">
        <f>ROUNDUP((T5399+U5399+2*'Read Me'!$B$13)*(1+'Read Me'!$B$12),-1)</f>
        <v/>
      </c>
      <c r="W5399" s="17">
        <f>V5399*N5399*O5399</f>
        <v/>
      </c>
      <c r="X5399" s="12">
        <f>IF(LEFT(I5399,2)="MV",2*N5399*IF(L5399="1/C",O5399,1),0)</f>
        <v/>
      </c>
      <c r="Y5399" s="12">
        <f>IF(OR(LEFT(K5399,4)="LVAX",LEFT(K5399,6)="MV15AX",LEFT(K5399,4)="CTAX",LEFT(K5399,2)="W|"),2*N5399*O5399,0)</f>
        <v/>
      </c>
      <c r="Z5399" s="12" t="inlineStr">
        <is>
          <t>VD 2.4 %</t>
        </is>
      </c>
      <c r="AA5399" s="12">
        <f>N5399*O5399</f>
        <v/>
      </c>
    </row>
    <row r="5400">
      <c r="A5400" s="12" t="inlineStr">
        <is>
          <t>I-P-0144</t>
        </is>
      </c>
      <c r="B5400" s="12" t="inlineStr">
        <is>
          <t>I</t>
        </is>
      </c>
      <c r="C5400" s="12" t="inlineStr">
        <is>
          <t>Modular / portable power</t>
        </is>
      </c>
      <c r="D5400" s="12" t="inlineStr">
        <is>
          <t>Motor 1 of 1, 15 kW</t>
        </is>
      </c>
      <c r="E5400" s="12" t="inlineStr"/>
      <c r="F5400" s="12" t="inlineStr">
        <is>
          <t>PCM: power control module</t>
        </is>
      </c>
      <c r="G5400" s="12" t="inlineStr"/>
      <c r="H5400" s="12" t="inlineStr">
        <is>
          <t>RICE 5 SCR + oxidation catalyst and stack</t>
        </is>
      </c>
      <c r="I5400" s="12" t="inlineStr">
        <is>
          <t>LV 600 V</t>
        </is>
      </c>
      <c r="J5400" s="12" t="inlineStr">
        <is>
          <t>Type TC-ER 600 V 3/C Cu XHHW-2 + ground, PVC jacket</t>
        </is>
      </c>
      <c r="K5400" s="12" t="inlineStr">
        <is>
          <t>LV|3/C+G|6</t>
        </is>
      </c>
      <c r="L5400" s="12" t="inlineStr">
        <is>
          <t>3/C+G</t>
        </is>
      </c>
      <c r="M5400" s="12" t="inlineStr">
        <is>
          <t>6</t>
        </is>
      </c>
      <c r="N5400" s="12" t="n">
        <v>1</v>
      </c>
      <c r="O5400" s="12" t="n">
        <v>1</v>
      </c>
      <c r="P5400" s="12" t="n">
        <v>480</v>
      </c>
      <c r="Q5400" s="12" t="n">
        <v>15</v>
      </c>
      <c r="R5400" s="12" t="n">
        <v>21.2</v>
      </c>
      <c r="S5400" s="12" t="inlineStr">
        <is>
          <t>Duct bank</t>
        </is>
      </c>
      <c r="T5400" s="17" t="n">
        <v>322</v>
      </c>
      <c r="U5400" s="17" t="n">
        <v>196</v>
      </c>
      <c r="V5400" s="17">
        <f>ROUNDUP((T5400+U5400+2*'Read Me'!$B$13)*(1+'Read Me'!$B$12),-1)</f>
        <v/>
      </c>
      <c r="W5400" s="17">
        <f>V5400*N5400*O5400</f>
        <v/>
      </c>
      <c r="X5400" s="12">
        <f>IF(LEFT(I5400,2)="MV",2*N5400*IF(L5400="1/C",O5400,1),0)</f>
        <v/>
      </c>
      <c r="Y5400" s="12">
        <f>IF(OR(LEFT(K5400,4)="LVAX",LEFT(K5400,6)="MV15AX",LEFT(K5400,4)="CTAX",LEFT(K5400,2)="W|"),2*N5400*O5400,0)</f>
        <v/>
      </c>
      <c r="Z5400" s="12" t="inlineStr">
        <is>
          <t>VD 2.1 %</t>
        </is>
      </c>
      <c r="AA5400" s="12">
        <f>N5400*O5400</f>
        <v/>
      </c>
    </row>
    <row r="5401">
      <c r="A5401" s="12" t="inlineStr">
        <is>
          <t>I-P-0145</t>
        </is>
      </c>
      <c r="B5401" s="12" t="inlineStr">
        <is>
          <t>I</t>
        </is>
      </c>
      <c r="C5401" s="12" t="inlineStr">
        <is>
          <t>Modular / portable power</t>
        </is>
      </c>
      <c r="D5401" s="12" t="inlineStr">
        <is>
          <t>Area / platform lighting circuit 1 (6 fixtures)</t>
        </is>
      </c>
      <c r="E5401" s="12" t="inlineStr"/>
      <c r="F5401" s="12" t="inlineStr">
        <is>
          <t>PCM: power control module</t>
        </is>
      </c>
      <c r="G5401" s="12" t="inlineStr"/>
      <c r="H5401" s="12" t="inlineStr">
        <is>
          <t>RICE 5 SCR + oxidation catalyst and stack</t>
        </is>
      </c>
      <c r="I5401" s="12" t="inlineStr">
        <is>
          <t>LV 600 V</t>
        </is>
      </c>
      <c r="J5401" s="12" t="inlineStr">
        <is>
          <t>Type TC-ER 600 V 3/C Cu XHHW-2 + ground, PVC jacket</t>
        </is>
      </c>
      <c r="K5401" s="12" t="inlineStr">
        <is>
          <t>LV|3/C+G|10</t>
        </is>
      </c>
      <c r="L5401" s="12" t="inlineStr">
        <is>
          <t>3/C+G</t>
        </is>
      </c>
      <c r="M5401" s="12" t="inlineStr">
        <is>
          <t>10</t>
        </is>
      </c>
      <c r="N5401" s="12" t="n">
        <v>1</v>
      </c>
      <c r="O5401" s="12" t="n">
        <v>1</v>
      </c>
      <c r="P5401" s="12" t="n">
        <v>480</v>
      </c>
      <c r="Q5401" s="12" t="n">
        <v>3</v>
      </c>
      <c r="R5401" s="12" t="n">
        <v>5</v>
      </c>
      <c r="S5401" s="12" t="inlineStr">
        <is>
          <t>Duct bank</t>
        </is>
      </c>
      <c r="T5401" s="17" t="n">
        <v>622</v>
      </c>
      <c r="U5401" s="17" t="n">
        <v>196</v>
      </c>
      <c r="V5401" s="17">
        <f>ROUNDUP((T5401+U5401+2*'Read Me'!$B$13)*(1+'Read Me'!$B$12),-1)</f>
        <v/>
      </c>
      <c r="W5401" s="17">
        <f>V5401*N5401*O5401</f>
        <v/>
      </c>
      <c r="X5401" s="12">
        <f>IF(LEFT(I5401,2)="MV",2*N5401*IF(L5401="1/C",O5401,1),0)</f>
        <v/>
      </c>
      <c r="Y5401" s="12">
        <f>IF(OR(LEFT(K5401,4)="LVAX",LEFT(K5401,6)="MV15AX",LEFT(K5401,4)="CTAX",LEFT(K5401,2)="W|"),2*N5401*O5401,0)</f>
        <v/>
      </c>
      <c r="Z5401" s="12" t="inlineStr">
        <is>
          <t>fixture-to-fixture run included</t>
        </is>
      </c>
      <c r="AA5401" s="12">
        <f>N5401*O5401</f>
        <v/>
      </c>
    </row>
    <row r="5402">
      <c r="A5402" s="12" t="inlineStr">
        <is>
          <t>I-P-0146</t>
        </is>
      </c>
      <c r="B5402" s="12" t="inlineStr">
        <is>
          <t>I</t>
        </is>
      </c>
      <c r="C5402" s="12" t="inlineStr">
        <is>
          <t>Modular / portable power</t>
        </is>
      </c>
      <c r="D5402" s="12" t="inlineStr">
        <is>
          <t>Motor 1 of 5, 30 kW (VFD output)</t>
        </is>
      </c>
      <c r="E5402" s="12" t="inlineStr"/>
      <c r="F5402" s="12" t="inlineStr">
        <is>
          <t>PCM: power control module</t>
        </is>
      </c>
      <c r="G5402" s="12" t="inlineStr"/>
      <c r="H5402" s="12" t="inlineStr">
        <is>
          <t>RICE 5 radiators (5)</t>
        </is>
      </c>
      <c r="I5402" s="12" t="inlineStr">
        <is>
          <t>LV 600 V</t>
        </is>
      </c>
      <c r="J5402" s="12" t="inlineStr">
        <is>
          <t>VFD cable 600 V 3/C Cu XHHW-2, 3 symmetrical grounds, overall Cu tape shield, TC-ER</t>
        </is>
      </c>
      <c r="K5402" s="12" t="inlineStr">
        <is>
          <t>VFD|3/C+3G|6</t>
        </is>
      </c>
      <c r="L5402" s="12" t="inlineStr">
        <is>
          <t>3/C+3G</t>
        </is>
      </c>
      <c r="M5402" s="12" t="inlineStr">
        <is>
          <t>6</t>
        </is>
      </c>
      <c r="N5402" s="12" t="n">
        <v>1</v>
      </c>
      <c r="O5402" s="12" t="n">
        <v>1</v>
      </c>
      <c r="P5402" s="12" t="n">
        <v>480</v>
      </c>
      <c r="Q5402" s="12" t="n">
        <v>30</v>
      </c>
      <c r="R5402" s="12" t="n">
        <v>42</v>
      </c>
      <c r="S5402" s="12" t="inlineStr">
        <is>
          <t>Tray</t>
        </is>
      </c>
      <c r="T5402" s="17" t="n">
        <v>80</v>
      </c>
      <c r="U5402" s="17" t="n">
        <v>178</v>
      </c>
      <c r="V5402" s="17">
        <f>ROUNDUP((T5402+U5402+2*'Read Me'!$B$13)*(1+'Read Me'!$B$12),-1)</f>
        <v/>
      </c>
      <c r="W5402" s="17">
        <f>V5402*N5402*O5402</f>
        <v/>
      </c>
      <c r="X5402" s="12">
        <f>IF(LEFT(I5402,2)="MV",2*N5402*IF(L5402="1/C",O5402,1),0)</f>
        <v/>
      </c>
      <c r="Y5402" s="12">
        <f>IF(OR(LEFT(K5402,4)="LVAX",LEFT(K5402,6)="MV15AX",LEFT(K5402,4)="CTAX",LEFT(K5402,2)="W|"),2*N5402*O5402,0)</f>
        <v/>
      </c>
      <c r="Z5402" s="12" t="inlineStr">
        <is>
          <t>VD 2.1 %</t>
        </is>
      </c>
      <c r="AA5402" s="12">
        <f>N5402*O5402</f>
        <v/>
      </c>
    </row>
    <row r="5403">
      <c r="A5403" s="12" t="inlineStr">
        <is>
          <t>I-P-0147</t>
        </is>
      </c>
      <c r="B5403" s="12" t="inlineStr">
        <is>
          <t>I</t>
        </is>
      </c>
      <c r="C5403" s="12" t="inlineStr">
        <is>
          <t>Modular / portable power</t>
        </is>
      </c>
      <c r="D5403" s="12" t="inlineStr">
        <is>
          <t>Motor 2 of 5, 30 kW (VFD output)</t>
        </is>
      </c>
      <c r="E5403" s="12" t="inlineStr"/>
      <c r="F5403" s="12" t="inlineStr">
        <is>
          <t>PCM: power control module</t>
        </is>
      </c>
      <c r="G5403" s="12" t="inlineStr"/>
      <c r="H5403" s="12" t="inlineStr">
        <is>
          <t>RICE 5 radiators (5)</t>
        </is>
      </c>
      <c r="I5403" s="12" t="inlineStr">
        <is>
          <t>LV 600 V</t>
        </is>
      </c>
      <c r="J5403" s="12" t="inlineStr">
        <is>
          <t>VFD cable 600 V 3/C Cu XHHW-2, 3 symmetrical grounds, overall Cu tape shield, TC-ER</t>
        </is>
      </c>
      <c r="K5403" s="12" t="inlineStr">
        <is>
          <t>VFD|3/C+3G|6</t>
        </is>
      </c>
      <c r="L5403" s="12" t="inlineStr">
        <is>
          <t>3/C+3G</t>
        </is>
      </c>
      <c r="M5403" s="12" t="inlineStr">
        <is>
          <t>6</t>
        </is>
      </c>
      <c r="N5403" s="12" t="n">
        <v>1</v>
      </c>
      <c r="O5403" s="12" t="n">
        <v>1</v>
      </c>
      <c r="P5403" s="12" t="n">
        <v>480</v>
      </c>
      <c r="Q5403" s="12" t="n">
        <v>30</v>
      </c>
      <c r="R5403" s="12" t="n">
        <v>42</v>
      </c>
      <c r="S5403" s="12" t="inlineStr">
        <is>
          <t>Tray</t>
        </is>
      </c>
      <c r="T5403" s="17" t="n">
        <v>80</v>
      </c>
      <c r="U5403" s="17" t="n">
        <v>178</v>
      </c>
      <c r="V5403" s="17">
        <f>ROUNDUP((T5403+U5403+2*'Read Me'!$B$13)*(1+'Read Me'!$B$12),-1)</f>
        <v/>
      </c>
      <c r="W5403" s="17">
        <f>V5403*N5403*O5403</f>
        <v/>
      </c>
      <c r="X5403" s="12">
        <f>IF(LEFT(I5403,2)="MV",2*N5403*IF(L5403="1/C",O5403,1),0)</f>
        <v/>
      </c>
      <c r="Y5403" s="12">
        <f>IF(OR(LEFT(K5403,4)="LVAX",LEFT(K5403,6)="MV15AX",LEFT(K5403,4)="CTAX",LEFT(K5403,2)="W|"),2*N5403*O5403,0)</f>
        <v/>
      </c>
      <c r="Z5403" s="12" t="inlineStr">
        <is>
          <t>VD 2.1 %</t>
        </is>
      </c>
      <c r="AA5403" s="12">
        <f>N5403*O5403</f>
        <v/>
      </c>
    </row>
    <row r="5404">
      <c r="A5404" s="12" t="inlineStr">
        <is>
          <t>I-P-0148</t>
        </is>
      </c>
      <c r="B5404" s="12" t="inlineStr">
        <is>
          <t>I</t>
        </is>
      </c>
      <c r="C5404" s="12" t="inlineStr">
        <is>
          <t>Modular / portable power</t>
        </is>
      </c>
      <c r="D5404" s="12" t="inlineStr">
        <is>
          <t>Motor 3 of 5, 30 kW (VFD output)</t>
        </is>
      </c>
      <c r="E5404" s="12" t="inlineStr"/>
      <c r="F5404" s="12" t="inlineStr">
        <is>
          <t>PCM: power control module</t>
        </is>
      </c>
      <c r="G5404" s="12" t="inlineStr"/>
      <c r="H5404" s="12" t="inlineStr">
        <is>
          <t>RICE 5 radiators (5)</t>
        </is>
      </c>
      <c r="I5404" s="12" t="inlineStr">
        <is>
          <t>LV 600 V</t>
        </is>
      </c>
      <c r="J5404" s="12" t="inlineStr">
        <is>
          <t>VFD cable 600 V 3/C Cu XHHW-2, 3 symmetrical grounds, overall Cu tape shield, TC-ER</t>
        </is>
      </c>
      <c r="K5404" s="12" t="inlineStr">
        <is>
          <t>VFD|3/C+3G|6</t>
        </is>
      </c>
      <c r="L5404" s="12" t="inlineStr">
        <is>
          <t>3/C+3G</t>
        </is>
      </c>
      <c r="M5404" s="12" t="inlineStr">
        <is>
          <t>6</t>
        </is>
      </c>
      <c r="N5404" s="12" t="n">
        <v>1</v>
      </c>
      <c r="O5404" s="12" t="n">
        <v>1</v>
      </c>
      <c r="P5404" s="12" t="n">
        <v>480</v>
      </c>
      <c r="Q5404" s="12" t="n">
        <v>30</v>
      </c>
      <c r="R5404" s="12" t="n">
        <v>42</v>
      </c>
      <c r="S5404" s="12" t="inlineStr">
        <is>
          <t>Tray</t>
        </is>
      </c>
      <c r="T5404" s="17" t="n">
        <v>80</v>
      </c>
      <c r="U5404" s="17" t="n">
        <v>178</v>
      </c>
      <c r="V5404" s="17">
        <f>ROUNDUP((T5404+U5404+2*'Read Me'!$B$13)*(1+'Read Me'!$B$12),-1)</f>
        <v/>
      </c>
      <c r="W5404" s="17">
        <f>V5404*N5404*O5404</f>
        <v/>
      </c>
      <c r="X5404" s="12">
        <f>IF(LEFT(I5404,2)="MV",2*N5404*IF(L5404="1/C",O5404,1),0)</f>
        <v/>
      </c>
      <c r="Y5404" s="12">
        <f>IF(OR(LEFT(K5404,4)="LVAX",LEFT(K5404,6)="MV15AX",LEFT(K5404,4)="CTAX",LEFT(K5404,2)="W|"),2*N5404*O5404,0)</f>
        <v/>
      </c>
      <c r="Z5404" s="12" t="inlineStr">
        <is>
          <t>VD 2.1 %</t>
        </is>
      </c>
      <c r="AA5404" s="12">
        <f>N5404*O5404</f>
        <v/>
      </c>
    </row>
    <row r="5405">
      <c r="A5405" s="12" t="inlineStr">
        <is>
          <t>I-P-0149</t>
        </is>
      </c>
      <c r="B5405" s="12" t="inlineStr">
        <is>
          <t>I</t>
        </is>
      </c>
      <c r="C5405" s="12" t="inlineStr">
        <is>
          <t>Modular / portable power</t>
        </is>
      </c>
      <c r="D5405" s="12" t="inlineStr">
        <is>
          <t>Motor 4 of 5, 30 kW (VFD output)</t>
        </is>
      </c>
      <c r="E5405" s="12" t="inlineStr"/>
      <c r="F5405" s="12" t="inlineStr">
        <is>
          <t>PCM: power control module</t>
        </is>
      </c>
      <c r="G5405" s="12" t="inlineStr"/>
      <c r="H5405" s="12" t="inlineStr">
        <is>
          <t>RICE 5 radiators (5)</t>
        </is>
      </c>
      <c r="I5405" s="12" t="inlineStr">
        <is>
          <t>LV 600 V</t>
        </is>
      </c>
      <c r="J5405" s="12" t="inlineStr">
        <is>
          <t>VFD cable 600 V 3/C Cu XHHW-2, 3 symmetrical grounds, overall Cu tape shield, TC-ER</t>
        </is>
      </c>
      <c r="K5405" s="12" t="inlineStr">
        <is>
          <t>VFD|3/C+3G|6</t>
        </is>
      </c>
      <c r="L5405" s="12" t="inlineStr">
        <is>
          <t>3/C+3G</t>
        </is>
      </c>
      <c r="M5405" s="12" t="inlineStr">
        <is>
          <t>6</t>
        </is>
      </c>
      <c r="N5405" s="12" t="n">
        <v>1</v>
      </c>
      <c r="O5405" s="12" t="n">
        <v>1</v>
      </c>
      <c r="P5405" s="12" t="n">
        <v>480</v>
      </c>
      <c r="Q5405" s="12" t="n">
        <v>30</v>
      </c>
      <c r="R5405" s="12" t="n">
        <v>42</v>
      </c>
      <c r="S5405" s="12" t="inlineStr">
        <is>
          <t>Tray</t>
        </is>
      </c>
      <c r="T5405" s="17" t="n">
        <v>80</v>
      </c>
      <c r="U5405" s="17" t="n">
        <v>178</v>
      </c>
      <c r="V5405" s="17">
        <f>ROUNDUP((T5405+U5405+2*'Read Me'!$B$13)*(1+'Read Me'!$B$12),-1)</f>
        <v/>
      </c>
      <c r="W5405" s="17">
        <f>V5405*N5405*O5405</f>
        <v/>
      </c>
      <c r="X5405" s="12">
        <f>IF(LEFT(I5405,2)="MV",2*N5405*IF(L5405="1/C",O5405,1),0)</f>
        <v/>
      </c>
      <c r="Y5405" s="12">
        <f>IF(OR(LEFT(K5405,4)="LVAX",LEFT(K5405,6)="MV15AX",LEFT(K5405,4)="CTAX",LEFT(K5405,2)="W|"),2*N5405*O5405,0)</f>
        <v/>
      </c>
      <c r="Z5405" s="12" t="inlineStr">
        <is>
          <t>VD 2.1 %</t>
        </is>
      </c>
      <c r="AA5405" s="12">
        <f>N5405*O5405</f>
        <v/>
      </c>
    </row>
    <row r="5406">
      <c r="A5406" s="12" t="inlineStr">
        <is>
          <t>I-P-0150</t>
        </is>
      </c>
      <c r="B5406" s="12" t="inlineStr">
        <is>
          <t>I</t>
        </is>
      </c>
      <c r="C5406" s="12" t="inlineStr">
        <is>
          <t>Modular / portable power</t>
        </is>
      </c>
      <c r="D5406" s="12" t="inlineStr">
        <is>
          <t>Motor 5 of 5, 30 kW (VFD output)</t>
        </is>
      </c>
      <c r="E5406" s="12" t="inlineStr"/>
      <c r="F5406" s="12" t="inlineStr">
        <is>
          <t>PCM: power control module</t>
        </is>
      </c>
      <c r="G5406" s="12" t="inlineStr"/>
      <c r="H5406" s="12" t="inlineStr">
        <is>
          <t>RICE 5 radiators (5)</t>
        </is>
      </c>
      <c r="I5406" s="12" t="inlineStr">
        <is>
          <t>LV 600 V</t>
        </is>
      </c>
      <c r="J5406" s="12" t="inlineStr">
        <is>
          <t>VFD cable 600 V 3/C Cu XHHW-2, 3 symmetrical grounds, overall Cu tape shield, TC-ER</t>
        </is>
      </c>
      <c r="K5406" s="12" t="inlineStr">
        <is>
          <t>VFD|3/C+3G|6</t>
        </is>
      </c>
      <c r="L5406" s="12" t="inlineStr">
        <is>
          <t>3/C+3G</t>
        </is>
      </c>
      <c r="M5406" s="12" t="inlineStr">
        <is>
          <t>6</t>
        </is>
      </c>
      <c r="N5406" s="12" t="n">
        <v>1</v>
      </c>
      <c r="O5406" s="12" t="n">
        <v>1</v>
      </c>
      <c r="P5406" s="12" t="n">
        <v>480</v>
      </c>
      <c r="Q5406" s="12" t="n">
        <v>30</v>
      </c>
      <c r="R5406" s="12" t="n">
        <v>42</v>
      </c>
      <c r="S5406" s="12" t="inlineStr">
        <is>
          <t>Tray</t>
        </is>
      </c>
      <c r="T5406" s="17" t="n">
        <v>80</v>
      </c>
      <c r="U5406" s="17" t="n">
        <v>178</v>
      </c>
      <c r="V5406" s="17">
        <f>ROUNDUP((T5406+U5406+2*'Read Me'!$B$13)*(1+'Read Me'!$B$12),-1)</f>
        <v/>
      </c>
      <c r="W5406" s="17">
        <f>V5406*N5406*O5406</f>
        <v/>
      </c>
      <c r="X5406" s="12">
        <f>IF(LEFT(I5406,2)="MV",2*N5406*IF(L5406="1/C",O5406,1),0)</f>
        <v/>
      </c>
      <c r="Y5406" s="12">
        <f>IF(OR(LEFT(K5406,4)="LVAX",LEFT(K5406,6)="MV15AX",LEFT(K5406,4)="CTAX",LEFT(K5406,2)="W|"),2*N5406*O5406,0)</f>
        <v/>
      </c>
      <c r="Z5406" s="12" t="inlineStr">
        <is>
          <t>VD 2.1 %</t>
        </is>
      </c>
      <c r="AA5406" s="12">
        <f>N5406*O5406</f>
        <v/>
      </c>
    </row>
    <row r="5407">
      <c r="A5407" s="12" t="inlineStr">
        <is>
          <t>I-P-0151</t>
        </is>
      </c>
      <c r="B5407" s="12" t="inlineStr">
        <is>
          <t>I</t>
        </is>
      </c>
      <c r="C5407" s="12" t="inlineStr">
        <is>
          <t>Modular / portable power</t>
        </is>
      </c>
      <c r="D5407" s="12" t="inlineStr">
        <is>
          <t>Motor 1 of 1, 15 kW</t>
        </is>
      </c>
      <c r="E5407" s="12" t="inlineStr"/>
      <c r="F5407" s="12" t="inlineStr">
        <is>
          <t>PCM: power control module</t>
        </is>
      </c>
      <c r="G5407" s="12" t="inlineStr"/>
      <c r="H5407" s="12" t="inlineStr">
        <is>
          <t>RICE 6 SCR + oxidation catalyst and stack</t>
        </is>
      </c>
      <c r="I5407" s="12" t="inlineStr">
        <is>
          <t>LV 600 V</t>
        </is>
      </c>
      <c r="J5407" s="12" t="inlineStr">
        <is>
          <t>Type TC-ER 600 V 3/C Cu XHHW-2 + ground, PVC jacket</t>
        </is>
      </c>
      <c r="K5407" s="12" t="inlineStr">
        <is>
          <t>LV|3/C+G|6</t>
        </is>
      </c>
      <c r="L5407" s="12" t="inlineStr">
        <is>
          <t>3/C+G</t>
        </is>
      </c>
      <c r="M5407" s="12" t="inlineStr">
        <is>
          <t>6</t>
        </is>
      </c>
      <c r="N5407" s="12" t="n">
        <v>1</v>
      </c>
      <c r="O5407" s="12" t="n">
        <v>1</v>
      </c>
      <c r="P5407" s="12" t="n">
        <v>480</v>
      </c>
      <c r="Q5407" s="12" t="n">
        <v>15</v>
      </c>
      <c r="R5407" s="12" t="n">
        <v>21.2</v>
      </c>
      <c r="S5407" s="12" t="inlineStr">
        <is>
          <t>Duct bank</t>
        </is>
      </c>
      <c r="T5407" s="17" t="n">
        <v>322</v>
      </c>
      <c r="U5407" s="17" t="n">
        <v>168</v>
      </c>
      <c r="V5407" s="17">
        <f>ROUNDUP((T5407+U5407+2*'Read Me'!$B$13)*(1+'Read Me'!$B$12),-1)</f>
        <v/>
      </c>
      <c r="W5407" s="17">
        <f>V5407*N5407*O5407</f>
        <v/>
      </c>
      <c r="X5407" s="12">
        <f>IF(LEFT(I5407,2)="MV",2*N5407*IF(L5407="1/C",O5407,1),0)</f>
        <v/>
      </c>
      <c r="Y5407" s="12">
        <f>IF(OR(LEFT(K5407,4)="LVAX",LEFT(K5407,6)="MV15AX",LEFT(K5407,4)="CTAX",LEFT(K5407,2)="W|"),2*N5407*O5407,0)</f>
        <v/>
      </c>
      <c r="Z5407" s="12" t="inlineStr">
        <is>
          <t>VD 2.0 %</t>
        </is>
      </c>
      <c r="AA5407" s="12">
        <f>N5407*O5407</f>
        <v/>
      </c>
    </row>
    <row r="5408">
      <c r="A5408" s="12" t="inlineStr">
        <is>
          <t>I-P-0152</t>
        </is>
      </c>
      <c r="B5408" s="12" t="inlineStr">
        <is>
          <t>I</t>
        </is>
      </c>
      <c r="C5408" s="12" t="inlineStr">
        <is>
          <t>Modular / portable power</t>
        </is>
      </c>
      <c r="D5408" s="12" t="inlineStr">
        <is>
          <t>Area / platform lighting circuit 1 (6 fixtures)</t>
        </is>
      </c>
      <c r="E5408" s="12" t="inlineStr"/>
      <c r="F5408" s="12" t="inlineStr">
        <is>
          <t>PCM: power control module</t>
        </is>
      </c>
      <c r="G5408" s="12" t="inlineStr"/>
      <c r="H5408" s="12" t="inlineStr">
        <is>
          <t>RICE 6 SCR + oxidation catalyst and stack</t>
        </is>
      </c>
      <c r="I5408" s="12" t="inlineStr">
        <is>
          <t>LV 600 V</t>
        </is>
      </c>
      <c r="J5408" s="12" t="inlineStr">
        <is>
          <t>Type TC-ER 600 V 3/C Cu XHHW-2 + ground, PVC jacket</t>
        </is>
      </c>
      <c r="K5408" s="12" t="inlineStr">
        <is>
          <t>LV|3/C+G|10</t>
        </is>
      </c>
      <c r="L5408" s="12" t="inlineStr">
        <is>
          <t>3/C+G</t>
        </is>
      </c>
      <c r="M5408" s="12" t="inlineStr">
        <is>
          <t>10</t>
        </is>
      </c>
      <c r="N5408" s="12" t="n">
        <v>1</v>
      </c>
      <c r="O5408" s="12" t="n">
        <v>1</v>
      </c>
      <c r="P5408" s="12" t="n">
        <v>480</v>
      </c>
      <c r="Q5408" s="12" t="n">
        <v>3</v>
      </c>
      <c r="R5408" s="12" t="n">
        <v>5</v>
      </c>
      <c r="S5408" s="12" t="inlineStr">
        <is>
          <t>Duct bank</t>
        </is>
      </c>
      <c r="T5408" s="17" t="n">
        <v>622</v>
      </c>
      <c r="U5408" s="17" t="n">
        <v>168</v>
      </c>
      <c r="V5408" s="17">
        <f>ROUNDUP((T5408+U5408+2*'Read Me'!$B$13)*(1+'Read Me'!$B$12),-1)</f>
        <v/>
      </c>
      <c r="W5408" s="17">
        <f>V5408*N5408*O5408</f>
        <v/>
      </c>
      <c r="X5408" s="12">
        <f>IF(LEFT(I5408,2)="MV",2*N5408*IF(L5408="1/C",O5408,1),0)</f>
        <v/>
      </c>
      <c r="Y5408" s="12">
        <f>IF(OR(LEFT(K5408,4)="LVAX",LEFT(K5408,6)="MV15AX",LEFT(K5408,4)="CTAX",LEFT(K5408,2)="W|"),2*N5408*O5408,0)</f>
        <v/>
      </c>
      <c r="Z5408" s="12" t="inlineStr">
        <is>
          <t>fixture-to-fixture run included</t>
        </is>
      </c>
      <c r="AA5408" s="12">
        <f>N5408*O5408</f>
        <v/>
      </c>
    </row>
    <row r="5409">
      <c r="A5409" s="12" t="inlineStr">
        <is>
          <t>I-P-0153</t>
        </is>
      </c>
      <c r="B5409" s="12" t="inlineStr">
        <is>
          <t>I</t>
        </is>
      </c>
      <c r="C5409" s="12" t="inlineStr">
        <is>
          <t>Modular / portable power</t>
        </is>
      </c>
      <c r="D5409" s="12" t="inlineStr">
        <is>
          <t>Motor 1 of 5, 30 kW (VFD output)</t>
        </is>
      </c>
      <c r="E5409" s="12" t="inlineStr"/>
      <c r="F5409" s="12" t="inlineStr">
        <is>
          <t>PCM: power control module</t>
        </is>
      </c>
      <c r="G5409" s="12" t="inlineStr"/>
      <c r="H5409" s="12" t="inlineStr">
        <is>
          <t>RICE 6 radiators (5)</t>
        </is>
      </c>
      <c r="I5409" s="12" t="inlineStr">
        <is>
          <t>LV 600 V</t>
        </is>
      </c>
      <c r="J5409" s="12" t="inlineStr">
        <is>
          <t>VFD cable 600 V 3/C Cu XHHW-2, 3 symmetrical grounds, overall Cu tape shield, TC-ER</t>
        </is>
      </c>
      <c r="K5409" s="12" t="inlineStr">
        <is>
          <t>VFD|3/C+3G|6</t>
        </is>
      </c>
      <c r="L5409" s="12" t="inlineStr">
        <is>
          <t>3/C+3G</t>
        </is>
      </c>
      <c r="M5409" s="12" t="inlineStr">
        <is>
          <t>6</t>
        </is>
      </c>
      <c r="N5409" s="12" t="n">
        <v>1</v>
      </c>
      <c r="O5409" s="12" t="n">
        <v>1</v>
      </c>
      <c r="P5409" s="12" t="n">
        <v>480</v>
      </c>
      <c r="Q5409" s="12" t="n">
        <v>30</v>
      </c>
      <c r="R5409" s="12" t="n">
        <v>42</v>
      </c>
      <c r="S5409" s="12" t="inlineStr">
        <is>
          <t>Tray</t>
        </is>
      </c>
      <c r="T5409" s="17" t="n">
        <v>80</v>
      </c>
      <c r="U5409" s="17" t="n">
        <v>150</v>
      </c>
      <c r="V5409" s="17">
        <f>ROUNDUP((T5409+U5409+2*'Read Me'!$B$13)*(1+'Read Me'!$B$12),-1)</f>
        <v/>
      </c>
      <c r="W5409" s="17">
        <f>V5409*N5409*O5409</f>
        <v/>
      </c>
      <c r="X5409" s="12">
        <f>IF(LEFT(I5409,2)="MV",2*N5409*IF(L5409="1/C",O5409,1),0)</f>
        <v/>
      </c>
      <c r="Y5409" s="12">
        <f>IF(OR(LEFT(K5409,4)="LVAX",LEFT(K5409,6)="MV15AX",LEFT(K5409,4)="CTAX",LEFT(K5409,2)="W|"),2*N5409*O5409,0)</f>
        <v/>
      </c>
      <c r="Z5409" s="12" t="inlineStr">
        <is>
          <t>VD 1.9 %</t>
        </is>
      </c>
      <c r="AA5409" s="12">
        <f>N5409*O5409</f>
        <v/>
      </c>
    </row>
    <row r="5410">
      <c r="A5410" s="12" t="inlineStr">
        <is>
          <t>I-P-0154</t>
        </is>
      </c>
      <c r="B5410" s="12" t="inlineStr">
        <is>
          <t>I</t>
        </is>
      </c>
      <c r="C5410" s="12" t="inlineStr">
        <is>
          <t>Modular / portable power</t>
        </is>
      </c>
      <c r="D5410" s="12" t="inlineStr">
        <is>
          <t>Motor 2 of 5, 30 kW (VFD output)</t>
        </is>
      </c>
      <c r="E5410" s="12" t="inlineStr"/>
      <c r="F5410" s="12" t="inlineStr">
        <is>
          <t>PCM: power control module</t>
        </is>
      </c>
      <c r="G5410" s="12" t="inlineStr"/>
      <c r="H5410" s="12" t="inlineStr">
        <is>
          <t>RICE 6 radiators (5)</t>
        </is>
      </c>
      <c r="I5410" s="12" t="inlineStr">
        <is>
          <t>LV 600 V</t>
        </is>
      </c>
      <c r="J5410" s="12" t="inlineStr">
        <is>
          <t>VFD cable 600 V 3/C Cu XHHW-2, 3 symmetrical grounds, overall Cu tape shield, TC-ER</t>
        </is>
      </c>
      <c r="K5410" s="12" t="inlineStr">
        <is>
          <t>VFD|3/C+3G|6</t>
        </is>
      </c>
      <c r="L5410" s="12" t="inlineStr">
        <is>
          <t>3/C+3G</t>
        </is>
      </c>
      <c r="M5410" s="12" t="inlineStr">
        <is>
          <t>6</t>
        </is>
      </c>
      <c r="N5410" s="12" t="n">
        <v>1</v>
      </c>
      <c r="O5410" s="12" t="n">
        <v>1</v>
      </c>
      <c r="P5410" s="12" t="n">
        <v>480</v>
      </c>
      <c r="Q5410" s="12" t="n">
        <v>30</v>
      </c>
      <c r="R5410" s="12" t="n">
        <v>42</v>
      </c>
      <c r="S5410" s="12" t="inlineStr">
        <is>
          <t>Tray</t>
        </is>
      </c>
      <c r="T5410" s="17" t="n">
        <v>80</v>
      </c>
      <c r="U5410" s="17" t="n">
        <v>150</v>
      </c>
      <c r="V5410" s="17">
        <f>ROUNDUP((T5410+U5410+2*'Read Me'!$B$13)*(1+'Read Me'!$B$12),-1)</f>
        <v/>
      </c>
      <c r="W5410" s="17">
        <f>V5410*N5410*O5410</f>
        <v/>
      </c>
      <c r="X5410" s="12">
        <f>IF(LEFT(I5410,2)="MV",2*N5410*IF(L5410="1/C",O5410,1),0)</f>
        <v/>
      </c>
      <c r="Y5410" s="12">
        <f>IF(OR(LEFT(K5410,4)="LVAX",LEFT(K5410,6)="MV15AX",LEFT(K5410,4)="CTAX",LEFT(K5410,2)="W|"),2*N5410*O5410,0)</f>
        <v/>
      </c>
      <c r="Z5410" s="12" t="inlineStr">
        <is>
          <t>VD 1.9 %</t>
        </is>
      </c>
      <c r="AA5410" s="12">
        <f>N5410*O5410</f>
        <v/>
      </c>
    </row>
    <row r="5411">
      <c r="A5411" s="12" t="inlineStr">
        <is>
          <t>I-P-0155</t>
        </is>
      </c>
      <c r="B5411" s="12" t="inlineStr">
        <is>
          <t>I</t>
        </is>
      </c>
      <c r="C5411" s="12" t="inlineStr">
        <is>
          <t>Modular / portable power</t>
        </is>
      </c>
      <c r="D5411" s="12" t="inlineStr">
        <is>
          <t>Motor 3 of 5, 30 kW (VFD output)</t>
        </is>
      </c>
      <c r="E5411" s="12" t="inlineStr"/>
      <c r="F5411" s="12" t="inlineStr">
        <is>
          <t>PCM: power control module</t>
        </is>
      </c>
      <c r="G5411" s="12" t="inlineStr"/>
      <c r="H5411" s="12" t="inlineStr">
        <is>
          <t>RICE 6 radiators (5)</t>
        </is>
      </c>
      <c r="I5411" s="12" t="inlineStr">
        <is>
          <t>LV 600 V</t>
        </is>
      </c>
      <c r="J5411" s="12" t="inlineStr">
        <is>
          <t>VFD cable 600 V 3/C Cu XHHW-2, 3 symmetrical grounds, overall Cu tape shield, TC-ER</t>
        </is>
      </c>
      <c r="K5411" s="12" t="inlineStr">
        <is>
          <t>VFD|3/C+3G|6</t>
        </is>
      </c>
      <c r="L5411" s="12" t="inlineStr">
        <is>
          <t>3/C+3G</t>
        </is>
      </c>
      <c r="M5411" s="12" t="inlineStr">
        <is>
          <t>6</t>
        </is>
      </c>
      <c r="N5411" s="12" t="n">
        <v>1</v>
      </c>
      <c r="O5411" s="12" t="n">
        <v>1</v>
      </c>
      <c r="P5411" s="12" t="n">
        <v>480</v>
      </c>
      <c r="Q5411" s="12" t="n">
        <v>30</v>
      </c>
      <c r="R5411" s="12" t="n">
        <v>42</v>
      </c>
      <c r="S5411" s="12" t="inlineStr">
        <is>
          <t>Tray</t>
        </is>
      </c>
      <c r="T5411" s="17" t="n">
        <v>80</v>
      </c>
      <c r="U5411" s="17" t="n">
        <v>150</v>
      </c>
      <c r="V5411" s="17">
        <f>ROUNDUP((T5411+U5411+2*'Read Me'!$B$13)*(1+'Read Me'!$B$12),-1)</f>
        <v/>
      </c>
      <c r="W5411" s="17">
        <f>V5411*N5411*O5411</f>
        <v/>
      </c>
      <c r="X5411" s="12">
        <f>IF(LEFT(I5411,2)="MV",2*N5411*IF(L5411="1/C",O5411,1),0)</f>
        <v/>
      </c>
      <c r="Y5411" s="12">
        <f>IF(OR(LEFT(K5411,4)="LVAX",LEFT(K5411,6)="MV15AX",LEFT(K5411,4)="CTAX",LEFT(K5411,2)="W|"),2*N5411*O5411,0)</f>
        <v/>
      </c>
      <c r="Z5411" s="12" t="inlineStr">
        <is>
          <t>VD 1.9 %</t>
        </is>
      </c>
      <c r="AA5411" s="12">
        <f>N5411*O5411</f>
        <v/>
      </c>
    </row>
    <row r="5412">
      <c r="A5412" s="12" t="inlineStr">
        <is>
          <t>I-P-0156</t>
        </is>
      </c>
      <c r="B5412" s="12" t="inlineStr">
        <is>
          <t>I</t>
        </is>
      </c>
      <c r="C5412" s="12" t="inlineStr">
        <is>
          <t>Modular / portable power</t>
        </is>
      </c>
      <c r="D5412" s="12" t="inlineStr">
        <is>
          <t>Motor 4 of 5, 30 kW (VFD output)</t>
        </is>
      </c>
      <c r="E5412" s="12" t="inlineStr"/>
      <c r="F5412" s="12" t="inlineStr">
        <is>
          <t>PCM: power control module</t>
        </is>
      </c>
      <c r="G5412" s="12" t="inlineStr"/>
      <c r="H5412" s="12" t="inlineStr">
        <is>
          <t>RICE 6 radiators (5)</t>
        </is>
      </c>
      <c r="I5412" s="12" t="inlineStr">
        <is>
          <t>LV 600 V</t>
        </is>
      </c>
      <c r="J5412" s="12" t="inlineStr">
        <is>
          <t>VFD cable 600 V 3/C Cu XHHW-2, 3 symmetrical grounds, overall Cu tape shield, TC-ER</t>
        </is>
      </c>
      <c r="K5412" s="12" t="inlineStr">
        <is>
          <t>VFD|3/C+3G|6</t>
        </is>
      </c>
      <c r="L5412" s="12" t="inlineStr">
        <is>
          <t>3/C+3G</t>
        </is>
      </c>
      <c r="M5412" s="12" t="inlineStr">
        <is>
          <t>6</t>
        </is>
      </c>
      <c r="N5412" s="12" t="n">
        <v>1</v>
      </c>
      <c r="O5412" s="12" t="n">
        <v>1</v>
      </c>
      <c r="P5412" s="12" t="n">
        <v>480</v>
      </c>
      <c r="Q5412" s="12" t="n">
        <v>30</v>
      </c>
      <c r="R5412" s="12" t="n">
        <v>42</v>
      </c>
      <c r="S5412" s="12" t="inlineStr">
        <is>
          <t>Tray</t>
        </is>
      </c>
      <c r="T5412" s="17" t="n">
        <v>80</v>
      </c>
      <c r="U5412" s="17" t="n">
        <v>150</v>
      </c>
      <c r="V5412" s="17">
        <f>ROUNDUP((T5412+U5412+2*'Read Me'!$B$13)*(1+'Read Me'!$B$12),-1)</f>
        <v/>
      </c>
      <c r="W5412" s="17">
        <f>V5412*N5412*O5412</f>
        <v/>
      </c>
      <c r="X5412" s="12">
        <f>IF(LEFT(I5412,2)="MV",2*N5412*IF(L5412="1/C",O5412,1),0)</f>
        <v/>
      </c>
      <c r="Y5412" s="12">
        <f>IF(OR(LEFT(K5412,4)="LVAX",LEFT(K5412,6)="MV15AX",LEFT(K5412,4)="CTAX",LEFT(K5412,2)="W|"),2*N5412*O5412,0)</f>
        <v/>
      </c>
      <c r="Z5412" s="12" t="inlineStr">
        <is>
          <t>VD 1.9 %</t>
        </is>
      </c>
      <c r="AA5412" s="12">
        <f>N5412*O5412</f>
        <v/>
      </c>
    </row>
    <row r="5413">
      <c r="A5413" s="12" t="inlineStr">
        <is>
          <t>I-P-0157</t>
        </is>
      </c>
      <c r="B5413" s="12" t="inlineStr">
        <is>
          <t>I</t>
        </is>
      </c>
      <c r="C5413" s="12" t="inlineStr">
        <is>
          <t>Modular / portable power</t>
        </is>
      </c>
      <c r="D5413" s="12" t="inlineStr">
        <is>
          <t>Motor 5 of 5, 30 kW (VFD output)</t>
        </is>
      </c>
      <c r="E5413" s="12" t="inlineStr"/>
      <c r="F5413" s="12" t="inlineStr">
        <is>
          <t>PCM: power control module</t>
        </is>
      </c>
      <c r="G5413" s="12" t="inlineStr"/>
      <c r="H5413" s="12" t="inlineStr">
        <is>
          <t>RICE 6 radiators (5)</t>
        </is>
      </c>
      <c r="I5413" s="12" t="inlineStr">
        <is>
          <t>LV 600 V</t>
        </is>
      </c>
      <c r="J5413" s="12" t="inlineStr">
        <is>
          <t>VFD cable 600 V 3/C Cu XHHW-2, 3 symmetrical grounds, overall Cu tape shield, TC-ER</t>
        </is>
      </c>
      <c r="K5413" s="12" t="inlineStr">
        <is>
          <t>VFD|3/C+3G|6</t>
        </is>
      </c>
      <c r="L5413" s="12" t="inlineStr">
        <is>
          <t>3/C+3G</t>
        </is>
      </c>
      <c r="M5413" s="12" t="inlineStr">
        <is>
          <t>6</t>
        </is>
      </c>
      <c r="N5413" s="12" t="n">
        <v>1</v>
      </c>
      <c r="O5413" s="12" t="n">
        <v>1</v>
      </c>
      <c r="P5413" s="12" t="n">
        <v>480</v>
      </c>
      <c r="Q5413" s="12" t="n">
        <v>30</v>
      </c>
      <c r="R5413" s="12" t="n">
        <v>42</v>
      </c>
      <c r="S5413" s="12" t="inlineStr">
        <is>
          <t>Tray</t>
        </is>
      </c>
      <c r="T5413" s="17" t="n">
        <v>80</v>
      </c>
      <c r="U5413" s="17" t="n">
        <v>150</v>
      </c>
      <c r="V5413" s="17">
        <f>ROUNDUP((T5413+U5413+2*'Read Me'!$B$13)*(1+'Read Me'!$B$12),-1)</f>
        <v/>
      </c>
      <c r="W5413" s="17">
        <f>V5413*N5413*O5413</f>
        <v/>
      </c>
      <c r="X5413" s="12">
        <f>IF(LEFT(I5413,2)="MV",2*N5413*IF(L5413="1/C",O5413,1),0)</f>
        <v/>
      </c>
      <c r="Y5413" s="12">
        <f>IF(OR(LEFT(K5413,4)="LVAX",LEFT(K5413,6)="MV15AX",LEFT(K5413,4)="CTAX",LEFT(K5413,2)="W|"),2*N5413*O5413,0)</f>
        <v/>
      </c>
      <c r="Z5413" s="12" t="inlineStr">
        <is>
          <t>VD 1.9 %</t>
        </is>
      </c>
      <c r="AA5413" s="12">
        <f>N5413*O5413</f>
        <v/>
      </c>
    </row>
    <row r="5414">
      <c r="A5414" s="12" t="inlineStr">
        <is>
          <t>I-P-0158</t>
        </is>
      </c>
      <c r="B5414" s="12" t="inlineStr">
        <is>
          <t>I</t>
        </is>
      </c>
      <c r="C5414" s="12" t="inlineStr">
        <is>
          <t>Modular / portable power</t>
        </is>
      </c>
      <c r="D5414" s="12" t="inlineStr">
        <is>
          <t>Motor 1 of 1, 15 kW</t>
        </is>
      </c>
      <c r="E5414" s="12" t="inlineStr"/>
      <c r="F5414" s="12" t="inlineStr">
        <is>
          <t>PCM: power control module</t>
        </is>
      </c>
      <c r="G5414" s="12" t="inlineStr"/>
      <c r="H5414" s="12" t="inlineStr">
        <is>
          <t>RICE 7 SCR + oxidation catalyst and stack</t>
        </is>
      </c>
      <c r="I5414" s="12" t="inlineStr">
        <is>
          <t>LV 600 V</t>
        </is>
      </c>
      <c r="J5414" s="12" t="inlineStr">
        <is>
          <t>Type TC-ER 600 V 3/C Cu XHHW-2 + ground, PVC jacket</t>
        </is>
      </c>
      <c r="K5414" s="12" t="inlineStr">
        <is>
          <t>LV|3/C+G|8</t>
        </is>
      </c>
      <c r="L5414" s="12" t="inlineStr">
        <is>
          <t>3/C+G</t>
        </is>
      </c>
      <c r="M5414" s="12" t="inlineStr">
        <is>
          <t>8</t>
        </is>
      </c>
      <c r="N5414" s="12" t="n">
        <v>1</v>
      </c>
      <c r="O5414" s="12" t="n">
        <v>1</v>
      </c>
      <c r="P5414" s="12" t="n">
        <v>480</v>
      </c>
      <c r="Q5414" s="12" t="n">
        <v>15</v>
      </c>
      <c r="R5414" s="12" t="n">
        <v>21.2</v>
      </c>
      <c r="S5414" s="12" t="inlineStr">
        <is>
          <t>Duct bank</t>
        </is>
      </c>
      <c r="T5414" s="17" t="n">
        <v>322</v>
      </c>
      <c r="U5414" s="17" t="n">
        <v>140</v>
      </c>
      <c r="V5414" s="17">
        <f>ROUNDUP((T5414+U5414+2*'Read Me'!$B$13)*(1+'Read Me'!$B$12),-1)</f>
        <v/>
      </c>
      <c r="W5414" s="17">
        <f>V5414*N5414*O5414</f>
        <v/>
      </c>
      <c r="X5414" s="12">
        <f>IF(LEFT(I5414,2)="MV",2*N5414*IF(L5414="1/C",O5414,1),0)</f>
        <v/>
      </c>
      <c r="Y5414" s="12">
        <f>IF(OR(LEFT(K5414,4)="LVAX",LEFT(K5414,6)="MV15AX",LEFT(K5414,4)="CTAX",LEFT(K5414,2)="W|"),2*N5414*O5414,0)</f>
        <v/>
      </c>
      <c r="Z5414" s="12" t="inlineStr">
        <is>
          <t>VD 3.0 %</t>
        </is>
      </c>
      <c r="AA5414" s="12">
        <f>N5414*O5414</f>
        <v/>
      </c>
    </row>
    <row r="5415">
      <c r="A5415" s="12" t="inlineStr">
        <is>
          <t>I-P-0159</t>
        </is>
      </c>
      <c r="B5415" s="12" t="inlineStr">
        <is>
          <t>I</t>
        </is>
      </c>
      <c r="C5415" s="12" t="inlineStr">
        <is>
          <t>Modular / portable power</t>
        </is>
      </c>
      <c r="D5415" s="12" t="inlineStr">
        <is>
          <t>Area / platform lighting circuit 1 (6 fixtures)</t>
        </is>
      </c>
      <c r="E5415" s="12" t="inlineStr"/>
      <c r="F5415" s="12" t="inlineStr">
        <is>
          <t>PCM: power control module</t>
        </is>
      </c>
      <c r="G5415" s="12" t="inlineStr"/>
      <c r="H5415" s="12" t="inlineStr">
        <is>
          <t>RICE 7 SCR + oxidation catalyst and stack</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3</v>
      </c>
      <c r="R5415" s="12" t="n">
        <v>5</v>
      </c>
      <c r="S5415" s="12" t="inlineStr">
        <is>
          <t>Duct bank</t>
        </is>
      </c>
      <c r="T5415" s="17" t="n">
        <v>622</v>
      </c>
      <c r="U5415" s="17" t="n">
        <v>140</v>
      </c>
      <c r="V5415" s="17">
        <f>ROUNDUP((T5415+U5415+2*'Read Me'!$B$13)*(1+'Read Me'!$B$12),-1)</f>
        <v/>
      </c>
      <c r="W5415" s="17">
        <f>V5415*N5415*O5415</f>
        <v/>
      </c>
      <c r="X5415" s="12">
        <f>IF(LEFT(I5415,2)="MV",2*N5415*IF(L5415="1/C",O5415,1),0)</f>
        <v/>
      </c>
      <c r="Y5415" s="12">
        <f>IF(OR(LEFT(K5415,4)="LVAX",LEFT(K5415,6)="MV15AX",LEFT(K5415,4)="CTAX",LEFT(K5415,2)="W|"),2*N5415*O5415,0)</f>
        <v/>
      </c>
      <c r="Z5415" s="12" t="inlineStr">
        <is>
          <t>fixture-to-fixture run included</t>
        </is>
      </c>
      <c r="AA5415" s="12">
        <f>N5415*O5415</f>
        <v/>
      </c>
    </row>
    <row r="5416">
      <c r="A5416" s="12" t="inlineStr">
        <is>
          <t>I-P-0160</t>
        </is>
      </c>
      <c r="B5416" s="12" t="inlineStr">
        <is>
          <t>I</t>
        </is>
      </c>
      <c r="C5416" s="12" t="inlineStr">
        <is>
          <t>Modular / portable power</t>
        </is>
      </c>
      <c r="D5416" s="12" t="inlineStr">
        <is>
          <t>Motor 1 of 5, 30 kW (VFD output)</t>
        </is>
      </c>
      <c r="E5416" s="12" t="inlineStr"/>
      <c r="F5416" s="12" t="inlineStr">
        <is>
          <t>PCM: power control module</t>
        </is>
      </c>
      <c r="G5416" s="12" t="inlineStr"/>
      <c r="H5416" s="12" t="inlineStr">
        <is>
          <t>RICE 7 radiators (5)</t>
        </is>
      </c>
      <c r="I5416" s="12" t="inlineStr">
        <is>
          <t>LV 600 V</t>
        </is>
      </c>
      <c r="J5416" s="12" t="inlineStr">
        <is>
          <t>VFD cable 600 V 3/C Cu XHHW-2, 3 symmetrical grounds, overall Cu tape shield, TC-ER</t>
        </is>
      </c>
      <c r="K5416" s="12" t="inlineStr">
        <is>
          <t>VFD|3/C+3G|6</t>
        </is>
      </c>
      <c r="L5416" s="12" t="inlineStr">
        <is>
          <t>3/C+3G</t>
        </is>
      </c>
      <c r="M5416" s="12" t="inlineStr">
        <is>
          <t>6</t>
        </is>
      </c>
      <c r="N5416" s="12" t="n">
        <v>1</v>
      </c>
      <c r="O5416" s="12" t="n">
        <v>1</v>
      </c>
      <c r="P5416" s="12" t="n">
        <v>480</v>
      </c>
      <c r="Q5416" s="12" t="n">
        <v>30</v>
      </c>
      <c r="R5416" s="12" t="n">
        <v>42</v>
      </c>
      <c r="S5416" s="12" t="inlineStr">
        <is>
          <t>Tray</t>
        </is>
      </c>
      <c r="T5416" s="17" t="n">
        <v>80</v>
      </c>
      <c r="U5416" s="17" t="n">
        <v>122</v>
      </c>
      <c r="V5416" s="17">
        <f>ROUNDUP((T5416+U5416+2*'Read Me'!$B$13)*(1+'Read Me'!$B$12),-1)</f>
        <v/>
      </c>
      <c r="W5416" s="17">
        <f>V5416*N5416*O5416</f>
        <v/>
      </c>
      <c r="X5416" s="12">
        <f>IF(LEFT(I5416,2)="MV",2*N5416*IF(L5416="1/C",O5416,1),0)</f>
        <v/>
      </c>
      <c r="Y5416" s="12">
        <f>IF(OR(LEFT(K5416,4)="LVAX",LEFT(K5416,6)="MV15AX",LEFT(K5416,4)="CTAX",LEFT(K5416,2)="W|"),2*N5416*O5416,0)</f>
        <v/>
      </c>
      <c r="Z5416" s="12" t="inlineStr">
        <is>
          <t>VD 1.7 %</t>
        </is>
      </c>
      <c r="AA5416" s="12">
        <f>N5416*O5416</f>
        <v/>
      </c>
    </row>
    <row r="5417">
      <c r="A5417" s="12" t="inlineStr">
        <is>
          <t>I-P-0161</t>
        </is>
      </c>
      <c r="B5417" s="12" t="inlineStr">
        <is>
          <t>I</t>
        </is>
      </c>
      <c r="C5417" s="12" t="inlineStr">
        <is>
          <t>Modular / portable power</t>
        </is>
      </c>
      <c r="D5417" s="12" t="inlineStr">
        <is>
          <t>Motor 2 of 5, 30 kW (VFD output)</t>
        </is>
      </c>
      <c r="E5417" s="12" t="inlineStr"/>
      <c r="F5417" s="12" t="inlineStr">
        <is>
          <t>PCM: power control module</t>
        </is>
      </c>
      <c r="G5417" s="12" t="inlineStr"/>
      <c r="H5417" s="12" t="inlineStr">
        <is>
          <t>RICE 7 radiators (5)</t>
        </is>
      </c>
      <c r="I5417" s="12" t="inlineStr">
        <is>
          <t>LV 600 V</t>
        </is>
      </c>
      <c r="J5417" s="12" t="inlineStr">
        <is>
          <t>VFD cable 600 V 3/C Cu XHHW-2, 3 symmetrical grounds, overall Cu tape shield, TC-ER</t>
        </is>
      </c>
      <c r="K5417" s="12" t="inlineStr">
        <is>
          <t>VFD|3/C+3G|6</t>
        </is>
      </c>
      <c r="L5417" s="12" t="inlineStr">
        <is>
          <t>3/C+3G</t>
        </is>
      </c>
      <c r="M5417" s="12" t="inlineStr">
        <is>
          <t>6</t>
        </is>
      </c>
      <c r="N5417" s="12" t="n">
        <v>1</v>
      </c>
      <c r="O5417" s="12" t="n">
        <v>1</v>
      </c>
      <c r="P5417" s="12" t="n">
        <v>480</v>
      </c>
      <c r="Q5417" s="12" t="n">
        <v>30</v>
      </c>
      <c r="R5417" s="12" t="n">
        <v>42</v>
      </c>
      <c r="S5417" s="12" t="inlineStr">
        <is>
          <t>Tray</t>
        </is>
      </c>
      <c r="T5417" s="17" t="n">
        <v>80</v>
      </c>
      <c r="U5417" s="17" t="n">
        <v>122</v>
      </c>
      <c r="V5417" s="17">
        <f>ROUNDUP((T5417+U5417+2*'Read Me'!$B$13)*(1+'Read Me'!$B$12),-1)</f>
        <v/>
      </c>
      <c r="W5417" s="17">
        <f>V5417*N5417*O5417</f>
        <v/>
      </c>
      <c r="X5417" s="12">
        <f>IF(LEFT(I5417,2)="MV",2*N5417*IF(L5417="1/C",O5417,1),0)</f>
        <v/>
      </c>
      <c r="Y5417" s="12">
        <f>IF(OR(LEFT(K5417,4)="LVAX",LEFT(K5417,6)="MV15AX",LEFT(K5417,4)="CTAX",LEFT(K5417,2)="W|"),2*N5417*O5417,0)</f>
        <v/>
      </c>
      <c r="Z5417" s="12" t="inlineStr">
        <is>
          <t>VD 1.7 %</t>
        </is>
      </c>
      <c r="AA5417" s="12">
        <f>N5417*O5417</f>
        <v/>
      </c>
    </row>
    <row r="5418">
      <c r="A5418" s="12" t="inlineStr">
        <is>
          <t>I-P-0162</t>
        </is>
      </c>
      <c r="B5418" s="12" t="inlineStr">
        <is>
          <t>I</t>
        </is>
      </c>
      <c r="C5418" s="12" t="inlineStr">
        <is>
          <t>Modular / portable power</t>
        </is>
      </c>
      <c r="D5418" s="12" t="inlineStr">
        <is>
          <t>Motor 3 of 5, 30 kW (VFD output)</t>
        </is>
      </c>
      <c r="E5418" s="12" t="inlineStr"/>
      <c r="F5418" s="12" t="inlineStr">
        <is>
          <t>PCM: power control module</t>
        </is>
      </c>
      <c r="G5418" s="12" t="inlineStr"/>
      <c r="H5418" s="12" t="inlineStr">
        <is>
          <t>RICE 7 radiators (5)</t>
        </is>
      </c>
      <c r="I5418" s="12" t="inlineStr">
        <is>
          <t>LV 600 V</t>
        </is>
      </c>
      <c r="J5418" s="12" t="inlineStr">
        <is>
          <t>VFD cable 600 V 3/C Cu XHHW-2, 3 symmetrical grounds, overall Cu tape shield, TC-ER</t>
        </is>
      </c>
      <c r="K5418" s="12" t="inlineStr">
        <is>
          <t>VFD|3/C+3G|6</t>
        </is>
      </c>
      <c r="L5418" s="12" t="inlineStr">
        <is>
          <t>3/C+3G</t>
        </is>
      </c>
      <c r="M5418" s="12" t="inlineStr">
        <is>
          <t>6</t>
        </is>
      </c>
      <c r="N5418" s="12" t="n">
        <v>1</v>
      </c>
      <c r="O5418" s="12" t="n">
        <v>1</v>
      </c>
      <c r="P5418" s="12" t="n">
        <v>480</v>
      </c>
      <c r="Q5418" s="12" t="n">
        <v>30</v>
      </c>
      <c r="R5418" s="12" t="n">
        <v>42</v>
      </c>
      <c r="S5418" s="12" t="inlineStr">
        <is>
          <t>Tray</t>
        </is>
      </c>
      <c r="T5418" s="17" t="n">
        <v>80</v>
      </c>
      <c r="U5418" s="17" t="n">
        <v>122</v>
      </c>
      <c r="V5418" s="17">
        <f>ROUNDUP((T5418+U5418+2*'Read Me'!$B$13)*(1+'Read Me'!$B$12),-1)</f>
        <v/>
      </c>
      <c r="W5418" s="17">
        <f>V5418*N5418*O5418</f>
        <v/>
      </c>
      <c r="X5418" s="12">
        <f>IF(LEFT(I5418,2)="MV",2*N5418*IF(L5418="1/C",O5418,1),0)</f>
        <v/>
      </c>
      <c r="Y5418" s="12">
        <f>IF(OR(LEFT(K5418,4)="LVAX",LEFT(K5418,6)="MV15AX",LEFT(K5418,4)="CTAX",LEFT(K5418,2)="W|"),2*N5418*O5418,0)</f>
        <v/>
      </c>
      <c r="Z5418" s="12" t="inlineStr">
        <is>
          <t>VD 1.7 %</t>
        </is>
      </c>
      <c r="AA5418" s="12">
        <f>N5418*O5418</f>
        <v/>
      </c>
    </row>
    <row r="5419">
      <c r="A5419" s="12" t="inlineStr">
        <is>
          <t>I-P-0163</t>
        </is>
      </c>
      <c r="B5419" s="12" t="inlineStr">
        <is>
          <t>I</t>
        </is>
      </c>
      <c r="C5419" s="12" t="inlineStr">
        <is>
          <t>Modular / portable power</t>
        </is>
      </c>
      <c r="D5419" s="12" t="inlineStr">
        <is>
          <t>Motor 4 of 5, 30 kW (VFD output)</t>
        </is>
      </c>
      <c r="E5419" s="12" t="inlineStr"/>
      <c r="F5419" s="12" t="inlineStr">
        <is>
          <t>PCM: power control module</t>
        </is>
      </c>
      <c r="G5419" s="12" t="inlineStr"/>
      <c r="H5419" s="12" t="inlineStr">
        <is>
          <t>RICE 7 radiators (5)</t>
        </is>
      </c>
      <c r="I5419" s="12" t="inlineStr">
        <is>
          <t>LV 600 V</t>
        </is>
      </c>
      <c r="J5419" s="12" t="inlineStr">
        <is>
          <t>VFD cable 600 V 3/C Cu XHHW-2, 3 symmetrical grounds, overall Cu tape shield, TC-ER</t>
        </is>
      </c>
      <c r="K5419" s="12" t="inlineStr">
        <is>
          <t>VFD|3/C+3G|6</t>
        </is>
      </c>
      <c r="L5419" s="12" t="inlineStr">
        <is>
          <t>3/C+3G</t>
        </is>
      </c>
      <c r="M5419" s="12" t="inlineStr">
        <is>
          <t>6</t>
        </is>
      </c>
      <c r="N5419" s="12" t="n">
        <v>1</v>
      </c>
      <c r="O5419" s="12" t="n">
        <v>1</v>
      </c>
      <c r="P5419" s="12" t="n">
        <v>480</v>
      </c>
      <c r="Q5419" s="12" t="n">
        <v>30</v>
      </c>
      <c r="R5419" s="12" t="n">
        <v>42</v>
      </c>
      <c r="S5419" s="12" t="inlineStr">
        <is>
          <t>Tray</t>
        </is>
      </c>
      <c r="T5419" s="17" t="n">
        <v>80</v>
      </c>
      <c r="U5419" s="17" t="n">
        <v>122</v>
      </c>
      <c r="V5419" s="17">
        <f>ROUNDUP((T5419+U5419+2*'Read Me'!$B$13)*(1+'Read Me'!$B$12),-1)</f>
        <v/>
      </c>
      <c r="W5419" s="17">
        <f>V5419*N5419*O5419</f>
        <v/>
      </c>
      <c r="X5419" s="12">
        <f>IF(LEFT(I5419,2)="MV",2*N5419*IF(L5419="1/C",O5419,1),0)</f>
        <v/>
      </c>
      <c r="Y5419" s="12">
        <f>IF(OR(LEFT(K5419,4)="LVAX",LEFT(K5419,6)="MV15AX",LEFT(K5419,4)="CTAX",LEFT(K5419,2)="W|"),2*N5419*O5419,0)</f>
        <v/>
      </c>
      <c r="Z5419" s="12" t="inlineStr">
        <is>
          <t>VD 1.7 %</t>
        </is>
      </c>
      <c r="AA5419" s="12">
        <f>N5419*O5419</f>
        <v/>
      </c>
    </row>
    <row r="5420">
      <c r="A5420" s="12" t="inlineStr">
        <is>
          <t>I-P-0164</t>
        </is>
      </c>
      <c r="B5420" s="12" t="inlineStr">
        <is>
          <t>I</t>
        </is>
      </c>
      <c r="C5420" s="12" t="inlineStr">
        <is>
          <t>Modular / portable power</t>
        </is>
      </c>
      <c r="D5420" s="12" t="inlineStr">
        <is>
          <t>Motor 5 of 5, 30 kW (VFD output)</t>
        </is>
      </c>
      <c r="E5420" s="12" t="inlineStr"/>
      <c r="F5420" s="12" t="inlineStr">
        <is>
          <t>PCM: power control module</t>
        </is>
      </c>
      <c r="G5420" s="12" t="inlineStr"/>
      <c r="H5420" s="12" t="inlineStr">
        <is>
          <t>RICE 7 radiators (5)</t>
        </is>
      </c>
      <c r="I5420" s="12" t="inlineStr">
        <is>
          <t>LV 600 V</t>
        </is>
      </c>
      <c r="J5420" s="12" t="inlineStr">
        <is>
          <t>VFD cable 600 V 3/C Cu XHHW-2, 3 symmetrical grounds, overall Cu tape shield, TC-ER</t>
        </is>
      </c>
      <c r="K5420" s="12" t="inlineStr">
        <is>
          <t>VFD|3/C+3G|6</t>
        </is>
      </c>
      <c r="L5420" s="12" t="inlineStr">
        <is>
          <t>3/C+3G</t>
        </is>
      </c>
      <c r="M5420" s="12" t="inlineStr">
        <is>
          <t>6</t>
        </is>
      </c>
      <c r="N5420" s="12" t="n">
        <v>1</v>
      </c>
      <c r="O5420" s="12" t="n">
        <v>1</v>
      </c>
      <c r="P5420" s="12" t="n">
        <v>480</v>
      </c>
      <c r="Q5420" s="12" t="n">
        <v>30</v>
      </c>
      <c r="R5420" s="12" t="n">
        <v>42</v>
      </c>
      <c r="S5420" s="12" t="inlineStr">
        <is>
          <t>Tray</t>
        </is>
      </c>
      <c r="T5420" s="17" t="n">
        <v>80</v>
      </c>
      <c r="U5420" s="17" t="n">
        <v>122</v>
      </c>
      <c r="V5420" s="17">
        <f>ROUNDUP((T5420+U5420+2*'Read Me'!$B$13)*(1+'Read Me'!$B$12),-1)</f>
        <v/>
      </c>
      <c r="W5420" s="17">
        <f>V5420*N5420*O5420</f>
        <v/>
      </c>
      <c r="X5420" s="12">
        <f>IF(LEFT(I5420,2)="MV",2*N5420*IF(L5420="1/C",O5420,1),0)</f>
        <v/>
      </c>
      <c r="Y5420" s="12">
        <f>IF(OR(LEFT(K5420,4)="LVAX",LEFT(K5420,6)="MV15AX",LEFT(K5420,4)="CTAX",LEFT(K5420,2)="W|"),2*N5420*O5420,0)</f>
        <v/>
      </c>
      <c r="Z5420" s="12" t="inlineStr">
        <is>
          <t>VD 1.7 %</t>
        </is>
      </c>
      <c r="AA5420" s="12">
        <f>N5420*O5420</f>
        <v/>
      </c>
    </row>
    <row r="5421">
      <c r="A5421" s="12" t="inlineStr">
        <is>
          <t>I-P-0165</t>
        </is>
      </c>
      <c r="B5421" s="12" t="inlineStr">
        <is>
          <t>I</t>
        </is>
      </c>
      <c r="C5421" s="12" t="inlineStr">
        <is>
          <t>Modular / portable power</t>
        </is>
      </c>
      <c r="D5421" s="12" t="inlineStr">
        <is>
          <t>Motor 1 of 1, 15 kW</t>
        </is>
      </c>
      <c r="E5421" s="12" t="inlineStr"/>
      <c r="F5421" s="12" t="inlineStr">
        <is>
          <t>PCM: power control module</t>
        </is>
      </c>
      <c r="G5421" s="12" t="inlineStr"/>
      <c r="H5421" s="12" t="inlineStr">
        <is>
          <t>RICE 8 SCR + oxidation catalyst and stack</t>
        </is>
      </c>
      <c r="I5421" s="12" t="inlineStr">
        <is>
          <t>LV 600 V</t>
        </is>
      </c>
      <c r="J5421" s="12" t="inlineStr">
        <is>
          <t>Type TC-ER 600 V 3/C Cu XHHW-2 + ground, PVC jacket</t>
        </is>
      </c>
      <c r="K5421" s="12" t="inlineStr">
        <is>
          <t>LV|3/C+G|8</t>
        </is>
      </c>
      <c r="L5421" s="12" t="inlineStr">
        <is>
          <t>3/C+G</t>
        </is>
      </c>
      <c r="M5421" s="12" t="inlineStr">
        <is>
          <t>8</t>
        </is>
      </c>
      <c r="N5421" s="12" t="n">
        <v>1</v>
      </c>
      <c r="O5421" s="12" t="n">
        <v>1</v>
      </c>
      <c r="P5421" s="12" t="n">
        <v>480</v>
      </c>
      <c r="Q5421" s="12" t="n">
        <v>15</v>
      </c>
      <c r="R5421" s="12" t="n">
        <v>21.2</v>
      </c>
      <c r="S5421" s="12" t="inlineStr">
        <is>
          <t>Duct bank</t>
        </is>
      </c>
      <c r="T5421" s="17" t="n">
        <v>322</v>
      </c>
      <c r="U5421" s="17" t="n">
        <v>112</v>
      </c>
      <c r="V5421" s="17">
        <f>ROUNDUP((T5421+U5421+2*'Read Me'!$B$13)*(1+'Read Me'!$B$12),-1)</f>
        <v/>
      </c>
      <c r="W5421" s="17">
        <f>V5421*N5421*O5421</f>
        <v/>
      </c>
      <c r="X5421" s="12">
        <f>IF(LEFT(I5421,2)="MV",2*N5421*IF(L5421="1/C",O5421,1),0)</f>
        <v/>
      </c>
      <c r="Y5421" s="12">
        <f>IF(OR(LEFT(K5421,4)="LVAX",LEFT(K5421,6)="MV15AX",LEFT(K5421,4)="CTAX",LEFT(K5421,2)="W|"),2*N5421*O5421,0)</f>
        <v/>
      </c>
      <c r="Z5421" s="12" t="inlineStr">
        <is>
          <t>VD 2.8 %</t>
        </is>
      </c>
      <c r="AA5421" s="12">
        <f>N5421*O5421</f>
        <v/>
      </c>
    </row>
    <row r="5422">
      <c r="A5422" s="12" t="inlineStr">
        <is>
          <t>I-P-0166</t>
        </is>
      </c>
      <c r="B5422" s="12" t="inlineStr">
        <is>
          <t>I</t>
        </is>
      </c>
      <c r="C5422" s="12" t="inlineStr">
        <is>
          <t>Modular / portable power</t>
        </is>
      </c>
      <c r="D5422" s="12" t="inlineStr">
        <is>
          <t>Area / platform lighting circuit 1 (6 fixtures)</t>
        </is>
      </c>
      <c r="E5422" s="12" t="inlineStr"/>
      <c r="F5422" s="12" t="inlineStr">
        <is>
          <t>PCM: power control module</t>
        </is>
      </c>
      <c r="G5422" s="12" t="inlineStr"/>
      <c r="H5422" s="12" t="inlineStr">
        <is>
          <t>RICE 8 SCR + oxidation catalyst and stack</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3</v>
      </c>
      <c r="R5422" s="12" t="n">
        <v>5</v>
      </c>
      <c r="S5422" s="12" t="inlineStr">
        <is>
          <t>Duct bank</t>
        </is>
      </c>
      <c r="T5422" s="17" t="n">
        <v>622</v>
      </c>
      <c r="U5422" s="17" t="n">
        <v>112</v>
      </c>
      <c r="V5422" s="17">
        <f>ROUNDUP((T5422+U5422+2*'Read Me'!$B$13)*(1+'Read Me'!$B$12),-1)</f>
        <v/>
      </c>
      <c r="W5422" s="17">
        <f>V5422*N5422*O5422</f>
        <v/>
      </c>
      <c r="X5422" s="12">
        <f>IF(LEFT(I5422,2)="MV",2*N5422*IF(L5422="1/C",O5422,1),0)</f>
        <v/>
      </c>
      <c r="Y5422" s="12">
        <f>IF(OR(LEFT(K5422,4)="LVAX",LEFT(K5422,6)="MV15AX",LEFT(K5422,4)="CTAX",LEFT(K5422,2)="W|"),2*N5422*O5422,0)</f>
        <v/>
      </c>
      <c r="Z5422" s="12" t="inlineStr">
        <is>
          <t>fixture-to-fixture run included</t>
        </is>
      </c>
      <c r="AA5422" s="12">
        <f>N5422*O5422</f>
        <v/>
      </c>
    </row>
    <row r="5423">
      <c r="A5423" s="12" t="inlineStr">
        <is>
          <t>I-P-0167</t>
        </is>
      </c>
      <c r="B5423" s="12" t="inlineStr">
        <is>
          <t>I</t>
        </is>
      </c>
      <c r="C5423" s="12" t="inlineStr">
        <is>
          <t>Modular / portable power</t>
        </is>
      </c>
      <c r="D5423" s="12" t="inlineStr">
        <is>
          <t>Motor 1 of 5, 30 kW (VFD output)</t>
        </is>
      </c>
      <c r="E5423" s="12" t="inlineStr"/>
      <c r="F5423" s="12" t="inlineStr">
        <is>
          <t>PCM: power control module</t>
        </is>
      </c>
      <c r="G5423" s="12" t="inlineStr"/>
      <c r="H5423" s="12" t="inlineStr">
        <is>
          <t>RICE 8 radiators (5)</t>
        </is>
      </c>
      <c r="I5423" s="12" t="inlineStr">
        <is>
          <t>LV 600 V</t>
        </is>
      </c>
      <c r="J5423" s="12" t="inlineStr">
        <is>
          <t>VFD cable 600 V 3/C Cu XHHW-2, 3 symmetrical grounds, overall Cu tape shield, TC-ER</t>
        </is>
      </c>
      <c r="K5423" s="12" t="inlineStr">
        <is>
          <t>VFD|3/C+3G|6</t>
        </is>
      </c>
      <c r="L5423" s="12" t="inlineStr">
        <is>
          <t>3/C+3G</t>
        </is>
      </c>
      <c r="M5423" s="12" t="inlineStr">
        <is>
          <t>6</t>
        </is>
      </c>
      <c r="N5423" s="12" t="n">
        <v>1</v>
      </c>
      <c r="O5423" s="12" t="n">
        <v>1</v>
      </c>
      <c r="P5423" s="12" t="n">
        <v>480</v>
      </c>
      <c r="Q5423" s="12" t="n">
        <v>30</v>
      </c>
      <c r="R5423" s="12" t="n">
        <v>42</v>
      </c>
      <c r="S5423" s="12" t="inlineStr">
        <is>
          <t>Tray</t>
        </is>
      </c>
      <c r="T5423" s="17" t="n">
        <v>80</v>
      </c>
      <c r="U5423" s="17" t="n">
        <v>94</v>
      </c>
      <c r="V5423" s="17">
        <f>ROUNDUP((T5423+U5423+2*'Read Me'!$B$13)*(1+'Read Me'!$B$12),-1)</f>
        <v/>
      </c>
      <c r="W5423" s="17">
        <f>V5423*N5423*O5423</f>
        <v/>
      </c>
      <c r="X5423" s="12">
        <f>IF(LEFT(I5423,2)="MV",2*N5423*IF(L5423="1/C",O5423,1),0)</f>
        <v/>
      </c>
      <c r="Y5423" s="12">
        <f>IF(OR(LEFT(K5423,4)="LVAX",LEFT(K5423,6)="MV15AX",LEFT(K5423,4)="CTAX",LEFT(K5423,2)="W|"),2*N5423*O5423,0)</f>
        <v/>
      </c>
      <c r="Z5423" s="12" t="inlineStr">
        <is>
          <t>VD 1.4 %</t>
        </is>
      </c>
      <c r="AA5423" s="12">
        <f>N5423*O5423</f>
        <v/>
      </c>
    </row>
    <row r="5424">
      <c r="A5424" s="12" t="inlineStr">
        <is>
          <t>I-P-0168</t>
        </is>
      </c>
      <c r="B5424" s="12" t="inlineStr">
        <is>
          <t>I</t>
        </is>
      </c>
      <c r="C5424" s="12" t="inlineStr">
        <is>
          <t>Modular / portable power</t>
        </is>
      </c>
      <c r="D5424" s="12" t="inlineStr">
        <is>
          <t>Motor 2 of 5, 30 kW (VFD output)</t>
        </is>
      </c>
      <c r="E5424" s="12" t="inlineStr"/>
      <c r="F5424" s="12" t="inlineStr">
        <is>
          <t>PCM: power control module</t>
        </is>
      </c>
      <c r="G5424" s="12" t="inlineStr"/>
      <c r="H5424" s="12" t="inlineStr">
        <is>
          <t>RICE 8 radiators (5)</t>
        </is>
      </c>
      <c r="I5424" s="12" t="inlineStr">
        <is>
          <t>LV 600 V</t>
        </is>
      </c>
      <c r="J5424" s="12" t="inlineStr">
        <is>
          <t>VFD cable 600 V 3/C Cu XHHW-2, 3 symmetrical grounds, overall Cu tape shield, TC-ER</t>
        </is>
      </c>
      <c r="K5424" s="12" t="inlineStr">
        <is>
          <t>VFD|3/C+3G|6</t>
        </is>
      </c>
      <c r="L5424" s="12" t="inlineStr">
        <is>
          <t>3/C+3G</t>
        </is>
      </c>
      <c r="M5424" s="12" t="inlineStr">
        <is>
          <t>6</t>
        </is>
      </c>
      <c r="N5424" s="12" t="n">
        <v>1</v>
      </c>
      <c r="O5424" s="12" t="n">
        <v>1</v>
      </c>
      <c r="P5424" s="12" t="n">
        <v>480</v>
      </c>
      <c r="Q5424" s="12" t="n">
        <v>30</v>
      </c>
      <c r="R5424" s="12" t="n">
        <v>42</v>
      </c>
      <c r="S5424" s="12" t="inlineStr">
        <is>
          <t>Tray</t>
        </is>
      </c>
      <c r="T5424" s="17" t="n">
        <v>80</v>
      </c>
      <c r="U5424" s="17" t="n">
        <v>94</v>
      </c>
      <c r="V5424" s="17">
        <f>ROUNDUP((T5424+U5424+2*'Read Me'!$B$13)*(1+'Read Me'!$B$12),-1)</f>
        <v/>
      </c>
      <c r="W5424" s="17">
        <f>V5424*N5424*O5424</f>
        <v/>
      </c>
      <c r="X5424" s="12">
        <f>IF(LEFT(I5424,2)="MV",2*N5424*IF(L5424="1/C",O5424,1),0)</f>
        <v/>
      </c>
      <c r="Y5424" s="12">
        <f>IF(OR(LEFT(K5424,4)="LVAX",LEFT(K5424,6)="MV15AX",LEFT(K5424,4)="CTAX",LEFT(K5424,2)="W|"),2*N5424*O5424,0)</f>
        <v/>
      </c>
      <c r="Z5424" s="12" t="inlineStr">
        <is>
          <t>VD 1.4 %</t>
        </is>
      </c>
      <c r="AA5424" s="12">
        <f>N5424*O5424</f>
        <v/>
      </c>
    </row>
    <row r="5425">
      <c r="A5425" s="12" t="inlineStr">
        <is>
          <t>I-P-0169</t>
        </is>
      </c>
      <c r="B5425" s="12" t="inlineStr">
        <is>
          <t>I</t>
        </is>
      </c>
      <c r="C5425" s="12" t="inlineStr">
        <is>
          <t>Modular / portable power</t>
        </is>
      </c>
      <c r="D5425" s="12" t="inlineStr">
        <is>
          <t>Motor 3 of 5, 30 kW (VFD output)</t>
        </is>
      </c>
      <c r="E5425" s="12" t="inlineStr"/>
      <c r="F5425" s="12" t="inlineStr">
        <is>
          <t>PCM: power control module</t>
        </is>
      </c>
      <c r="G5425" s="12" t="inlineStr"/>
      <c r="H5425" s="12" t="inlineStr">
        <is>
          <t>RICE 8 radiators (5)</t>
        </is>
      </c>
      <c r="I5425" s="12" t="inlineStr">
        <is>
          <t>LV 600 V</t>
        </is>
      </c>
      <c r="J5425" s="12" t="inlineStr">
        <is>
          <t>VFD cable 600 V 3/C Cu XHHW-2, 3 symmetrical grounds, overall Cu tape shield, TC-ER</t>
        </is>
      </c>
      <c r="K5425" s="12" t="inlineStr">
        <is>
          <t>VFD|3/C+3G|6</t>
        </is>
      </c>
      <c r="L5425" s="12" t="inlineStr">
        <is>
          <t>3/C+3G</t>
        </is>
      </c>
      <c r="M5425" s="12" t="inlineStr">
        <is>
          <t>6</t>
        </is>
      </c>
      <c r="N5425" s="12" t="n">
        <v>1</v>
      </c>
      <c r="O5425" s="12" t="n">
        <v>1</v>
      </c>
      <c r="P5425" s="12" t="n">
        <v>480</v>
      </c>
      <c r="Q5425" s="12" t="n">
        <v>30</v>
      </c>
      <c r="R5425" s="12" t="n">
        <v>42</v>
      </c>
      <c r="S5425" s="12" t="inlineStr">
        <is>
          <t>Tray</t>
        </is>
      </c>
      <c r="T5425" s="17" t="n">
        <v>80</v>
      </c>
      <c r="U5425" s="17" t="n">
        <v>94</v>
      </c>
      <c r="V5425" s="17">
        <f>ROUNDUP((T5425+U5425+2*'Read Me'!$B$13)*(1+'Read Me'!$B$12),-1)</f>
        <v/>
      </c>
      <c r="W5425" s="17">
        <f>V5425*N5425*O5425</f>
        <v/>
      </c>
      <c r="X5425" s="12">
        <f>IF(LEFT(I5425,2)="MV",2*N5425*IF(L5425="1/C",O5425,1),0)</f>
        <v/>
      </c>
      <c r="Y5425" s="12">
        <f>IF(OR(LEFT(K5425,4)="LVAX",LEFT(K5425,6)="MV15AX",LEFT(K5425,4)="CTAX",LEFT(K5425,2)="W|"),2*N5425*O5425,0)</f>
        <v/>
      </c>
      <c r="Z5425" s="12" t="inlineStr">
        <is>
          <t>VD 1.4 %</t>
        </is>
      </c>
      <c r="AA5425" s="12">
        <f>N5425*O5425</f>
        <v/>
      </c>
    </row>
    <row r="5426">
      <c r="A5426" s="12" t="inlineStr">
        <is>
          <t>I-P-0170</t>
        </is>
      </c>
      <c r="B5426" s="12" t="inlineStr">
        <is>
          <t>I</t>
        </is>
      </c>
      <c r="C5426" s="12" t="inlineStr">
        <is>
          <t>Modular / portable power</t>
        </is>
      </c>
      <c r="D5426" s="12" t="inlineStr">
        <is>
          <t>Motor 4 of 5, 30 kW (VFD output)</t>
        </is>
      </c>
      <c r="E5426" s="12" t="inlineStr"/>
      <c r="F5426" s="12" t="inlineStr">
        <is>
          <t>PCM: power control module</t>
        </is>
      </c>
      <c r="G5426" s="12" t="inlineStr"/>
      <c r="H5426" s="12" t="inlineStr">
        <is>
          <t>RICE 8 radiators (5)</t>
        </is>
      </c>
      <c r="I5426" s="12" t="inlineStr">
        <is>
          <t>LV 600 V</t>
        </is>
      </c>
      <c r="J5426" s="12" t="inlineStr">
        <is>
          <t>VFD cable 600 V 3/C Cu XHHW-2, 3 symmetrical grounds, overall Cu tape shield, TC-ER</t>
        </is>
      </c>
      <c r="K5426" s="12" t="inlineStr">
        <is>
          <t>VFD|3/C+3G|6</t>
        </is>
      </c>
      <c r="L5426" s="12" t="inlineStr">
        <is>
          <t>3/C+3G</t>
        </is>
      </c>
      <c r="M5426" s="12" t="inlineStr">
        <is>
          <t>6</t>
        </is>
      </c>
      <c r="N5426" s="12" t="n">
        <v>1</v>
      </c>
      <c r="O5426" s="12" t="n">
        <v>1</v>
      </c>
      <c r="P5426" s="12" t="n">
        <v>480</v>
      </c>
      <c r="Q5426" s="12" t="n">
        <v>30</v>
      </c>
      <c r="R5426" s="12" t="n">
        <v>42</v>
      </c>
      <c r="S5426" s="12" t="inlineStr">
        <is>
          <t>Tray</t>
        </is>
      </c>
      <c r="T5426" s="17" t="n">
        <v>80</v>
      </c>
      <c r="U5426" s="17" t="n">
        <v>94</v>
      </c>
      <c r="V5426" s="17">
        <f>ROUNDUP((T5426+U5426+2*'Read Me'!$B$13)*(1+'Read Me'!$B$12),-1)</f>
        <v/>
      </c>
      <c r="W5426" s="17">
        <f>V5426*N5426*O5426</f>
        <v/>
      </c>
      <c r="X5426" s="12">
        <f>IF(LEFT(I5426,2)="MV",2*N5426*IF(L5426="1/C",O5426,1),0)</f>
        <v/>
      </c>
      <c r="Y5426" s="12">
        <f>IF(OR(LEFT(K5426,4)="LVAX",LEFT(K5426,6)="MV15AX",LEFT(K5426,4)="CTAX",LEFT(K5426,2)="W|"),2*N5426*O5426,0)</f>
        <v/>
      </c>
      <c r="Z5426" s="12" t="inlineStr">
        <is>
          <t>VD 1.4 %</t>
        </is>
      </c>
      <c r="AA5426" s="12">
        <f>N5426*O5426</f>
        <v/>
      </c>
    </row>
    <row r="5427">
      <c r="A5427" s="12" t="inlineStr">
        <is>
          <t>I-P-0171</t>
        </is>
      </c>
      <c r="B5427" s="12" t="inlineStr">
        <is>
          <t>I</t>
        </is>
      </c>
      <c r="C5427" s="12" t="inlineStr">
        <is>
          <t>Modular / portable power</t>
        </is>
      </c>
      <c r="D5427" s="12" t="inlineStr">
        <is>
          <t>Motor 5 of 5, 30 kW (VFD output)</t>
        </is>
      </c>
      <c r="E5427" s="12" t="inlineStr"/>
      <c r="F5427" s="12" t="inlineStr">
        <is>
          <t>PCM: power control module</t>
        </is>
      </c>
      <c r="G5427" s="12" t="inlineStr"/>
      <c r="H5427" s="12" t="inlineStr">
        <is>
          <t>RICE 8 radiators (5)</t>
        </is>
      </c>
      <c r="I5427" s="12" t="inlineStr">
        <is>
          <t>LV 600 V</t>
        </is>
      </c>
      <c r="J5427" s="12" t="inlineStr">
        <is>
          <t>VFD cable 600 V 3/C Cu XHHW-2, 3 symmetrical grounds, overall Cu tape shield, TC-ER</t>
        </is>
      </c>
      <c r="K5427" s="12" t="inlineStr">
        <is>
          <t>VFD|3/C+3G|6</t>
        </is>
      </c>
      <c r="L5427" s="12" t="inlineStr">
        <is>
          <t>3/C+3G</t>
        </is>
      </c>
      <c r="M5427" s="12" t="inlineStr">
        <is>
          <t>6</t>
        </is>
      </c>
      <c r="N5427" s="12" t="n">
        <v>1</v>
      </c>
      <c r="O5427" s="12" t="n">
        <v>1</v>
      </c>
      <c r="P5427" s="12" t="n">
        <v>480</v>
      </c>
      <c r="Q5427" s="12" t="n">
        <v>30</v>
      </c>
      <c r="R5427" s="12" t="n">
        <v>42</v>
      </c>
      <c r="S5427" s="12" t="inlineStr">
        <is>
          <t>Tray</t>
        </is>
      </c>
      <c r="T5427" s="17" t="n">
        <v>80</v>
      </c>
      <c r="U5427" s="17" t="n">
        <v>94</v>
      </c>
      <c r="V5427" s="17">
        <f>ROUNDUP((T5427+U5427+2*'Read Me'!$B$13)*(1+'Read Me'!$B$12),-1)</f>
        <v/>
      </c>
      <c r="W5427" s="17">
        <f>V5427*N5427*O5427</f>
        <v/>
      </c>
      <c r="X5427" s="12">
        <f>IF(LEFT(I5427,2)="MV",2*N5427*IF(L5427="1/C",O5427,1),0)</f>
        <v/>
      </c>
      <c r="Y5427" s="12">
        <f>IF(OR(LEFT(K5427,4)="LVAX",LEFT(K5427,6)="MV15AX",LEFT(K5427,4)="CTAX",LEFT(K5427,2)="W|"),2*N5427*O5427,0)</f>
        <v/>
      </c>
      <c r="Z5427" s="12" t="inlineStr">
        <is>
          <t>VD 1.4 %</t>
        </is>
      </c>
      <c r="AA5427" s="12">
        <f>N5427*O5427</f>
        <v/>
      </c>
    </row>
    <row r="5428">
      <c r="A5428" s="12" t="inlineStr">
        <is>
          <t>I-P-0172</t>
        </is>
      </c>
      <c r="B5428" s="12" t="inlineStr">
        <is>
          <t>I</t>
        </is>
      </c>
      <c r="C5428" s="12" t="inlineStr">
        <is>
          <t>Modular / portable power</t>
        </is>
      </c>
      <c r="D5428" s="12" t="inlineStr">
        <is>
          <t>LV panel / distribution feeder</t>
        </is>
      </c>
      <c r="E5428" s="12" t="inlineStr"/>
      <c r="F5428" s="12" t="inlineStr">
        <is>
          <t>PCM: power control module</t>
        </is>
      </c>
      <c r="G5428" s="12" t="inlineStr"/>
      <c r="H5428" s="12" t="inlineStr">
        <is>
          <t>RICE CEMS</t>
        </is>
      </c>
      <c r="I5428" s="12" t="inlineStr">
        <is>
          <t>LV 600 V</t>
        </is>
      </c>
      <c r="J5428" s="12" t="inlineStr">
        <is>
          <t>Type TC-ER 600 V 3/C Cu XHHW-2 + ground, PVC jacket</t>
        </is>
      </c>
      <c r="K5428" s="12" t="inlineStr">
        <is>
          <t>LV|3/C+G|4</t>
        </is>
      </c>
      <c r="L5428" s="12" t="inlineStr">
        <is>
          <t>3/C+G</t>
        </is>
      </c>
      <c r="M5428" s="12" t="inlineStr">
        <is>
          <t>4</t>
        </is>
      </c>
      <c r="N5428" s="12" t="n">
        <v>1</v>
      </c>
      <c r="O5428" s="12" t="n">
        <v>1</v>
      </c>
      <c r="P5428" s="12" t="n">
        <v>480</v>
      </c>
      <c r="Q5428" s="12" t="n">
        <v>30</v>
      </c>
      <c r="R5428" s="12" t="n">
        <v>42.5</v>
      </c>
      <c r="S5428" s="12" t="inlineStr">
        <is>
          <t>Duct bank</t>
        </is>
      </c>
      <c r="T5428" s="17" t="n">
        <v>260</v>
      </c>
      <c r="U5428" s="17" t="n">
        <v>131</v>
      </c>
      <c r="V5428" s="17">
        <f>ROUNDUP((T5428+U5428+2*'Read Me'!$B$13)*(1+'Read Me'!$B$12),-1)</f>
        <v/>
      </c>
      <c r="W5428" s="17">
        <f>V5428*N5428*O5428</f>
        <v/>
      </c>
      <c r="X5428" s="12">
        <f>IF(LEFT(I5428,2)="MV",2*N5428*IF(L5428="1/C",O5428,1),0)</f>
        <v/>
      </c>
      <c r="Y5428" s="12">
        <f>IF(OR(LEFT(K5428,4)="LVAX",LEFT(K5428,6)="MV15AX",LEFT(K5428,4)="CTAX",LEFT(K5428,2)="W|"),2*N5428*O5428,0)</f>
        <v/>
      </c>
      <c r="Z5428" s="12" t="inlineStr">
        <is>
          <t>VD 2.0 %</t>
        </is>
      </c>
      <c r="AA5428" s="12">
        <f>N5428*O5428</f>
        <v/>
      </c>
    </row>
    <row r="5429">
      <c r="A5429" s="12" t="inlineStr">
        <is>
          <t>I-P-0173</t>
        </is>
      </c>
      <c r="B5429" s="12" t="inlineStr">
        <is>
          <t>I</t>
        </is>
      </c>
      <c r="C5429" s="12" t="inlineStr">
        <is>
          <t>Modular / portable power</t>
        </is>
      </c>
      <c r="D5429" s="12" t="inlineStr">
        <is>
          <t>LV power feeder</t>
        </is>
      </c>
      <c r="E5429" s="12" t="inlineStr"/>
      <c r="F5429" s="12" t="inlineStr">
        <is>
          <t>PCM: power control module</t>
        </is>
      </c>
      <c r="G5429" s="12" t="inlineStr">
        <is>
          <t>RICE</t>
        </is>
      </c>
      <c r="H5429" s="12" t="inlineStr">
        <is>
          <t>RICE engine hall (8 engines)</t>
        </is>
      </c>
      <c r="I5429" s="12" t="inlineStr">
        <is>
          <t>LV 600 V</t>
        </is>
      </c>
      <c r="J5429" s="12" t="inlineStr">
        <is>
          <t>Type TC-ER 600 V 3/C Cu XHHW-2 + ground, PVC jacket</t>
        </is>
      </c>
      <c r="K5429" s="12" t="inlineStr">
        <is>
          <t>LV|3/C+G|8</t>
        </is>
      </c>
      <c r="L5429" s="12" t="inlineStr">
        <is>
          <t>3/C+G</t>
        </is>
      </c>
      <c r="M5429" s="12" t="inlineStr">
        <is>
          <t>8</t>
        </is>
      </c>
      <c r="N5429" s="12" t="n">
        <v>1</v>
      </c>
      <c r="O5429" s="12" t="n">
        <v>1</v>
      </c>
      <c r="P5429" s="12" t="n">
        <v>480</v>
      </c>
      <c r="Q5429" s="12" t="n">
        <v>15</v>
      </c>
      <c r="R5429" s="12" t="n">
        <v>21.2</v>
      </c>
      <c r="S5429" s="12" t="inlineStr">
        <is>
          <t>Duct bank</t>
        </is>
      </c>
      <c r="T5429" s="17" t="n">
        <v>367</v>
      </c>
      <c r="U5429" s="17" t="n">
        <v>95</v>
      </c>
      <c r="V5429" s="17">
        <f>ROUNDUP((T5429+U5429+2*'Read Me'!$B$13)*(1+'Read Me'!$B$12),-1)</f>
        <v/>
      </c>
      <c r="W5429" s="17">
        <f>V5429*N5429*O5429</f>
        <v/>
      </c>
      <c r="X5429" s="12">
        <f>IF(LEFT(I5429,2)="MV",2*N5429*IF(L5429="1/C",O5429,1),0)</f>
        <v/>
      </c>
      <c r="Y5429" s="12">
        <f>IF(OR(LEFT(K5429,4)="LVAX",LEFT(K5429,6)="MV15AX",LEFT(K5429,4)="CTAX",LEFT(K5429,2)="W|"),2*N5429*O5429,0)</f>
        <v/>
      </c>
      <c r="Z5429" s="12" t="inlineStr">
        <is>
          <t>VD 3.0 %</t>
        </is>
      </c>
      <c r="AA5429" s="12">
        <f>N5429*O5429</f>
        <v/>
      </c>
    </row>
    <row r="5430">
      <c r="A5430" s="12" t="inlineStr">
        <is>
          <t>I-P-0174</t>
        </is>
      </c>
      <c r="B5430" s="12" t="inlineStr">
        <is>
          <t>I</t>
        </is>
      </c>
      <c r="C5430" s="12" t="inlineStr">
        <is>
          <t>Modular / portable power</t>
        </is>
      </c>
      <c r="D5430" s="12" t="inlineStr">
        <is>
          <t>Motor 1 of 6, 22 kW</t>
        </is>
      </c>
      <c r="E5430" s="12" t="inlineStr"/>
      <c r="F5430" s="12" t="inlineStr">
        <is>
          <t>PCM: power control module</t>
        </is>
      </c>
      <c r="G5430" s="12" t="inlineStr">
        <is>
          <t>RICE-1</t>
        </is>
      </c>
      <c r="H5430" s="12" t="inlineStr">
        <is>
          <t>RICE engine-generator 1</t>
        </is>
      </c>
      <c r="I5430" s="12" t="inlineStr">
        <is>
          <t>LV 600 V</t>
        </is>
      </c>
      <c r="J5430" s="12" t="inlineStr">
        <is>
          <t>Type TC-ER 600 V 3/C Cu XHHW-2 + ground, PVC jacket</t>
        </is>
      </c>
      <c r="K5430" s="12" t="inlineStr">
        <is>
          <t>LV|3/C+G|4</t>
        </is>
      </c>
      <c r="L5430" s="12" t="inlineStr">
        <is>
          <t>3/C+G</t>
        </is>
      </c>
      <c r="M5430" s="12" t="inlineStr">
        <is>
          <t>4</t>
        </is>
      </c>
      <c r="N5430" s="12" t="n">
        <v>1</v>
      </c>
      <c r="O5430" s="12" t="n">
        <v>1</v>
      </c>
      <c r="P5430" s="12" t="n">
        <v>480</v>
      </c>
      <c r="Q5430" s="12" t="n">
        <v>22</v>
      </c>
      <c r="R5430" s="12" t="n">
        <v>31.1</v>
      </c>
      <c r="S5430" s="12" t="inlineStr">
        <is>
          <t>Duct bank</t>
        </is>
      </c>
      <c r="T5430" s="17" t="n">
        <v>550</v>
      </c>
      <c r="U5430" s="17" t="n">
        <v>137</v>
      </c>
      <c r="V5430" s="17">
        <f>ROUNDUP((T5430+U5430+2*'Read Me'!$B$13)*(1+'Read Me'!$B$12),-1)</f>
        <v/>
      </c>
      <c r="W5430" s="17">
        <f>V5430*N5430*O5430</f>
        <v/>
      </c>
      <c r="X5430" s="12">
        <f>IF(LEFT(I5430,2)="MV",2*N5430*IF(L5430="1/C",O5430,1),0)</f>
        <v/>
      </c>
      <c r="Y5430" s="12">
        <f>IF(OR(LEFT(K5430,4)="LVAX",LEFT(K5430,6)="MV15AX",LEFT(K5430,4)="CTAX",LEFT(K5430,2)="W|"),2*N5430*O5430,0)</f>
        <v/>
      </c>
      <c r="Z5430" s="12" t="inlineStr">
        <is>
          <t>VD 2.6 %</t>
        </is>
      </c>
      <c r="AA5430" s="12">
        <f>N5430*O5430</f>
        <v/>
      </c>
    </row>
    <row r="5431">
      <c r="A5431" s="12" t="inlineStr">
        <is>
          <t>I-P-0175</t>
        </is>
      </c>
      <c r="B5431" s="12" t="inlineStr">
        <is>
          <t>I</t>
        </is>
      </c>
      <c r="C5431" s="12" t="inlineStr">
        <is>
          <t>Modular / portable power</t>
        </is>
      </c>
      <c r="D5431" s="12" t="inlineStr">
        <is>
          <t>Motor 2 of 6, 22 kW</t>
        </is>
      </c>
      <c r="E5431" s="12" t="inlineStr"/>
      <c r="F5431" s="12" t="inlineStr">
        <is>
          <t>PCM: power control module</t>
        </is>
      </c>
      <c r="G5431" s="12" t="inlineStr">
        <is>
          <t>RICE-1</t>
        </is>
      </c>
      <c r="H5431" s="12" t="inlineStr">
        <is>
          <t>RICE engine-generator 1</t>
        </is>
      </c>
      <c r="I5431" s="12" t="inlineStr">
        <is>
          <t>LV 600 V</t>
        </is>
      </c>
      <c r="J5431" s="12" t="inlineStr">
        <is>
          <t>Type TC-ER 600 V 3/C Cu XHHW-2 + ground, PVC jacket</t>
        </is>
      </c>
      <c r="K5431" s="12" t="inlineStr">
        <is>
          <t>LV|3/C+G|4</t>
        </is>
      </c>
      <c r="L5431" s="12" t="inlineStr">
        <is>
          <t>3/C+G</t>
        </is>
      </c>
      <c r="M5431" s="12" t="inlineStr">
        <is>
          <t>4</t>
        </is>
      </c>
      <c r="N5431" s="12" t="n">
        <v>1</v>
      </c>
      <c r="O5431" s="12" t="n">
        <v>1</v>
      </c>
      <c r="P5431" s="12" t="n">
        <v>480</v>
      </c>
      <c r="Q5431" s="12" t="n">
        <v>22</v>
      </c>
      <c r="R5431" s="12" t="n">
        <v>31.1</v>
      </c>
      <c r="S5431" s="12" t="inlineStr">
        <is>
          <t>Duct bank</t>
        </is>
      </c>
      <c r="T5431" s="17" t="n">
        <v>550</v>
      </c>
      <c r="U5431" s="17" t="n">
        <v>137</v>
      </c>
      <c r="V5431" s="17">
        <f>ROUNDUP((T5431+U5431+2*'Read Me'!$B$13)*(1+'Read Me'!$B$12),-1)</f>
        <v/>
      </c>
      <c r="W5431" s="17">
        <f>V5431*N5431*O5431</f>
        <v/>
      </c>
      <c r="X5431" s="12">
        <f>IF(LEFT(I5431,2)="MV",2*N5431*IF(L5431="1/C",O5431,1),0)</f>
        <v/>
      </c>
      <c r="Y5431" s="12">
        <f>IF(OR(LEFT(K5431,4)="LVAX",LEFT(K5431,6)="MV15AX",LEFT(K5431,4)="CTAX",LEFT(K5431,2)="W|"),2*N5431*O5431,0)</f>
        <v/>
      </c>
      <c r="Z5431" s="12" t="inlineStr">
        <is>
          <t>VD 2.6 %</t>
        </is>
      </c>
      <c r="AA5431" s="12">
        <f>N5431*O5431</f>
        <v/>
      </c>
    </row>
    <row r="5432">
      <c r="A5432" s="12" t="inlineStr">
        <is>
          <t>I-P-0176</t>
        </is>
      </c>
      <c r="B5432" s="12" t="inlineStr">
        <is>
          <t>I</t>
        </is>
      </c>
      <c r="C5432" s="12" t="inlineStr">
        <is>
          <t>Modular / portable power</t>
        </is>
      </c>
      <c r="D5432" s="12" t="inlineStr">
        <is>
          <t>Motor 3 of 6, 22 kW</t>
        </is>
      </c>
      <c r="E5432" s="12" t="inlineStr"/>
      <c r="F5432" s="12" t="inlineStr">
        <is>
          <t>PCM: power control module</t>
        </is>
      </c>
      <c r="G5432" s="12" t="inlineStr">
        <is>
          <t>RICE-1</t>
        </is>
      </c>
      <c r="H5432" s="12" t="inlineStr">
        <is>
          <t>RICE engine-generator 1</t>
        </is>
      </c>
      <c r="I5432" s="12" t="inlineStr">
        <is>
          <t>LV 600 V</t>
        </is>
      </c>
      <c r="J5432" s="12" t="inlineStr">
        <is>
          <t>Type TC-ER 600 V 3/C Cu XHHW-2 + ground, PVC jacket</t>
        </is>
      </c>
      <c r="K5432" s="12" t="inlineStr">
        <is>
          <t>LV|3/C+G|4</t>
        </is>
      </c>
      <c r="L5432" s="12" t="inlineStr">
        <is>
          <t>3/C+G</t>
        </is>
      </c>
      <c r="M5432" s="12" t="inlineStr">
        <is>
          <t>4</t>
        </is>
      </c>
      <c r="N5432" s="12" t="n">
        <v>1</v>
      </c>
      <c r="O5432" s="12" t="n">
        <v>1</v>
      </c>
      <c r="P5432" s="12" t="n">
        <v>480</v>
      </c>
      <c r="Q5432" s="12" t="n">
        <v>22</v>
      </c>
      <c r="R5432" s="12" t="n">
        <v>31.1</v>
      </c>
      <c r="S5432" s="12" t="inlineStr">
        <is>
          <t>Duct bank</t>
        </is>
      </c>
      <c r="T5432" s="17" t="n">
        <v>550</v>
      </c>
      <c r="U5432" s="17" t="n">
        <v>137</v>
      </c>
      <c r="V5432" s="17">
        <f>ROUNDUP((T5432+U5432+2*'Read Me'!$B$13)*(1+'Read Me'!$B$12),-1)</f>
        <v/>
      </c>
      <c r="W5432" s="17">
        <f>V5432*N5432*O5432</f>
        <v/>
      </c>
      <c r="X5432" s="12">
        <f>IF(LEFT(I5432,2)="MV",2*N5432*IF(L5432="1/C",O5432,1),0)</f>
        <v/>
      </c>
      <c r="Y5432" s="12">
        <f>IF(OR(LEFT(K5432,4)="LVAX",LEFT(K5432,6)="MV15AX",LEFT(K5432,4)="CTAX",LEFT(K5432,2)="W|"),2*N5432*O5432,0)</f>
        <v/>
      </c>
      <c r="Z5432" s="12" t="inlineStr">
        <is>
          <t>VD 2.6 %</t>
        </is>
      </c>
      <c r="AA5432" s="12">
        <f>N5432*O5432</f>
        <v/>
      </c>
    </row>
    <row r="5433">
      <c r="A5433" s="12" t="inlineStr">
        <is>
          <t>I-P-0177</t>
        </is>
      </c>
      <c r="B5433" s="12" t="inlineStr">
        <is>
          <t>I</t>
        </is>
      </c>
      <c r="C5433" s="12" t="inlineStr">
        <is>
          <t>Modular / portable power</t>
        </is>
      </c>
      <c r="D5433" s="12" t="inlineStr">
        <is>
          <t>Motor 4 of 6, 22 kW</t>
        </is>
      </c>
      <c r="E5433" s="12" t="inlineStr"/>
      <c r="F5433" s="12" t="inlineStr">
        <is>
          <t>PCM: power control module</t>
        </is>
      </c>
      <c r="G5433" s="12" t="inlineStr">
        <is>
          <t>RICE-1</t>
        </is>
      </c>
      <c r="H5433" s="12" t="inlineStr">
        <is>
          <t>RICE engine-generator 1</t>
        </is>
      </c>
      <c r="I5433" s="12" t="inlineStr">
        <is>
          <t>LV 600 V</t>
        </is>
      </c>
      <c r="J5433" s="12" t="inlineStr">
        <is>
          <t>Type TC-ER 600 V 3/C Cu XHHW-2 + ground, PVC jacket</t>
        </is>
      </c>
      <c r="K5433" s="12" t="inlineStr">
        <is>
          <t>LV|3/C+G|4</t>
        </is>
      </c>
      <c r="L5433" s="12" t="inlineStr">
        <is>
          <t>3/C+G</t>
        </is>
      </c>
      <c r="M5433" s="12" t="inlineStr">
        <is>
          <t>4</t>
        </is>
      </c>
      <c r="N5433" s="12" t="n">
        <v>1</v>
      </c>
      <c r="O5433" s="12" t="n">
        <v>1</v>
      </c>
      <c r="P5433" s="12" t="n">
        <v>480</v>
      </c>
      <c r="Q5433" s="12" t="n">
        <v>22</v>
      </c>
      <c r="R5433" s="12" t="n">
        <v>31.1</v>
      </c>
      <c r="S5433" s="12" t="inlineStr">
        <is>
          <t>Duct bank</t>
        </is>
      </c>
      <c r="T5433" s="17" t="n">
        <v>550</v>
      </c>
      <c r="U5433" s="17" t="n">
        <v>137</v>
      </c>
      <c r="V5433" s="17">
        <f>ROUNDUP((T5433+U5433+2*'Read Me'!$B$13)*(1+'Read Me'!$B$12),-1)</f>
        <v/>
      </c>
      <c r="W5433" s="17">
        <f>V5433*N5433*O5433</f>
        <v/>
      </c>
      <c r="X5433" s="12">
        <f>IF(LEFT(I5433,2)="MV",2*N5433*IF(L5433="1/C",O5433,1),0)</f>
        <v/>
      </c>
      <c r="Y5433" s="12">
        <f>IF(OR(LEFT(K5433,4)="LVAX",LEFT(K5433,6)="MV15AX",LEFT(K5433,4)="CTAX",LEFT(K5433,2)="W|"),2*N5433*O5433,0)</f>
        <v/>
      </c>
      <c r="Z5433" s="12" t="inlineStr">
        <is>
          <t>VD 2.6 %</t>
        </is>
      </c>
      <c r="AA5433" s="12">
        <f>N5433*O5433</f>
        <v/>
      </c>
    </row>
    <row r="5434">
      <c r="A5434" s="12" t="inlineStr">
        <is>
          <t>I-P-0178</t>
        </is>
      </c>
      <c r="B5434" s="12" t="inlineStr">
        <is>
          <t>I</t>
        </is>
      </c>
      <c r="C5434" s="12" t="inlineStr">
        <is>
          <t>Modular / portable power</t>
        </is>
      </c>
      <c r="D5434" s="12" t="inlineStr">
        <is>
          <t>Motor 5 of 6, 22 kW</t>
        </is>
      </c>
      <c r="E5434" s="12" t="inlineStr"/>
      <c r="F5434" s="12" t="inlineStr">
        <is>
          <t>PCM: power control module</t>
        </is>
      </c>
      <c r="G5434" s="12" t="inlineStr">
        <is>
          <t>RICE-1</t>
        </is>
      </c>
      <c r="H5434" s="12" t="inlineStr">
        <is>
          <t>RICE engine-generator 1</t>
        </is>
      </c>
      <c r="I5434" s="12" t="inlineStr">
        <is>
          <t>LV 600 V</t>
        </is>
      </c>
      <c r="J5434" s="12" t="inlineStr">
        <is>
          <t>Type TC-ER 600 V 3/C Cu XHHW-2 + ground, PVC jacket</t>
        </is>
      </c>
      <c r="K5434" s="12" t="inlineStr">
        <is>
          <t>LV|3/C+G|4</t>
        </is>
      </c>
      <c r="L5434" s="12" t="inlineStr">
        <is>
          <t>3/C+G</t>
        </is>
      </c>
      <c r="M5434" s="12" t="inlineStr">
        <is>
          <t>4</t>
        </is>
      </c>
      <c r="N5434" s="12" t="n">
        <v>1</v>
      </c>
      <c r="O5434" s="12" t="n">
        <v>1</v>
      </c>
      <c r="P5434" s="12" t="n">
        <v>480</v>
      </c>
      <c r="Q5434" s="12" t="n">
        <v>22</v>
      </c>
      <c r="R5434" s="12" t="n">
        <v>31.1</v>
      </c>
      <c r="S5434" s="12" t="inlineStr">
        <is>
          <t>Duct bank</t>
        </is>
      </c>
      <c r="T5434" s="17" t="n">
        <v>550</v>
      </c>
      <c r="U5434" s="17" t="n">
        <v>137</v>
      </c>
      <c r="V5434" s="17">
        <f>ROUNDUP((T5434+U5434+2*'Read Me'!$B$13)*(1+'Read Me'!$B$12),-1)</f>
        <v/>
      </c>
      <c r="W5434" s="17">
        <f>V5434*N5434*O5434</f>
        <v/>
      </c>
      <c r="X5434" s="12">
        <f>IF(LEFT(I5434,2)="MV",2*N5434*IF(L5434="1/C",O5434,1),0)</f>
        <v/>
      </c>
      <c r="Y5434" s="12">
        <f>IF(OR(LEFT(K5434,4)="LVAX",LEFT(K5434,6)="MV15AX",LEFT(K5434,4)="CTAX",LEFT(K5434,2)="W|"),2*N5434*O5434,0)</f>
        <v/>
      </c>
      <c r="Z5434" s="12" t="inlineStr">
        <is>
          <t>VD 2.6 %</t>
        </is>
      </c>
      <c r="AA5434" s="12">
        <f>N5434*O5434</f>
        <v/>
      </c>
    </row>
    <row r="5435">
      <c r="A5435" s="12" t="inlineStr">
        <is>
          <t>I-P-0179</t>
        </is>
      </c>
      <c r="B5435" s="12" t="inlineStr">
        <is>
          <t>I</t>
        </is>
      </c>
      <c r="C5435" s="12" t="inlineStr">
        <is>
          <t>Modular / portable power</t>
        </is>
      </c>
      <c r="D5435" s="12" t="inlineStr">
        <is>
          <t>Motor 6 of 6, 22 kW</t>
        </is>
      </c>
      <c r="E5435" s="12" t="inlineStr"/>
      <c r="F5435" s="12" t="inlineStr">
        <is>
          <t>PCM: power control module</t>
        </is>
      </c>
      <c r="G5435" s="12" t="inlineStr">
        <is>
          <t>RICE-1</t>
        </is>
      </c>
      <c r="H5435" s="12" t="inlineStr">
        <is>
          <t>RICE engine-generator 1</t>
        </is>
      </c>
      <c r="I5435" s="12" t="inlineStr">
        <is>
          <t>LV 600 V</t>
        </is>
      </c>
      <c r="J5435" s="12" t="inlineStr">
        <is>
          <t>Type TC-ER 600 V 3/C Cu XHHW-2 + ground, PVC jacket</t>
        </is>
      </c>
      <c r="K5435" s="12" t="inlineStr">
        <is>
          <t>LV|3/C+G|4</t>
        </is>
      </c>
      <c r="L5435" s="12" t="inlineStr">
        <is>
          <t>3/C+G</t>
        </is>
      </c>
      <c r="M5435" s="12" t="inlineStr">
        <is>
          <t>4</t>
        </is>
      </c>
      <c r="N5435" s="12" t="n">
        <v>1</v>
      </c>
      <c r="O5435" s="12" t="n">
        <v>1</v>
      </c>
      <c r="P5435" s="12" t="n">
        <v>480</v>
      </c>
      <c r="Q5435" s="12" t="n">
        <v>22</v>
      </c>
      <c r="R5435" s="12" t="n">
        <v>31.1</v>
      </c>
      <c r="S5435" s="12" t="inlineStr">
        <is>
          <t>Duct bank</t>
        </is>
      </c>
      <c r="T5435" s="17" t="n">
        <v>550</v>
      </c>
      <c r="U5435" s="17" t="n">
        <v>137</v>
      </c>
      <c r="V5435" s="17">
        <f>ROUNDUP((T5435+U5435+2*'Read Me'!$B$13)*(1+'Read Me'!$B$12),-1)</f>
        <v/>
      </c>
      <c r="W5435" s="17">
        <f>V5435*N5435*O5435</f>
        <v/>
      </c>
      <c r="X5435" s="12">
        <f>IF(LEFT(I5435,2)="MV",2*N5435*IF(L5435="1/C",O5435,1),0)</f>
        <v/>
      </c>
      <c r="Y5435" s="12">
        <f>IF(OR(LEFT(K5435,4)="LVAX",LEFT(K5435,6)="MV15AX",LEFT(K5435,4)="CTAX",LEFT(K5435,2)="W|"),2*N5435*O5435,0)</f>
        <v/>
      </c>
      <c r="Z5435" s="12" t="inlineStr">
        <is>
          <t>VD 2.6 %</t>
        </is>
      </c>
      <c r="AA5435" s="12">
        <f>N5435*O5435</f>
        <v/>
      </c>
    </row>
    <row r="5436">
      <c r="A5436" s="12" t="inlineStr">
        <is>
          <t>I-P-0180</t>
        </is>
      </c>
      <c r="B5436" s="12" t="inlineStr">
        <is>
          <t>I</t>
        </is>
      </c>
      <c r="C5436" s="12" t="inlineStr">
        <is>
          <t>Modular / portable power</t>
        </is>
      </c>
      <c r="D5436" s="12" t="inlineStr">
        <is>
          <t>480 V welding receptacle 1</t>
        </is>
      </c>
      <c r="E5436" s="12" t="inlineStr"/>
      <c r="F5436" s="12" t="inlineStr">
        <is>
          <t>PCM: power control module</t>
        </is>
      </c>
      <c r="G5436" s="12" t="inlineStr">
        <is>
          <t>RICE-1</t>
        </is>
      </c>
      <c r="H5436" s="12" t="inlineStr">
        <is>
          <t>RICE engine-generator 1</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60</v>
      </c>
      <c r="R5436" s="12" t="n">
        <v>76</v>
      </c>
      <c r="S5436" s="12" t="inlineStr">
        <is>
          <t>Duct bank</t>
        </is>
      </c>
      <c r="T5436" s="17" t="n">
        <v>550</v>
      </c>
      <c r="U5436" s="17" t="n">
        <v>137</v>
      </c>
      <c r="V5436" s="17">
        <f>ROUNDUP((T5436+U5436+2*'Read Me'!$B$13)*(1+'Read Me'!$B$12),-1)</f>
        <v/>
      </c>
      <c r="W5436" s="17">
        <f>V5436*N5436*O5436</f>
        <v/>
      </c>
      <c r="X5436" s="12">
        <f>IF(LEFT(I5436,2)="MV",2*N5436*IF(L5436="1/C",O5436,1),0)</f>
        <v/>
      </c>
      <c r="Y5436" s="12">
        <f>IF(OR(LEFT(K5436,4)="LVAX",LEFT(K5436,6)="MV15AX",LEFT(K5436,4)="CTAX",LEFT(K5436,2)="W|"),2*N5436*O5436,0)</f>
        <v/>
      </c>
      <c r="Z5436" s="12" t="inlineStr">
        <is>
          <t>VD 2.5 %</t>
        </is>
      </c>
      <c r="AA5436" s="12">
        <f>N5436*O5436</f>
        <v/>
      </c>
    </row>
    <row r="5437">
      <c r="A5437" s="12" t="inlineStr">
        <is>
          <t>I-P-0181</t>
        </is>
      </c>
      <c r="B5437" s="12" t="inlineStr">
        <is>
          <t>I</t>
        </is>
      </c>
      <c r="C5437" s="12" t="inlineStr">
        <is>
          <t>Modular / portable power</t>
        </is>
      </c>
      <c r="D5437" s="12" t="inlineStr">
        <is>
          <t>480 V welding receptacle 2</t>
        </is>
      </c>
      <c r="E5437" s="12" t="inlineStr"/>
      <c r="F5437" s="12" t="inlineStr">
        <is>
          <t>PCM: power control module</t>
        </is>
      </c>
      <c r="G5437" s="12" t="inlineStr">
        <is>
          <t>RICE-1</t>
        </is>
      </c>
      <c r="H5437" s="12" t="inlineStr">
        <is>
          <t>RICE engine-generator 1</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60</v>
      </c>
      <c r="R5437" s="12" t="n">
        <v>76</v>
      </c>
      <c r="S5437" s="12" t="inlineStr">
        <is>
          <t>Duct bank</t>
        </is>
      </c>
      <c r="T5437" s="17" t="n">
        <v>550</v>
      </c>
      <c r="U5437" s="17" t="n">
        <v>137</v>
      </c>
      <c r="V5437" s="17">
        <f>ROUNDUP((T5437+U5437+2*'Read Me'!$B$13)*(1+'Read Me'!$B$12),-1)</f>
        <v/>
      </c>
      <c r="W5437" s="17">
        <f>V5437*N5437*O5437</f>
        <v/>
      </c>
      <c r="X5437" s="12">
        <f>IF(LEFT(I5437,2)="MV",2*N5437*IF(L5437="1/C",O5437,1),0)</f>
        <v/>
      </c>
      <c r="Y5437" s="12">
        <f>IF(OR(LEFT(K5437,4)="LVAX",LEFT(K5437,6)="MV15AX",LEFT(K5437,4)="CTAX",LEFT(K5437,2)="W|"),2*N5437*O5437,0)</f>
        <v/>
      </c>
      <c r="Z5437" s="12" t="inlineStr">
        <is>
          <t>VD 2.5 %</t>
        </is>
      </c>
      <c r="AA5437" s="12">
        <f>N5437*O5437</f>
        <v/>
      </c>
    </row>
    <row r="5438">
      <c r="A5438" s="12" t="inlineStr">
        <is>
          <t>I-P-0182</t>
        </is>
      </c>
      <c r="B5438" s="12" t="inlineStr">
        <is>
          <t>I</t>
        </is>
      </c>
      <c r="C5438" s="12" t="inlineStr">
        <is>
          <t>Modular / portable power</t>
        </is>
      </c>
      <c r="D5438" s="12" t="inlineStr">
        <is>
          <t>480 V welding receptacle 3</t>
        </is>
      </c>
      <c r="E5438" s="12" t="inlineStr"/>
      <c r="F5438" s="12" t="inlineStr">
        <is>
          <t>PCM: power control module</t>
        </is>
      </c>
      <c r="G5438" s="12" t="inlineStr">
        <is>
          <t>RICE-1</t>
        </is>
      </c>
      <c r="H5438" s="12" t="inlineStr">
        <is>
          <t>RICE engine-generator 1</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60</v>
      </c>
      <c r="R5438" s="12" t="n">
        <v>76</v>
      </c>
      <c r="S5438" s="12" t="inlineStr">
        <is>
          <t>Duct bank</t>
        </is>
      </c>
      <c r="T5438" s="17" t="n">
        <v>550</v>
      </c>
      <c r="U5438" s="17" t="n">
        <v>137</v>
      </c>
      <c r="V5438" s="17">
        <f>ROUNDUP((T5438+U5438+2*'Read Me'!$B$13)*(1+'Read Me'!$B$12),-1)</f>
        <v/>
      </c>
      <c r="W5438" s="17">
        <f>V5438*N5438*O5438</f>
        <v/>
      </c>
      <c r="X5438" s="12">
        <f>IF(LEFT(I5438,2)="MV",2*N5438*IF(L5438="1/C",O5438,1),0)</f>
        <v/>
      </c>
      <c r="Y5438" s="12">
        <f>IF(OR(LEFT(K5438,4)="LVAX",LEFT(K5438,6)="MV15AX",LEFT(K5438,4)="CTAX",LEFT(K5438,2)="W|"),2*N5438*O5438,0)</f>
        <v/>
      </c>
      <c r="Z5438" s="12" t="inlineStr">
        <is>
          <t>VD 2.5 %</t>
        </is>
      </c>
      <c r="AA5438" s="12">
        <f>N5438*O5438</f>
        <v/>
      </c>
    </row>
    <row r="5439">
      <c r="A5439" s="12" t="inlineStr">
        <is>
          <t>I-P-0183</t>
        </is>
      </c>
      <c r="B5439" s="12" t="inlineStr">
        <is>
          <t>I</t>
        </is>
      </c>
      <c r="C5439" s="12" t="inlineStr">
        <is>
          <t>Modular / portable power</t>
        </is>
      </c>
      <c r="D5439" s="12" t="inlineStr">
        <is>
          <t>480 V welding receptacle 4</t>
        </is>
      </c>
      <c r="E5439" s="12" t="inlineStr"/>
      <c r="F5439" s="12" t="inlineStr">
        <is>
          <t>PCM: power control module</t>
        </is>
      </c>
      <c r="G5439" s="12" t="inlineStr">
        <is>
          <t>RICE-1</t>
        </is>
      </c>
      <c r="H5439" s="12" t="inlineStr">
        <is>
          <t>RICE engine-generator 1</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60</v>
      </c>
      <c r="R5439" s="12" t="n">
        <v>76</v>
      </c>
      <c r="S5439" s="12" t="inlineStr">
        <is>
          <t>Duct bank</t>
        </is>
      </c>
      <c r="T5439" s="17" t="n">
        <v>550</v>
      </c>
      <c r="U5439" s="17" t="n">
        <v>137</v>
      </c>
      <c r="V5439" s="17">
        <f>ROUNDUP((T5439+U5439+2*'Read Me'!$B$13)*(1+'Read Me'!$B$12),-1)</f>
        <v/>
      </c>
      <c r="W5439" s="17">
        <f>V5439*N5439*O5439</f>
        <v/>
      </c>
      <c r="X5439" s="12">
        <f>IF(LEFT(I5439,2)="MV",2*N5439*IF(L5439="1/C",O5439,1),0)</f>
        <v/>
      </c>
      <c r="Y5439" s="12">
        <f>IF(OR(LEFT(K5439,4)="LVAX",LEFT(K5439,6)="MV15AX",LEFT(K5439,4)="CTAX",LEFT(K5439,2)="W|"),2*N5439*O5439,0)</f>
        <v/>
      </c>
      <c r="Z5439" s="12" t="inlineStr">
        <is>
          <t>VD 2.5 %</t>
        </is>
      </c>
      <c r="AA5439" s="12">
        <f>N5439*O5439</f>
        <v/>
      </c>
    </row>
    <row r="5440">
      <c r="A5440" s="12" t="inlineStr">
        <is>
          <t>I-P-0184</t>
        </is>
      </c>
      <c r="B5440" s="12" t="inlineStr">
        <is>
          <t>I</t>
        </is>
      </c>
      <c r="C5440" s="12" t="inlineStr">
        <is>
          <t>Modular / portable power</t>
        </is>
      </c>
      <c r="D5440" s="12" t="inlineStr">
        <is>
          <t>Motor 1 of 6, 22 kW</t>
        </is>
      </c>
      <c r="E5440" s="12" t="inlineStr"/>
      <c r="F5440" s="12" t="inlineStr">
        <is>
          <t>PCM: power control module</t>
        </is>
      </c>
      <c r="G5440" s="12" t="inlineStr">
        <is>
          <t>RICE-2</t>
        </is>
      </c>
      <c r="H5440" s="12" t="inlineStr">
        <is>
          <t>RICE engine-generator 2</t>
        </is>
      </c>
      <c r="I5440" s="12" t="inlineStr">
        <is>
          <t>LV 600 V</t>
        </is>
      </c>
      <c r="J5440" s="12" t="inlineStr">
        <is>
          <t>Type TC-ER 600 V 3/C Cu XHHW-2 + ground, PVC jacket</t>
        </is>
      </c>
      <c r="K5440" s="12" t="inlineStr">
        <is>
          <t>LV|3/C+G|4</t>
        </is>
      </c>
      <c r="L5440" s="12" t="inlineStr">
        <is>
          <t>3/C+G</t>
        </is>
      </c>
      <c r="M5440" s="12" t="inlineStr">
        <is>
          <t>4</t>
        </is>
      </c>
      <c r="N5440" s="12" t="n">
        <v>1</v>
      </c>
      <c r="O5440" s="12" t="n">
        <v>1</v>
      </c>
      <c r="P5440" s="12" t="n">
        <v>480</v>
      </c>
      <c r="Q5440" s="12" t="n">
        <v>22</v>
      </c>
      <c r="R5440" s="12" t="n">
        <v>31.1</v>
      </c>
      <c r="S5440" s="12" t="inlineStr">
        <is>
          <t>Duct bank</t>
        </is>
      </c>
      <c r="T5440" s="17" t="n">
        <v>550</v>
      </c>
      <c r="U5440" s="17" t="n">
        <v>109</v>
      </c>
      <c r="V5440" s="17">
        <f>ROUNDUP((T5440+U5440+2*'Read Me'!$B$13)*(1+'Read Me'!$B$12),-1)</f>
        <v/>
      </c>
      <c r="W5440" s="17">
        <f>V5440*N5440*O5440</f>
        <v/>
      </c>
      <c r="X5440" s="12">
        <f>IF(LEFT(I5440,2)="MV",2*N5440*IF(L5440="1/C",O5440,1),0)</f>
        <v/>
      </c>
      <c r="Y5440" s="12">
        <f>IF(OR(LEFT(K5440,4)="LVAX",LEFT(K5440,6)="MV15AX",LEFT(K5440,4)="CTAX",LEFT(K5440,2)="W|"),2*N5440*O5440,0)</f>
        <v/>
      </c>
      <c r="Z5440" s="12" t="inlineStr">
        <is>
          <t>VD 2.5 %</t>
        </is>
      </c>
      <c r="AA5440" s="12">
        <f>N5440*O5440</f>
        <v/>
      </c>
    </row>
    <row r="5441">
      <c r="A5441" s="12" t="inlineStr">
        <is>
          <t>I-P-0185</t>
        </is>
      </c>
      <c r="B5441" s="12" t="inlineStr">
        <is>
          <t>I</t>
        </is>
      </c>
      <c r="C5441" s="12" t="inlineStr">
        <is>
          <t>Modular / portable power</t>
        </is>
      </c>
      <c r="D5441" s="12" t="inlineStr">
        <is>
          <t>Motor 2 of 6, 22 kW</t>
        </is>
      </c>
      <c r="E5441" s="12" t="inlineStr"/>
      <c r="F5441" s="12" t="inlineStr">
        <is>
          <t>PCM: power control module</t>
        </is>
      </c>
      <c r="G5441" s="12" t="inlineStr">
        <is>
          <t>RICE-2</t>
        </is>
      </c>
      <c r="H5441" s="12" t="inlineStr">
        <is>
          <t>RICE engine-generator 2</t>
        </is>
      </c>
      <c r="I5441" s="12" t="inlineStr">
        <is>
          <t>LV 600 V</t>
        </is>
      </c>
      <c r="J5441" s="12" t="inlineStr">
        <is>
          <t>Type TC-ER 600 V 3/C Cu XHHW-2 + ground, PVC jacket</t>
        </is>
      </c>
      <c r="K5441" s="12" t="inlineStr">
        <is>
          <t>LV|3/C+G|4</t>
        </is>
      </c>
      <c r="L5441" s="12" t="inlineStr">
        <is>
          <t>3/C+G</t>
        </is>
      </c>
      <c r="M5441" s="12" t="inlineStr">
        <is>
          <t>4</t>
        </is>
      </c>
      <c r="N5441" s="12" t="n">
        <v>1</v>
      </c>
      <c r="O5441" s="12" t="n">
        <v>1</v>
      </c>
      <c r="P5441" s="12" t="n">
        <v>480</v>
      </c>
      <c r="Q5441" s="12" t="n">
        <v>22</v>
      </c>
      <c r="R5441" s="12" t="n">
        <v>31.1</v>
      </c>
      <c r="S5441" s="12" t="inlineStr">
        <is>
          <t>Duct bank</t>
        </is>
      </c>
      <c r="T5441" s="17" t="n">
        <v>550</v>
      </c>
      <c r="U5441" s="17" t="n">
        <v>109</v>
      </c>
      <c r="V5441" s="17">
        <f>ROUNDUP((T5441+U5441+2*'Read Me'!$B$13)*(1+'Read Me'!$B$12),-1)</f>
        <v/>
      </c>
      <c r="W5441" s="17">
        <f>V5441*N5441*O5441</f>
        <v/>
      </c>
      <c r="X5441" s="12">
        <f>IF(LEFT(I5441,2)="MV",2*N5441*IF(L5441="1/C",O5441,1),0)</f>
        <v/>
      </c>
      <c r="Y5441" s="12">
        <f>IF(OR(LEFT(K5441,4)="LVAX",LEFT(K5441,6)="MV15AX",LEFT(K5441,4)="CTAX",LEFT(K5441,2)="W|"),2*N5441*O5441,0)</f>
        <v/>
      </c>
      <c r="Z5441" s="12" t="inlineStr">
        <is>
          <t>VD 2.5 %</t>
        </is>
      </c>
      <c r="AA5441" s="12">
        <f>N5441*O5441</f>
        <v/>
      </c>
    </row>
    <row r="5442">
      <c r="A5442" s="12" t="inlineStr">
        <is>
          <t>I-P-0186</t>
        </is>
      </c>
      <c r="B5442" s="12" t="inlineStr">
        <is>
          <t>I</t>
        </is>
      </c>
      <c r="C5442" s="12" t="inlineStr">
        <is>
          <t>Modular / portable power</t>
        </is>
      </c>
      <c r="D5442" s="12" t="inlineStr">
        <is>
          <t>Motor 3 of 6, 22 kW</t>
        </is>
      </c>
      <c r="E5442" s="12" t="inlineStr"/>
      <c r="F5442" s="12" t="inlineStr">
        <is>
          <t>PCM: power control module</t>
        </is>
      </c>
      <c r="G5442" s="12" t="inlineStr">
        <is>
          <t>RICE-2</t>
        </is>
      </c>
      <c r="H5442" s="12" t="inlineStr">
        <is>
          <t>RICE engine-generator 2</t>
        </is>
      </c>
      <c r="I5442" s="12" t="inlineStr">
        <is>
          <t>LV 600 V</t>
        </is>
      </c>
      <c r="J5442" s="12" t="inlineStr">
        <is>
          <t>Type TC-ER 600 V 3/C Cu XHHW-2 + ground, PVC jacket</t>
        </is>
      </c>
      <c r="K5442" s="12" t="inlineStr">
        <is>
          <t>LV|3/C+G|4</t>
        </is>
      </c>
      <c r="L5442" s="12" t="inlineStr">
        <is>
          <t>3/C+G</t>
        </is>
      </c>
      <c r="M5442" s="12" t="inlineStr">
        <is>
          <t>4</t>
        </is>
      </c>
      <c r="N5442" s="12" t="n">
        <v>1</v>
      </c>
      <c r="O5442" s="12" t="n">
        <v>1</v>
      </c>
      <c r="P5442" s="12" t="n">
        <v>480</v>
      </c>
      <c r="Q5442" s="12" t="n">
        <v>22</v>
      </c>
      <c r="R5442" s="12" t="n">
        <v>31.1</v>
      </c>
      <c r="S5442" s="12" t="inlineStr">
        <is>
          <t>Duct bank</t>
        </is>
      </c>
      <c r="T5442" s="17" t="n">
        <v>550</v>
      </c>
      <c r="U5442" s="17" t="n">
        <v>109</v>
      </c>
      <c r="V5442" s="17">
        <f>ROUNDUP((T5442+U5442+2*'Read Me'!$B$13)*(1+'Read Me'!$B$12),-1)</f>
        <v/>
      </c>
      <c r="W5442" s="17">
        <f>V5442*N5442*O5442</f>
        <v/>
      </c>
      <c r="X5442" s="12">
        <f>IF(LEFT(I5442,2)="MV",2*N5442*IF(L5442="1/C",O5442,1),0)</f>
        <v/>
      </c>
      <c r="Y5442" s="12">
        <f>IF(OR(LEFT(K5442,4)="LVAX",LEFT(K5442,6)="MV15AX",LEFT(K5442,4)="CTAX",LEFT(K5442,2)="W|"),2*N5442*O5442,0)</f>
        <v/>
      </c>
      <c r="Z5442" s="12" t="inlineStr">
        <is>
          <t>VD 2.5 %</t>
        </is>
      </c>
      <c r="AA5442" s="12">
        <f>N5442*O5442</f>
        <v/>
      </c>
    </row>
    <row r="5443">
      <c r="A5443" s="12" t="inlineStr">
        <is>
          <t>I-P-0187</t>
        </is>
      </c>
      <c r="B5443" s="12" t="inlineStr">
        <is>
          <t>I</t>
        </is>
      </c>
      <c r="C5443" s="12" t="inlineStr">
        <is>
          <t>Modular / portable power</t>
        </is>
      </c>
      <c r="D5443" s="12" t="inlineStr">
        <is>
          <t>Motor 4 of 6, 22 kW</t>
        </is>
      </c>
      <c r="E5443" s="12" t="inlineStr"/>
      <c r="F5443" s="12" t="inlineStr">
        <is>
          <t>PCM: power control module</t>
        </is>
      </c>
      <c r="G5443" s="12" t="inlineStr">
        <is>
          <t>RICE-2</t>
        </is>
      </c>
      <c r="H5443" s="12" t="inlineStr">
        <is>
          <t>RICE engine-generator 2</t>
        </is>
      </c>
      <c r="I5443" s="12" t="inlineStr">
        <is>
          <t>LV 600 V</t>
        </is>
      </c>
      <c r="J5443" s="12" t="inlineStr">
        <is>
          <t>Type TC-ER 600 V 3/C Cu XHHW-2 + ground, PVC jacket</t>
        </is>
      </c>
      <c r="K5443" s="12" t="inlineStr">
        <is>
          <t>LV|3/C+G|4</t>
        </is>
      </c>
      <c r="L5443" s="12" t="inlineStr">
        <is>
          <t>3/C+G</t>
        </is>
      </c>
      <c r="M5443" s="12" t="inlineStr">
        <is>
          <t>4</t>
        </is>
      </c>
      <c r="N5443" s="12" t="n">
        <v>1</v>
      </c>
      <c r="O5443" s="12" t="n">
        <v>1</v>
      </c>
      <c r="P5443" s="12" t="n">
        <v>480</v>
      </c>
      <c r="Q5443" s="12" t="n">
        <v>22</v>
      </c>
      <c r="R5443" s="12" t="n">
        <v>31.1</v>
      </c>
      <c r="S5443" s="12" t="inlineStr">
        <is>
          <t>Duct bank</t>
        </is>
      </c>
      <c r="T5443" s="17" t="n">
        <v>550</v>
      </c>
      <c r="U5443" s="17" t="n">
        <v>109</v>
      </c>
      <c r="V5443" s="17">
        <f>ROUNDUP((T5443+U5443+2*'Read Me'!$B$13)*(1+'Read Me'!$B$12),-1)</f>
        <v/>
      </c>
      <c r="W5443" s="17">
        <f>V5443*N5443*O5443</f>
        <v/>
      </c>
      <c r="X5443" s="12">
        <f>IF(LEFT(I5443,2)="MV",2*N5443*IF(L5443="1/C",O5443,1),0)</f>
        <v/>
      </c>
      <c r="Y5443" s="12">
        <f>IF(OR(LEFT(K5443,4)="LVAX",LEFT(K5443,6)="MV15AX",LEFT(K5443,4)="CTAX",LEFT(K5443,2)="W|"),2*N5443*O5443,0)</f>
        <v/>
      </c>
      <c r="Z5443" s="12" t="inlineStr">
        <is>
          <t>VD 2.5 %</t>
        </is>
      </c>
      <c r="AA5443" s="12">
        <f>N5443*O5443</f>
        <v/>
      </c>
    </row>
    <row r="5444">
      <c r="A5444" s="12" t="inlineStr">
        <is>
          <t>I-P-0188</t>
        </is>
      </c>
      <c r="B5444" s="12" t="inlineStr">
        <is>
          <t>I</t>
        </is>
      </c>
      <c r="C5444" s="12" t="inlineStr">
        <is>
          <t>Modular / portable power</t>
        </is>
      </c>
      <c r="D5444" s="12" t="inlineStr">
        <is>
          <t>Motor 5 of 6, 22 kW</t>
        </is>
      </c>
      <c r="E5444" s="12" t="inlineStr"/>
      <c r="F5444" s="12" t="inlineStr">
        <is>
          <t>PCM: power control module</t>
        </is>
      </c>
      <c r="G5444" s="12" t="inlineStr">
        <is>
          <t>RICE-2</t>
        </is>
      </c>
      <c r="H5444" s="12" t="inlineStr">
        <is>
          <t>RICE engine-generator 2</t>
        </is>
      </c>
      <c r="I5444" s="12" t="inlineStr">
        <is>
          <t>LV 600 V</t>
        </is>
      </c>
      <c r="J5444" s="12" t="inlineStr">
        <is>
          <t>Type TC-ER 600 V 3/C Cu XHHW-2 + ground, PVC jacket</t>
        </is>
      </c>
      <c r="K5444" s="12" t="inlineStr">
        <is>
          <t>LV|3/C+G|4</t>
        </is>
      </c>
      <c r="L5444" s="12" t="inlineStr">
        <is>
          <t>3/C+G</t>
        </is>
      </c>
      <c r="M5444" s="12" t="inlineStr">
        <is>
          <t>4</t>
        </is>
      </c>
      <c r="N5444" s="12" t="n">
        <v>1</v>
      </c>
      <c r="O5444" s="12" t="n">
        <v>1</v>
      </c>
      <c r="P5444" s="12" t="n">
        <v>480</v>
      </c>
      <c r="Q5444" s="12" t="n">
        <v>22</v>
      </c>
      <c r="R5444" s="12" t="n">
        <v>31.1</v>
      </c>
      <c r="S5444" s="12" t="inlineStr">
        <is>
          <t>Duct bank</t>
        </is>
      </c>
      <c r="T5444" s="17" t="n">
        <v>550</v>
      </c>
      <c r="U5444" s="17" t="n">
        <v>109</v>
      </c>
      <c r="V5444" s="17">
        <f>ROUNDUP((T5444+U5444+2*'Read Me'!$B$13)*(1+'Read Me'!$B$12),-1)</f>
        <v/>
      </c>
      <c r="W5444" s="17">
        <f>V5444*N5444*O5444</f>
        <v/>
      </c>
      <c r="X5444" s="12">
        <f>IF(LEFT(I5444,2)="MV",2*N5444*IF(L5444="1/C",O5444,1),0)</f>
        <v/>
      </c>
      <c r="Y5444" s="12">
        <f>IF(OR(LEFT(K5444,4)="LVAX",LEFT(K5444,6)="MV15AX",LEFT(K5444,4)="CTAX",LEFT(K5444,2)="W|"),2*N5444*O5444,0)</f>
        <v/>
      </c>
      <c r="Z5444" s="12" t="inlineStr">
        <is>
          <t>VD 2.5 %</t>
        </is>
      </c>
      <c r="AA5444" s="12">
        <f>N5444*O5444</f>
        <v/>
      </c>
    </row>
    <row r="5445">
      <c r="A5445" s="12" t="inlineStr">
        <is>
          <t>I-P-0189</t>
        </is>
      </c>
      <c r="B5445" s="12" t="inlineStr">
        <is>
          <t>I</t>
        </is>
      </c>
      <c r="C5445" s="12" t="inlineStr">
        <is>
          <t>Modular / portable power</t>
        </is>
      </c>
      <c r="D5445" s="12" t="inlineStr">
        <is>
          <t>Motor 6 of 6, 22 kW</t>
        </is>
      </c>
      <c r="E5445" s="12" t="inlineStr"/>
      <c r="F5445" s="12" t="inlineStr">
        <is>
          <t>PCM: power control module</t>
        </is>
      </c>
      <c r="G5445" s="12" t="inlineStr">
        <is>
          <t>RICE-2</t>
        </is>
      </c>
      <c r="H5445" s="12" t="inlineStr">
        <is>
          <t>RICE engine-generator 2</t>
        </is>
      </c>
      <c r="I5445" s="12" t="inlineStr">
        <is>
          <t>LV 600 V</t>
        </is>
      </c>
      <c r="J5445" s="12" t="inlineStr">
        <is>
          <t>Type TC-ER 600 V 3/C Cu XHHW-2 + ground, PVC jacket</t>
        </is>
      </c>
      <c r="K5445" s="12" t="inlineStr">
        <is>
          <t>LV|3/C+G|4</t>
        </is>
      </c>
      <c r="L5445" s="12" t="inlineStr">
        <is>
          <t>3/C+G</t>
        </is>
      </c>
      <c r="M5445" s="12" t="inlineStr">
        <is>
          <t>4</t>
        </is>
      </c>
      <c r="N5445" s="12" t="n">
        <v>1</v>
      </c>
      <c r="O5445" s="12" t="n">
        <v>1</v>
      </c>
      <c r="P5445" s="12" t="n">
        <v>480</v>
      </c>
      <c r="Q5445" s="12" t="n">
        <v>22</v>
      </c>
      <c r="R5445" s="12" t="n">
        <v>31.1</v>
      </c>
      <c r="S5445" s="12" t="inlineStr">
        <is>
          <t>Duct bank</t>
        </is>
      </c>
      <c r="T5445" s="17" t="n">
        <v>550</v>
      </c>
      <c r="U5445" s="17" t="n">
        <v>109</v>
      </c>
      <c r="V5445" s="17">
        <f>ROUNDUP((T5445+U5445+2*'Read Me'!$B$13)*(1+'Read Me'!$B$12),-1)</f>
        <v/>
      </c>
      <c r="W5445" s="17">
        <f>V5445*N5445*O5445</f>
        <v/>
      </c>
      <c r="X5445" s="12">
        <f>IF(LEFT(I5445,2)="MV",2*N5445*IF(L5445="1/C",O5445,1),0)</f>
        <v/>
      </c>
      <c r="Y5445" s="12">
        <f>IF(OR(LEFT(K5445,4)="LVAX",LEFT(K5445,6)="MV15AX",LEFT(K5445,4)="CTAX",LEFT(K5445,2)="W|"),2*N5445*O5445,0)</f>
        <v/>
      </c>
      <c r="Z5445" s="12" t="inlineStr">
        <is>
          <t>VD 2.5 %</t>
        </is>
      </c>
      <c r="AA5445" s="12">
        <f>N5445*O5445</f>
        <v/>
      </c>
    </row>
    <row r="5446">
      <c r="A5446" s="12" t="inlineStr">
        <is>
          <t>I-P-0190</t>
        </is>
      </c>
      <c r="B5446" s="12" t="inlineStr">
        <is>
          <t>I</t>
        </is>
      </c>
      <c r="C5446" s="12" t="inlineStr">
        <is>
          <t>Modular / portable power</t>
        </is>
      </c>
      <c r="D5446" s="12" t="inlineStr">
        <is>
          <t>480 V welding receptacle 1</t>
        </is>
      </c>
      <c r="E5446" s="12" t="inlineStr"/>
      <c r="F5446" s="12" t="inlineStr">
        <is>
          <t>PCM: power control module</t>
        </is>
      </c>
      <c r="G5446" s="12" t="inlineStr">
        <is>
          <t>RICE-2</t>
        </is>
      </c>
      <c r="H5446" s="12" t="inlineStr">
        <is>
          <t>RICE engine-generator 2</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60</v>
      </c>
      <c r="R5446" s="12" t="n">
        <v>76</v>
      </c>
      <c r="S5446" s="12" t="inlineStr">
        <is>
          <t>Duct bank</t>
        </is>
      </c>
      <c r="T5446" s="17" t="n">
        <v>550</v>
      </c>
      <c r="U5446" s="17" t="n">
        <v>109</v>
      </c>
      <c r="V5446" s="17">
        <f>ROUNDUP((T5446+U5446+2*'Read Me'!$B$13)*(1+'Read Me'!$B$12),-1)</f>
        <v/>
      </c>
      <c r="W5446" s="17">
        <f>V5446*N5446*O5446</f>
        <v/>
      </c>
      <c r="X5446" s="12">
        <f>IF(LEFT(I5446,2)="MV",2*N5446*IF(L5446="1/C",O5446,1),0)</f>
        <v/>
      </c>
      <c r="Y5446" s="12">
        <f>IF(OR(LEFT(K5446,4)="LVAX",LEFT(K5446,6)="MV15AX",LEFT(K5446,4)="CTAX",LEFT(K5446,2)="W|"),2*N5446*O5446,0)</f>
        <v/>
      </c>
      <c r="Z5446" s="12" t="inlineStr">
        <is>
          <t>VD 2.4 %</t>
        </is>
      </c>
      <c r="AA5446" s="12">
        <f>N5446*O5446</f>
        <v/>
      </c>
    </row>
    <row r="5447">
      <c r="A5447" s="12" t="inlineStr">
        <is>
          <t>I-P-0191</t>
        </is>
      </c>
      <c r="B5447" s="12" t="inlineStr">
        <is>
          <t>I</t>
        </is>
      </c>
      <c r="C5447" s="12" t="inlineStr">
        <is>
          <t>Modular / portable power</t>
        </is>
      </c>
      <c r="D5447" s="12" t="inlineStr">
        <is>
          <t>480 V welding receptacle 2</t>
        </is>
      </c>
      <c r="E5447" s="12" t="inlineStr"/>
      <c r="F5447" s="12" t="inlineStr">
        <is>
          <t>PCM: power control module</t>
        </is>
      </c>
      <c r="G5447" s="12" t="inlineStr">
        <is>
          <t>RICE-2</t>
        </is>
      </c>
      <c r="H5447" s="12" t="inlineStr">
        <is>
          <t>RICE engine-generator 2</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60</v>
      </c>
      <c r="R5447" s="12" t="n">
        <v>76</v>
      </c>
      <c r="S5447" s="12" t="inlineStr">
        <is>
          <t>Duct bank</t>
        </is>
      </c>
      <c r="T5447" s="17" t="n">
        <v>550</v>
      </c>
      <c r="U5447" s="17" t="n">
        <v>109</v>
      </c>
      <c r="V5447" s="17">
        <f>ROUNDUP((T5447+U5447+2*'Read Me'!$B$13)*(1+'Read Me'!$B$12),-1)</f>
        <v/>
      </c>
      <c r="W5447" s="17">
        <f>V5447*N5447*O5447</f>
        <v/>
      </c>
      <c r="X5447" s="12">
        <f>IF(LEFT(I5447,2)="MV",2*N5447*IF(L5447="1/C",O5447,1),0)</f>
        <v/>
      </c>
      <c r="Y5447" s="12">
        <f>IF(OR(LEFT(K5447,4)="LVAX",LEFT(K5447,6)="MV15AX",LEFT(K5447,4)="CTAX",LEFT(K5447,2)="W|"),2*N5447*O5447,0)</f>
        <v/>
      </c>
      <c r="Z5447" s="12" t="inlineStr">
        <is>
          <t>VD 2.4 %</t>
        </is>
      </c>
      <c r="AA5447" s="12">
        <f>N5447*O5447</f>
        <v/>
      </c>
    </row>
    <row r="5448">
      <c r="A5448" s="12" t="inlineStr">
        <is>
          <t>I-P-0192</t>
        </is>
      </c>
      <c r="B5448" s="12" t="inlineStr">
        <is>
          <t>I</t>
        </is>
      </c>
      <c r="C5448" s="12" t="inlineStr">
        <is>
          <t>Modular / portable power</t>
        </is>
      </c>
      <c r="D5448" s="12" t="inlineStr">
        <is>
          <t>480 V welding receptacle 3</t>
        </is>
      </c>
      <c r="E5448" s="12" t="inlineStr"/>
      <c r="F5448" s="12" t="inlineStr">
        <is>
          <t>PCM: power control module</t>
        </is>
      </c>
      <c r="G5448" s="12" t="inlineStr">
        <is>
          <t>RICE-2</t>
        </is>
      </c>
      <c r="H5448" s="12" t="inlineStr">
        <is>
          <t>RICE engine-generator 2</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60</v>
      </c>
      <c r="R5448" s="12" t="n">
        <v>76</v>
      </c>
      <c r="S5448" s="12" t="inlineStr">
        <is>
          <t>Duct bank</t>
        </is>
      </c>
      <c r="T5448" s="17" t="n">
        <v>550</v>
      </c>
      <c r="U5448" s="17" t="n">
        <v>109</v>
      </c>
      <c r="V5448" s="17">
        <f>ROUNDUP((T5448+U5448+2*'Read Me'!$B$13)*(1+'Read Me'!$B$12),-1)</f>
        <v/>
      </c>
      <c r="W5448" s="17">
        <f>V5448*N5448*O5448</f>
        <v/>
      </c>
      <c r="X5448" s="12">
        <f>IF(LEFT(I5448,2)="MV",2*N5448*IF(L5448="1/C",O5448,1),0)</f>
        <v/>
      </c>
      <c r="Y5448" s="12">
        <f>IF(OR(LEFT(K5448,4)="LVAX",LEFT(K5448,6)="MV15AX",LEFT(K5448,4)="CTAX",LEFT(K5448,2)="W|"),2*N5448*O5448,0)</f>
        <v/>
      </c>
      <c r="Z5448" s="12" t="inlineStr">
        <is>
          <t>VD 2.4 %</t>
        </is>
      </c>
      <c r="AA5448" s="12">
        <f>N5448*O5448</f>
        <v/>
      </c>
    </row>
    <row r="5449">
      <c r="A5449" s="12" t="inlineStr">
        <is>
          <t>I-P-0193</t>
        </is>
      </c>
      <c r="B5449" s="12" t="inlineStr">
        <is>
          <t>I</t>
        </is>
      </c>
      <c r="C5449" s="12" t="inlineStr">
        <is>
          <t>Modular / portable power</t>
        </is>
      </c>
      <c r="D5449" s="12" t="inlineStr">
        <is>
          <t>480 V welding receptacle 4</t>
        </is>
      </c>
      <c r="E5449" s="12" t="inlineStr"/>
      <c r="F5449" s="12" t="inlineStr">
        <is>
          <t>PCM: power control module</t>
        </is>
      </c>
      <c r="G5449" s="12" t="inlineStr">
        <is>
          <t>RICE-2</t>
        </is>
      </c>
      <c r="H5449" s="12" t="inlineStr">
        <is>
          <t>RICE engine-generator 2</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60</v>
      </c>
      <c r="R5449" s="12" t="n">
        <v>76</v>
      </c>
      <c r="S5449" s="12" t="inlineStr">
        <is>
          <t>Duct bank</t>
        </is>
      </c>
      <c r="T5449" s="17" t="n">
        <v>550</v>
      </c>
      <c r="U5449" s="17" t="n">
        <v>109</v>
      </c>
      <c r="V5449" s="17">
        <f>ROUNDUP((T5449+U5449+2*'Read Me'!$B$13)*(1+'Read Me'!$B$12),-1)</f>
        <v/>
      </c>
      <c r="W5449" s="17">
        <f>V5449*N5449*O5449</f>
        <v/>
      </c>
      <c r="X5449" s="12">
        <f>IF(LEFT(I5449,2)="MV",2*N5449*IF(L5449="1/C",O5449,1),0)</f>
        <v/>
      </c>
      <c r="Y5449" s="12">
        <f>IF(OR(LEFT(K5449,4)="LVAX",LEFT(K5449,6)="MV15AX",LEFT(K5449,4)="CTAX",LEFT(K5449,2)="W|"),2*N5449*O5449,0)</f>
        <v/>
      </c>
      <c r="Z5449" s="12" t="inlineStr">
        <is>
          <t>VD 2.4 %</t>
        </is>
      </c>
      <c r="AA5449" s="12">
        <f>N5449*O5449</f>
        <v/>
      </c>
    </row>
    <row r="5450">
      <c r="A5450" s="12" t="inlineStr">
        <is>
          <t>I-P-0194</t>
        </is>
      </c>
      <c r="B5450" s="12" t="inlineStr">
        <is>
          <t>I</t>
        </is>
      </c>
      <c r="C5450" s="12" t="inlineStr">
        <is>
          <t>Modular / portable power</t>
        </is>
      </c>
      <c r="D5450" s="12" t="inlineStr">
        <is>
          <t>Motor 1 of 6, 22 kW</t>
        </is>
      </c>
      <c r="E5450" s="12" t="inlineStr"/>
      <c r="F5450" s="12" t="inlineStr">
        <is>
          <t>PCM: power control module</t>
        </is>
      </c>
      <c r="G5450" s="12" t="inlineStr">
        <is>
          <t>RICE-3</t>
        </is>
      </c>
      <c r="H5450" s="12" t="inlineStr">
        <is>
          <t>RICE engine-generator 3</t>
        </is>
      </c>
      <c r="I5450" s="12" t="inlineStr">
        <is>
          <t>LV 600 V</t>
        </is>
      </c>
      <c r="J5450" s="12" t="inlineStr">
        <is>
          <t>Type TC-ER 600 V 3/C Cu XHHW-2 + ground, PVC jacket</t>
        </is>
      </c>
      <c r="K5450" s="12" t="inlineStr">
        <is>
          <t>LV|3/C+G|4</t>
        </is>
      </c>
      <c r="L5450" s="12" t="inlineStr">
        <is>
          <t>3/C+G</t>
        </is>
      </c>
      <c r="M5450" s="12" t="inlineStr">
        <is>
          <t>4</t>
        </is>
      </c>
      <c r="N5450" s="12" t="n">
        <v>1</v>
      </c>
      <c r="O5450" s="12" t="n">
        <v>1</v>
      </c>
      <c r="P5450" s="12" t="n">
        <v>480</v>
      </c>
      <c r="Q5450" s="12" t="n">
        <v>22</v>
      </c>
      <c r="R5450" s="12" t="n">
        <v>31.1</v>
      </c>
      <c r="S5450" s="12" t="inlineStr">
        <is>
          <t>Duct bank</t>
        </is>
      </c>
      <c r="T5450" s="17" t="n">
        <v>550</v>
      </c>
      <c r="U5450" s="17" t="n">
        <v>81</v>
      </c>
      <c r="V5450" s="17">
        <f>ROUNDUP((T5450+U5450+2*'Read Me'!$B$13)*(1+'Read Me'!$B$12),-1)</f>
        <v/>
      </c>
      <c r="W5450" s="17">
        <f>V5450*N5450*O5450</f>
        <v/>
      </c>
      <c r="X5450" s="12">
        <f>IF(LEFT(I5450,2)="MV",2*N5450*IF(L5450="1/C",O5450,1),0)</f>
        <v/>
      </c>
      <c r="Y5450" s="12">
        <f>IF(OR(LEFT(K5450,4)="LVAX",LEFT(K5450,6)="MV15AX",LEFT(K5450,4)="CTAX",LEFT(K5450,2)="W|"),2*N5450*O5450,0)</f>
        <v/>
      </c>
      <c r="Z5450" s="12" t="inlineStr">
        <is>
          <t>VD 2.4 %</t>
        </is>
      </c>
      <c r="AA5450" s="12">
        <f>N5450*O5450</f>
        <v/>
      </c>
    </row>
    <row r="5451">
      <c r="A5451" s="12" t="inlineStr">
        <is>
          <t>I-P-0195</t>
        </is>
      </c>
      <c r="B5451" s="12" t="inlineStr">
        <is>
          <t>I</t>
        </is>
      </c>
      <c r="C5451" s="12" t="inlineStr">
        <is>
          <t>Modular / portable power</t>
        </is>
      </c>
      <c r="D5451" s="12" t="inlineStr">
        <is>
          <t>Motor 2 of 6, 22 kW</t>
        </is>
      </c>
      <c r="E5451" s="12" t="inlineStr"/>
      <c r="F5451" s="12" t="inlineStr">
        <is>
          <t>PCM: power control module</t>
        </is>
      </c>
      <c r="G5451" s="12" t="inlineStr">
        <is>
          <t>RICE-3</t>
        </is>
      </c>
      <c r="H5451" s="12" t="inlineStr">
        <is>
          <t>RICE engine-generator 3</t>
        </is>
      </c>
      <c r="I5451" s="12" t="inlineStr">
        <is>
          <t>LV 600 V</t>
        </is>
      </c>
      <c r="J5451" s="12" t="inlineStr">
        <is>
          <t>Type TC-ER 600 V 3/C Cu XHHW-2 + ground, PVC jacket</t>
        </is>
      </c>
      <c r="K5451" s="12" t="inlineStr">
        <is>
          <t>LV|3/C+G|4</t>
        </is>
      </c>
      <c r="L5451" s="12" t="inlineStr">
        <is>
          <t>3/C+G</t>
        </is>
      </c>
      <c r="M5451" s="12" t="inlineStr">
        <is>
          <t>4</t>
        </is>
      </c>
      <c r="N5451" s="12" t="n">
        <v>1</v>
      </c>
      <c r="O5451" s="12" t="n">
        <v>1</v>
      </c>
      <c r="P5451" s="12" t="n">
        <v>480</v>
      </c>
      <c r="Q5451" s="12" t="n">
        <v>22</v>
      </c>
      <c r="R5451" s="12" t="n">
        <v>31.1</v>
      </c>
      <c r="S5451" s="12" t="inlineStr">
        <is>
          <t>Duct bank</t>
        </is>
      </c>
      <c r="T5451" s="17" t="n">
        <v>550</v>
      </c>
      <c r="U5451" s="17" t="n">
        <v>81</v>
      </c>
      <c r="V5451" s="17">
        <f>ROUNDUP((T5451+U5451+2*'Read Me'!$B$13)*(1+'Read Me'!$B$12),-1)</f>
        <v/>
      </c>
      <c r="W5451" s="17">
        <f>V5451*N5451*O5451</f>
        <v/>
      </c>
      <c r="X5451" s="12">
        <f>IF(LEFT(I5451,2)="MV",2*N5451*IF(L5451="1/C",O5451,1),0)</f>
        <v/>
      </c>
      <c r="Y5451" s="12">
        <f>IF(OR(LEFT(K5451,4)="LVAX",LEFT(K5451,6)="MV15AX",LEFT(K5451,4)="CTAX",LEFT(K5451,2)="W|"),2*N5451*O5451,0)</f>
        <v/>
      </c>
      <c r="Z5451" s="12" t="inlineStr">
        <is>
          <t>VD 2.4 %</t>
        </is>
      </c>
      <c r="AA5451" s="12">
        <f>N5451*O5451</f>
        <v/>
      </c>
    </row>
    <row r="5452">
      <c r="A5452" s="12" t="inlineStr">
        <is>
          <t>I-P-0196</t>
        </is>
      </c>
      <c r="B5452" s="12" t="inlineStr">
        <is>
          <t>I</t>
        </is>
      </c>
      <c r="C5452" s="12" t="inlineStr">
        <is>
          <t>Modular / portable power</t>
        </is>
      </c>
      <c r="D5452" s="12" t="inlineStr">
        <is>
          <t>Motor 3 of 6, 22 kW</t>
        </is>
      </c>
      <c r="E5452" s="12" t="inlineStr"/>
      <c r="F5452" s="12" t="inlineStr">
        <is>
          <t>PCM: power control module</t>
        </is>
      </c>
      <c r="G5452" s="12" t="inlineStr">
        <is>
          <t>RICE-3</t>
        </is>
      </c>
      <c r="H5452" s="12" t="inlineStr">
        <is>
          <t>RICE engine-generator 3</t>
        </is>
      </c>
      <c r="I5452" s="12" t="inlineStr">
        <is>
          <t>LV 600 V</t>
        </is>
      </c>
      <c r="J5452" s="12" t="inlineStr">
        <is>
          <t>Type TC-ER 600 V 3/C Cu XHHW-2 + ground, PVC jacket</t>
        </is>
      </c>
      <c r="K5452" s="12" t="inlineStr">
        <is>
          <t>LV|3/C+G|4</t>
        </is>
      </c>
      <c r="L5452" s="12" t="inlineStr">
        <is>
          <t>3/C+G</t>
        </is>
      </c>
      <c r="M5452" s="12" t="inlineStr">
        <is>
          <t>4</t>
        </is>
      </c>
      <c r="N5452" s="12" t="n">
        <v>1</v>
      </c>
      <c r="O5452" s="12" t="n">
        <v>1</v>
      </c>
      <c r="P5452" s="12" t="n">
        <v>480</v>
      </c>
      <c r="Q5452" s="12" t="n">
        <v>22</v>
      </c>
      <c r="R5452" s="12" t="n">
        <v>31.1</v>
      </c>
      <c r="S5452" s="12" t="inlineStr">
        <is>
          <t>Duct bank</t>
        </is>
      </c>
      <c r="T5452" s="17" t="n">
        <v>550</v>
      </c>
      <c r="U5452" s="17" t="n">
        <v>81</v>
      </c>
      <c r="V5452" s="17">
        <f>ROUNDUP((T5452+U5452+2*'Read Me'!$B$13)*(1+'Read Me'!$B$12),-1)</f>
        <v/>
      </c>
      <c r="W5452" s="17">
        <f>V5452*N5452*O5452</f>
        <v/>
      </c>
      <c r="X5452" s="12">
        <f>IF(LEFT(I5452,2)="MV",2*N5452*IF(L5452="1/C",O5452,1),0)</f>
        <v/>
      </c>
      <c r="Y5452" s="12">
        <f>IF(OR(LEFT(K5452,4)="LVAX",LEFT(K5452,6)="MV15AX",LEFT(K5452,4)="CTAX",LEFT(K5452,2)="W|"),2*N5452*O5452,0)</f>
        <v/>
      </c>
      <c r="Z5452" s="12" t="inlineStr">
        <is>
          <t>VD 2.4 %</t>
        </is>
      </c>
      <c r="AA5452" s="12">
        <f>N5452*O5452</f>
        <v/>
      </c>
    </row>
    <row r="5453">
      <c r="A5453" s="12" t="inlineStr">
        <is>
          <t>I-P-0197</t>
        </is>
      </c>
      <c r="B5453" s="12" t="inlineStr">
        <is>
          <t>I</t>
        </is>
      </c>
      <c r="C5453" s="12" t="inlineStr">
        <is>
          <t>Modular / portable power</t>
        </is>
      </c>
      <c r="D5453" s="12" t="inlineStr">
        <is>
          <t>Motor 4 of 6, 22 kW</t>
        </is>
      </c>
      <c r="E5453" s="12" t="inlineStr"/>
      <c r="F5453" s="12" t="inlineStr">
        <is>
          <t>PCM: power control module</t>
        </is>
      </c>
      <c r="G5453" s="12" t="inlineStr">
        <is>
          <t>RICE-3</t>
        </is>
      </c>
      <c r="H5453" s="12" t="inlineStr">
        <is>
          <t>RICE engine-generator 3</t>
        </is>
      </c>
      <c r="I5453" s="12" t="inlineStr">
        <is>
          <t>LV 600 V</t>
        </is>
      </c>
      <c r="J5453" s="12" t="inlineStr">
        <is>
          <t>Type TC-ER 600 V 3/C Cu XHHW-2 + ground, PVC jacket</t>
        </is>
      </c>
      <c r="K5453" s="12" t="inlineStr">
        <is>
          <t>LV|3/C+G|4</t>
        </is>
      </c>
      <c r="L5453" s="12" t="inlineStr">
        <is>
          <t>3/C+G</t>
        </is>
      </c>
      <c r="M5453" s="12" t="inlineStr">
        <is>
          <t>4</t>
        </is>
      </c>
      <c r="N5453" s="12" t="n">
        <v>1</v>
      </c>
      <c r="O5453" s="12" t="n">
        <v>1</v>
      </c>
      <c r="P5453" s="12" t="n">
        <v>480</v>
      </c>
      <c r="Q5453" s="12" t="n">
        <v>22</v>
      </c>
      <c r="R5453" s="12" t="n">
        <v>31.1</v>
      </c>
      <c r="S5453" s="12" t="inlineStr">
        <is>
          <t>Duct bank</t>
        </is>
      </c>
      <c r="T5453" s="17" t="n">
        <v>550</v>
      </c>
      <c r="U5453" s="17" t="n">
        <v>81</v>
      </c>
      <c r="V5453" s="17">
        <f>ROUNDUP((T5453+U5453+2*'Read Me'!$B$13)*(1+'Read Me'!$B$12),-1)</f>
        <v/>
      </c>
      <c r="W5453" s="17">
        <f>V5453*N5453*O5453</f>
        <v/>
      </c>
      <c r="X5453" s="12">
        <f>IF(LEFT(I5453,2)="MV",2*N5453*IF(L5453="1/C",O5453,1),0)</f>
        <v/>
      </c>
      <c r="Y5453" s="12">
        <f>IF(OR(LEFT(K5453,4)="LVAX",LEFT(K5453,6)="MV15AX",LEFT(K5453,4)="CTAX",LEFT(K5453,2)="W|"),2*N5453*O5453,0)</f>
        <v/>
      </c>
      <c r="Z5453" s="12" t="inlineStr">
        <is>
          <t>VD 2.4 %</t>
        </is>
      </c>
      <c r="AA5453" s="12">
        <f>N5453*O5453</f>
        <v/>
      </c>
    </row>
    <row r="5454">
      <c r="A5454" s="12" t="inlineStr">
        <is>
          <t>I-P-0198</t>
        </is>
      </c>
      <c r="B5454" s="12" t="inlineStr">
        <is>
          <t>I</t>
        </is>
      </c>
      <c r="C5454" s="12" t="inlineStr">
        <is>
          <t>Modular / portable power</t>
        </is>
      </c>
      <c r="D5454" s="12" t="inlineStr">
        <is>
          <t>Motor 5 of 6, 22 kW</t>
        </is>
      </c>
      <c r="E5454" s="12" t="inlineStr"/>
      <c r="F5454" s="12" t="inlineStr">
        <is>
          <t>PCM: power control module</t>
        </is>
      </c>
      <c r="G5454" s="12" t="inlineStr">
        <is>
          <t>RICE-3</t>
        </is>
      </c>
      <c r="H5454" s="12" t="inlineStr">
        <is>
          <t>RICE engine-generator 3</t>
        </is>
      </c>
      <c r="I5454" s="12" t="inlineStr">
        <is>
          <t>LV 600 V</t>
        </is>
      </c>
      <c r="J5454" s="12" t="inlineStr">
        <is>
          <t>Type TC-ER 600 V 3/C Cu XHHW-2 + ground, PVC jacket</t>
        </is>
      </c>
      <c r="K5454" s="12" t="inlineStr">
        <is>
          <t>LV|3/C+G|4</t>
        </is>
      </c>
      <c r="L5454" s="12" t="inlineStr">
        <is>
          <t>3/C+G</t>
        </is>
      </c>
      <c r="M5454" s="12" t="inlineStr">
        <is>
          <t>4</t>
        </is>
      </c>
      <c r="N5454" s="12" t="n">
        <v>1</v>
      </c>
      <c r="O5454" s="12" t="n">
        <v>1</v>
      </c>
      <c r="P5454" s="12" t="n">
        <v>480</v>
      </c>
      <c r="Q5454" s="12" t="n">
        <v>22</v>
      </c>
      <c r="R5454" s="12" t="n">
        <v>31.1</v>
      </c>
      <c r="S5454" s="12" t="inlineStr">
        <is>
          <t>Duct bank</t>
        </is>
      </c>
      <c r="T5454" s="17" t="n">
        <v>550</v>
      </c>
      <c r="U5454" s="17" t="n">
        <v>81</v>
      </c>
      <c r="V5454" s="17">
        <f>ROUNDUP((T5454+U5454+2*'Read Me'!$B$13)*(1+'Read Me'!$B$12),-1)</f>
        <v/>
      </c>
      <c r="W5454" s="17">
        <f>V5454*N5454*O5454</f>
        <v/>
      </c>
      <c r="X5454" s="12">
        <f>IF(LEFT(I5454,2)="MV",2*N5454*IF(L5454="1/C",O5454,1),0)</f>
        <v/>
      </c>
      <c r="Y5454" s="12">
        <f>IF(OR(LEFT(K5454,4)="LVAX",LEFT(K5454,6)="MV15AX",LEFT(K5454,4)="CTAX",LEFT(K5454,2)="W|"),2*N5454*O5454,0)</f>
        <v/>
      </c>
      <c r="Z5454" s="12" t="inlineStr">
        <is>
          <t>VD 2.4 %</t>
        </is>
      </c>
      <c r="AA5454" s="12">
        <f>N5454*O5454</f>
        <v/>
      </c>
    </row>
    <row r="5455">
      <c r="A5455" s="12" t="inlineStr">
        <is>
          <t>I-P-0199</t>
        </is>
      </c>
      <c r="B5455" s="12" t="inlineStr">
        <is>
          <t>I</t>
        </is>
      </c>
      <c r="C5455" s="12" t="inlineStr">
        <is>
          <t>Modular / portable power</t>
        </is>
      </c>
      <c r="D5455" s="12" t="inlineStr">
        <is>
          <t>Motor 6 of 6, 22 kW</t>
        </is>
      </c>
      <c r="E5455" s="12" t="inlineStr"/>
      <c r="F5455" s="12" t="inlineStr">
        <is>
          <t>PCM: power control module</t>
        </is>
      </c>
      <c r="G5455" s="12" t="inlineStr">
        <is>
          <t>RICE-3</t>
        </is>
      </c>
      <c r="H5455" s="12" t="inlineStr">
        <is>
          <t>RICE engine-generator 3</t>
        </is>
      </c>
      <c r="I5455" s="12" t="inlineStr">
        <is>
          <t>LV 600 V</t>
        </is>
      </c>
      <c r="J5455" s="12" t="inlineStr">
        <is>
          <t>Type TC-ER 600 V 3/C Cu XHHW-2 + ground, PVC jacket</t>
        </is>
      </c>
      <c r="K5455" s="12" t="inlineStr">
        <is>
          <t>LV|3/C+G|4</t>
        </is>
      </c>
      <c r="L5455" s="12" t="inlineStr">
        <is>
          <t>3/C+G</t>
        </is>
      </c>
      <c r="M5455" s="12" t="inlineStr">
        <is>
          <t>4</t>
        </is>
      </c>
      <c r="N5455" s="12" t="n">
        <v>1</v>
      </c>
      <c r="O5455" s="12" t="n">
        <v>1</v>
      </c>
      <c r="P5455" s="12" t="n">
        <v>480</v>
      </c>
      <c r="Q5455" s="12" t="n">
        <v>22</v>
      </c>
      <c r="R5455" s="12" t="n">
        <v>31.1</v>
      </c>
      <c r="S5455" s="12" t="inlineStr">
        <is>
          <t>Duct bank</t>
        </is>
      </c>
      <c r="T5455" s="17" t="n">
        <v>550</v>
      </c>
      <c r="U5455" s="17" t="n">
        <v>81</v>
      </c>
      <c r="V5455" s="17">
        <f>ROUNDUP((T5455+U5455+2*'Read Me'!$B$13)*(1+'Read Me'!$B$12),-1)</f>
        <v/>
      </c>
      <c r="W5455" s="17">
        <f>V5455*N5455*O5455</f>
        <v/>
      </c>
      <c r="X5455" s="12">
        <f>IF(LEFT(I5455,2)="MV",2*N5455*IF(L5455="1/C",O5455,1),0)</f>
        <v/>
      </c>
      <c r="Y5455" s="12">
        <f>IF(OR(LEFT(K5455,4)="LVAX",LEFT(K5455,6)="MV15AX",LEFT(K5455,4)="CTAX",LEFT(K5455,2)="W|"),2*N5455*O5455,0)</f>
        <v/>
      </c>
      <c r="Z5455" s="12" t="inlineStr">
        <is>
          <t>VD 2.4 %</t>
        </is>
      </c>
      <c r="AA5455" s="12">
        <f>N5455*O5455</f>
        <v/>
      </c>
    </row>
    <row r="5456">
      <c r="A5456" s="12" t="inlineStr">
        <is>
          <t>I-P-0200</t>
        </is>
      </c>
      <c r="B5456" s="12" t="inlineStr">
        <is>
          <t>I</t>
        </is>
      </c>
      <c r="C5456" s="12" t="inlineStr">
        <is>
          <t>Modular / portable power</t>
        </is>
      </c>
      <c r="D5456" s="12" t="inlineStr">
        <is>
          <t>480 V welding receptacle 1</t>
        </is>
      </c>
      <c r="E5456" s="12" t="inlineStr"/>
      <c r="F5456" s="12" t="inlineStr">
        <is>
          <t>PCM: power control module</t>
        </is>
      </c>
      <c r="G5456" s="12" t="inlineStr">
        <is>
          <t>RICE-3</t>
        </is>
      </c>
      <c r="H5456" s="12" t="inlineStr">
        <is>
          <t>RICE engine-generator 3</t>
        </is>
      </c>
      <c r="I5456" s="12" t="inlineStr">
        <is>
          <t>LV 600 V</t>
        </is>
      </c>
      <c r="J5456" s="12" t="inlineStr">
        <is>
          <t>Type TC-ER 600 V 3/C Cu XHHW-2 + ground, PVC jacket</t>
        </is>
      </c>
      <c r="K5456" s="12" t="inlineStr">
        <is>
          <t>LV|3/C+G|1</t>
        </is>
      </c>
      <c r="L5456" s="12" t="inlineStr">
        <is>
          <t>3/C+G</t>
        </is>
      </c>
      <c r="M5456" s="12" t="inlineStr">
        <is>
          <t>1</t>
        </is>
      </c>
      <c r="N5456" s="12" t="n">
        <v>1</v>
      </c>
      <c r="O5456" s="12" t="n">
        <v>1</v>
      </c>
      <c r="P5456" s="12" t="n">
        <v>480</v>
      </c>
      <c r="Q5456" s="12" t="n">
        <v>60</v>
      </c>
      <c r="R5456" s="12" t="n">
        <v>76</v>
      </c>
      <c r="S5456" s="12" t="inlineStr">
        <is>
          <t>Duct bank</t>
        </is>
      </c>
      <c r="T5456" s="17" t="n">
        <v>550</v>
      </c>
      <c r="U5456" s="17" t="n">
        <v>81</v>
      </c>
      <c r="V5456" s="17">
        <f>ROUNDUP((T5456+U5456+2*'Read Me'!$B$13)*(1+'Read Me'!$B$12),-1)</f>
        <v/>
      </c>
      <c r="W5456" s="17">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I-P-0201</t>
        </is>
      </c>
      <c r="B5457" s="12" t="inlineStr">
        <is>
          <t>I</t>
        </is>
      </c>
      <c r="C5457" s="12" t="inlineStr">
        <is>
          <t>Modular / portable power</t>
        </is>
      </c>
      <c r="D5457" s="12" t="inlineStr">
        <is>
          <t>480 V welding receptacle 2</t>
        </is>
      </c>
      <c r="E5457" s="12" t="inlineStr"/>
      <c r="F5457" s="12" t="inlineStr">
        <is>
          <t>PCM: power control module</t>
        </is>
      </c>
      <c r="G5457" s="12" t="inlineStr">
        <is>
          <t>RICE-3</t>
        </is>
      </c>
      <c r="H5457" s="12" t="inlineStr">
        <is>
          <t>RICE engine-generator 3</t>
        </is>
      </c>
      <c r="I5457" s="12" t="inlineStr">
        <is>
          <t>LV 600 V</t>
        </is>
      </c>
      <c r="J5457" s="12" t="inlineStr">
        <is>
          <t>Type TC-ER 600 V 3/C Cu XHHW-2 + ground, PVC jacket</t>
        </is>
      </c>
      <c r="K5457" s="12" t="inlineStr">
        <is>
          <t>LV|3/C+G|1</t>
        </is>
      </c>
      <c r="L5457" s="12" t="inlineStr">
        <is>
          <t>3/C+G</t>
        </is>
      </c>
      <c r="M5457" s="12" t="inlineStr">
        <is>
          <t>1</t>
        </is>
      </c>
      <c r="N5457" s="12" t="n">
        <v>1</v>
      </c>
      <c r="O5457" s="12" t="n">
        <v>1</v>
      </c>
      <c r="P5457" s="12" t="n">
        <v>480</v>
      </c>
      <c r="Q5457" s="12" t="n">
        <v>60</v>
      </c>
      <c r="R5457" s="12" t="n">
        <v>76</v>
      </c>
      <c r="S5457" s="12" t="inlineStr">
        <is>
          <t>Duct bank</t>
        </is>
      </c>
      <c r="T5457" s="17" t="n">
        <v>550</v>
      </c>
      <c r="U5457" s="17" t="n">
        <v>81</v>
      </c>
      <c r="V5457" s="17">
        <f>ROUNDUP((T5457+U5457+2*'Read Me'!$B$13)*(1+'Read Me'!$B$12),-1)</f>
        <v/>
      </c>
      <c r="W5457" s="17">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I-P-0202</t>
        </is>
      </c>
      <c r="B5458" s="12" t="inlineStr">
        <is>
          <t>I</t>
        </is>
      </c>
      <c r="C5458" s="12" t="inlineStr">
        <is>
          <t>Modular / portable power</t>
        </is>
      </c>
      <c r="D5458" s="12" t="inlineStr">
        <is>
          <t>480 V welding receptacle 3</t>
        </is>
      </c>
      <c r="E5458" s="12" t="inlineStr"/>
      <c r="F5458" s="12" t="inlineStr">
        <is>
          <t>PCM: power control module</t>
        </is>
      </c>
      <c r="G5458" s="12" t="inlineStr">
        <is>
          <t>RICE-3</t>
        </is>
      </c>
      <c r="H5458" s="12" t="inlineStr">
        <is>
          <t>RICE engine-generator 3</t>
        </is>
      </c>
      <c r="I5458" s="12" t="inlineStr">
        <is>
          <t>LV 600 V</t>
        </is>
      </c>
      <c r="J5458" s="12" t="inlineStr">
        <is>
          <t>Type TC-ER 600 V 3/C Cu XHHW-2 + ground, PVC jacket</t>
        </is>
      </c>
      <c r="K5458" s="12" t="inlineStr">
        <is>
          <t>LV|3/C+G|1</t>
        </is>
      </c>
      <c r="L5458" s="12" t="inlineStr">
        <is>
          <t>3/C+G</t>
        </is>
      </c>
      <c r="M5458" s="12" t="inlineStr">
        <is>
          <t>1</t>
        </is>
      </c>
      <c r="N5458" s="12" t="n">
        <v>1</v>
      </c>
      <c r="O5458" s="12" t="n">
        <v>1</v>
      </c>
      <c r="P5458" s="12" t="n">
        <v>480</v>
      </c>
      <c r="Q5458" s="12" t="n">
        <v>60</v>
      </c>
      <c r="R5458" s="12" t="n">
        <v>76</v>
      </c>
      <c r="S5458" s="12" t="inlineStr">
        <is>
          <t>Duct bank</t>
        </is>
      </c>
      <c r="T5458" s="17" t="n">
        <v>550</v>
      </c>
      <c r="U5458" s="17" t="n">
        <v>81</v>
      </c>
      <c r="V5458" s="17">
        <f>ROUNDUP((T5458+U5458+2*'Read Me'!$B$13)*(1+'Read Me'!$B$12),-1)</f>
        <v/>
      </c>
      <c r="W5458" s="17">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I-P-0203</t>
        </is>
      </c>
      <c r="B5459" s="12" t="inlineStr">
        <is>
          <t>I</t>
        </is>
      </c>
      <c r="C5459" s="12" t="inlineStr">
        <is>
          <t>Modular / portable power</t>
        </is>
      </c>
      <c r="D5459" s="12" t="inlineStr">
        <is>
          <t>480 V welding receptacle 4</t>
        </is>
      </c>
      <c r="E5459" s="12" t="inlineStr"/>
      <c r="F5459" s="12" t="inlineStr">
        <is>
          <t>PCM: power control module</t>
        </is>
      </c>
      <c r="G5459" s="12" t="inlineStr">
        <is>
          <t>RICE-3</t>
        </is>
      </c>
      <c r="H5459" s="12" t="inlineStr">
        <is>
          <t>RICE engine-generator 3</t>
        </is>
      </c>
      <c r="I5459" s="12" t="inlineStr">
        <is>
          <t>LV 600 V</t>
        </is>
      </c>
      <c r="J5459" s="12" t="inlineStr">
        <is>
          <t>Type TC-ER 600 V 3/C Cu XHHW-2 + ground, PVC jacket</t>
        </is>
      </c>
      <c r="K5459" s="12" t="inlineStr">
        <is>
          <t>LV|3/C+G|1</t>
        </is>
      </c>
      <c r="L5459" s="12" t="inlineStr">
        <is>
          <t>3/C+G</t>
        </is>
      </c>
      <c r="M5459" s="12" t="inlineStr">
        <is>
          <t>1</t>
        </is>
      </c>
      <c r="N5459" s="12" t="n">
        <v>1</v>
      </c>
      <c r="O5459" s="12" t="n">
        <v>1</v>
      </c>
      <c r="P5459" s="12" t="n">
        <v>480</v>
      </c>
      <c r="Q5459" s="12" t="n">
        <v>60</v>
      </c>
      <c r="R5459" s="12" t="n">
        <v>76</v>
      </c>
      <c r="S5459" s="12" t="inlineStr">
        <is>
          <t>Duct bank</t>
        </is>
      </c>
      <c r="T5459" s="17" t="n">
        <v>550</v>
      </c>
      <c r="U5459" s="17" t="n">
        <v>81</v>
      </c>
      <c r="V5459" s="17">
        <f>ROUNDUP((T5459+U5459+2*'Read Me'!$B$13)*(1+'Read Me'!$B$12),-1)</f>
        <v/>
      </c>
      <c r="W5459" s="17">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I-P-0204</t>
        </is>
      </c>
      <c r="B5460" s="12" t="inlineStr">
        <is>
          <t>I</t>
        </is>
      </c>
      <c r="C5460" s="12" t="inlineStr">
        <is>
          <t>Modular / portable power</t>
        </is>
      </c>
      <c r="D5460" s="12" t="inlineStr">
        <is>
          <t>Motor 1 of 6, 22 kW</t>
        </is>
      </c>
      <c r="E5460" s="12" t="inlineStr"/>
      <c r="F5460" s="12" t="inlineStr">
        <is>
          <t>PCM: power control module</t>
        </is>
      </c>
      <c r="G5460" s="12" t="inlineStr">
        <is>
          <t>RICE-4</t>
        </is>
      </c>
      <c r="H5460" s="12" t="inlineStr">
        <is>
          <t>RICE engine-generator 4</t>
        </is>
      </c>
      <c r="I5460" s="12" t="inlineStr">
        <is>
          <t>LV 600 V</t>
        </is>
      </c>
      <c r="J5460" s="12" t="inlineStr">
        <is>
          <t>Type TC-ER 600 V 3/C Cu XHHW-2 + ground, PVC jacket</t>
        </is>
      </c>
      <c r="K5460" s="12" t="inlineStr">
        <is>
          <t>LV|3/C+G|4</t>
        </is>
      </c>
      <c r="L5460" s="12" t="inlineStr">
        <is>
          <t>3/C+G</t>
        </is>
      </c>
      <c r="M5460" s="12" t="inlineStr">
        <is>
          <t>4</t>
        </is>
      </c>
      <c r="N5460" s="12" t="n">
        <v>1</v>
      </c>
      <c r="O5460" s="12" t="n">
        <v>1</v>
      </c>
      <c r="P5460" s="12" t="n">
        <v>480</v>
      </c>
      <c r="Q5460" s="12" t="n">
        <v>22</v>
      </c>
      <c r="R5460" s="12" t="n">
        <v>31.1</v>
      </c>
      <c r="S5460" s="12" t="inlineStr">
        <is>
          <t>Duct bank</t>
        </is>
      </c>
      <c r="T5460" s="17" t="n">
        <v>550</v>
      </c>
      <c r="U5460" s="17" t="n">
        <v>53</v>
      </c>
      <c r="V5460" s="17">
        <f>ROUNDUP((T5460+U5460+2*'Read Me'!$B$13)*(1+'Read Me'!$B$12),-1)</f>
        <v/>
      </c>
      <c r="W5460" s="17">
        <f>V5460*N5460*O5460</f>
        <v/>
      </c>
      <c r="X5460" s="12">
        <f>IF(LEFT(I5460,2)="MV",2*N5460*IF(L5460="1/C",O5460,1),0)</f>
        <v/>
      </c>
      <c r="Y5460" s="12">
        <f>IF(OR(LEFT(K5460,4)="LVAX",LEFT(K5460,6)="MV15AX",LEFT(K5460,4)="CTAX",LEFT(K5460,2)="W|"),2*N5460*O5460,0)</f>
        <v/>
      </c>
      <c r="Z5460" s="12" t="inlineStr">
        <is>
          <t>VD 2.3 %</t>
        </is>
      </c>
      <c r="AA5460" s="12">
        <f>N5460*O5460</f>
        <v/>
      </c>
    </row>
    <row r="5461">
      <c r="A5461" s="12" t="inlineStr">
        <is>
          <t>I-P-0205</t>
        </is>
      </c>
      <c r="B5461" s="12" t="inlineStr">
        <is>
          <t>I</t>
        </is>
      </c>
      <c r="C5461" s="12" t="inlineStr">
        <is>
          <t>Modular / portable power</t>
        </is>
      </c>
      <c r="D5461" s="12" t="inlineStr">
        <is>
          <t>Motor 2 of 6, 22 kW</t>
        </is>
      </c>
      <c r="E5461" s="12" t="inlineStr"/>
      <c r="F5461" s="12" t="inlineStr">
        <is>
          <t>PCM: power control module</t>
        </is>
      </c>
      <c r="G5461" s="12" t="inlineStr">
        <is>
          <t>RICE-4</t>
        </is>
      </c>
      <c r="H5461" s="12" t="inlineStr">
        <is>
          <t>RICE engine-generator 4</t>
        </is>
      </c>
      <c r="I5461" s="12" t="inlineStr">
        <is>
          <t>LV 600 V</t>
        </is>
      </c>
      <c r="J5461" s="12" t="inlineStr">
        <is>
          <t>Type TC-ER 600 V 3/C Cu XHHW-2 + ground, PVC jacket</t>
        </is>
      </c>
      <c r="K5461" s="12" t="inlineStr">
        <is>
          <t>LV|3/C+G|4</t>
        </is>
      </c>
      <c r="L5461" s="12" t="inlineStr">
        <is>
          <t>3/C+G</t>
        </is>
      </c>
      <c r="M5461" s="12" t="inlineStr">
        <is>
          <t>4</t>
        </is>
      </c>
      <c r="N5461" s="12" t="n">
        <v>1</v>
      </c>
      <c r="O5461" s="12" t="n">
        <v>1</v>
      </c>
      <c r="P5461" s="12" t="n">
        <v>480</v>
      </c>
      <c r="Q5461" s="12" t="n">
        <v>22</v>
      </c>
      <c r="R5461" s="12" t="n">
        <v>31.1</v>
      </c>
      <c r="S5461" s="12" t="inlineStr">
        <is>
          <t>Duct bank</t>
        </is>
      </c>
      <c r="T5461" s="17" t="n">
        <v>550</v>
      </c>
      <c r="U5461" s="17" t="n">
        <v>53</v>
      </c>
      <c r="V5461" s="17">
        <f>ROUNDUP((T5461+U5461+2*'Read Me'!$B$13)*(1+'Read Me'!$B$12),-1)</f>
        <v/>
      </c>
      <c r="W5461" s="17">
        <f>V5461*N5461*O5461</f>
        <v/>
      </c>
      <c r="X5461" s="12">
        <f>IF(LEFT(I5461,2)="MV",2*N5461*IF(L5461="1/C",O5461,1),0)</f>
        <v/>
      </c>
      <c r="Y5461" s="12">
        <f>IF(OR(LEFT(K5461,4)="LVAX",LEFT(K5461,6)="MV15AX",LEFT(K5461,4)="CTAX",LEFT(K5461,2)="W|"),2*N5461*O5461,0)</f>
        <v/>
      </c>
      <c r="Z5461" s="12" t="inlineStr">
        <is>
          <t>VD 2.3 %</t>
        </is>
      </c>
      <c r="AA5461" s="12">
        <f>N5461*O5461</f>
        <v/>
      </c>
    </row>
    <row r="5462">
      <c r="A5462" s="12" t="inlineStr">
        <is>
          <t>I-P-0206</t>
        </is>
      </c>
      <c r="B5462" s="12" t="inlineStr">
        <is>
          <t>I</t>
        </is>
      </c>
      <c r="C5462" s="12" t="inlineStr">
        <is>
          <t>Modular / portable power</t>
        </is>
      </c>
      <c r="D5462" s="12" t="inlineStr">
        <is>
          <t>Motor 3 of 6, 22 kW</t>
        </is>
      </c>
      <c r="E5462" s="12" t="inlineStr"/>
      <c r="F5462" s="12" t="inlineStr">
        <is>
          <t>PCM: power control module</t>
        </is>
      </c>
      <c r="G5462" s="12" t="inlineStr">
        <is>
          <t>RICE-4</t>
        </is>
      </c>
      <c r="H5462" s="12" t="inlineStr">
        <is>
          <t>RICE engine-generator 4</t>
        </is>
      </c>
      <c r="I5462" s="12" t="inlineStr">
        <is>
          <t>LV 600 V</t>
        </is>
      </c>
      <c r="J5462" s="12" t="inlineStr">
        <is>
          <t>Type TC-ER 600 V 3/C Cu XHHW-2 + ground, PVC jacket</t>
        </is>
      </c>
      <c r="K5462" s="12" t="inlineStr">
        <is>
          <t>LV|3/C+G|4</t>
        </is>
      </c>
      <c r="L5462" s="12" t="inlineStr">
        <is>
          <t>3/C+G</t>
        </is>
      </c>
      <c r="M5462" s="12" t="inlineStr">
        <is>
          <t>4</t>
        </is>
      </c>
      <c r="N5462" s="12" t="n">
        <v>1</v>
      </c>
      <c r="O5462" s="12" t="n">
        <v>1</v>
      </c>
      <c r="P5462" s="12" t="n">
        <v>480</v>
      </c>
      <c r="Q5462" s="12" t="n">
        <v>22</v>
      </c>
      <c r="R5462" s="12" t="n">
        <v>31.1</v>
      </c>
      <c r="S5462" s="12" t="inlineStr">
        <is>
          <t>Duct bank</t>
        </is>
      </c>
      <c r="T5462" s="17" t="n">
        <v>550</v>
      </c>
      <c r="U5462" s="17" t="n">
        <v>53</v>
      </c>
      <c r="V5462" s="17">
        <f>ROUNDUP((T5462+U5462+2*'Read Me'!$B$13)*(1+'Read Me'!$B$12),-1)</f>
        <v/>
      </c>
      <c r="W5462" s="17">
        <f>V5462*N5462*O5462</f>
        <v/>
      </c>
      <c r="X5462" s="12">
        <f>IF(LEFT(I5462,2)="MV",2*N5462*IF(L5462="1/C",O5462,1),0)</f>
        <v/>
      </c>
      <c r="Y5462" s="12">
        <f>IF(OR(LEFT(K5462,4)="LVAX",LEFT(K5462,6)="MV15AX",LEFT(K5462,4)="CTAX",LEFT(K5462,2)="W|"),2*N5462*O5462,0)</f>
        <v/>
      </c>
      <c r="Z5462" s="12" t="inlineStr">
        <is>
          <t>VD 2.3 %</t>
        </is>
      </c>
      <c r="AA5462" s="12">
        <f>N5462*O5462</f>
        <v/>
      </c>
    </row>
    <row r="5463">
      <c r="A5463" s="12" t="inlineStr">
        <is>
          <t>I-P-0207</t>
        </is>
      </c>
      <c r="B5463" s="12" t="inlineStr">
        <is>
          <t>I</t>
        </is>
      </c>
      <c r="C5463" s="12" t="inlineStr">
        <is>
          <t>Modular / portable power</t>
        </is>
      </c>
      <c r="D5463" s="12" t="inlineStr">
        <is>
          <t>Motor 4 of 6, 22 kW</t>
        </is>
      </c>
      <c r="E5463" s="12" t="inlineStr"/>
      <c r="F5463" s="12" t="inlineStr">
        <is>
          <t>PCM: power control module</t>
        </is>
      </c>
      <c r="G5463" s="12" t="inlineStr">
        <is>
          <t>RICE-4</t>
        </is>
      </c>
      <c r="H5463" s="12" t="inlineStr">
        <is>
          <t>RICE engine-generator 4</t>
        </is>
      </c>
      <c r="I5463" s="12" t="inlineStr">
        <is>
          <t>LV 600 V</t>
        </is>
      </c>
      <c r="J5463" s="12" t="inlineStr">
        <is>
          <t>Type TC-ER 600 V 3/C Cu XHHW-2 + ground, PVC jacket</t>
        </is>
      </c>
      <c r="K5463" s="12" t="inlineStr">
        <is>
          <t>LV|3/C+G|4</t>
        </is>
      </c>
      <c r="L5463" s="12" t="inlineStr">
        <is>
          <t>3/C+G</t>
        </is>
      </c>
      <c r="M5463" s="12" t="inlineStr">
        <is>
          <t>4</t>
        </is>
      </c>
      <c r="N5463" s="12" t="n">
        <v>1</v>
      </c>
      <c r="O5463" s="12" t="n">
        <v>1</v>
      </c>
      <c r="P5463" s="12" t="n">
        <v>480</v>
      </c>
      <c r="Q5463" s="12" t="n">
        <v>22</v>
      </c>
      <c r="R5463" s="12" t="n">
        <v>31.1</v>
      </c>
      <c r="S5463" s="12" t="inlineStr">
        <is>
          <t>Duct bank</t>
        </is>
      </c>
      <c r="T5463" s="17" t="n">
        <v>550</v>
      </c>
      <c r="U5463" s="17" t="n">
        <v>53</v>
      </c>
      <c r="V5463" s="17">
        <f>ROUNDUP((T5463+U5463+2*'Read Me'!$B$13)*(1+'Read Me'!$B$12),-1)</f>
        <v/>
      </c>
      <c r="W5463" s="17">
        <f>V5463*N5463*O5463</f>
        <v/>
      </c>
      <c r="X5463" s="12">
        <f>IF(LEFT(I5463,2)="MV",2*N5463*IF(L5463="1/C",O5463,1),0)</f>
        <v/>
      </c>
      <c r="Y5463" s="12">
        <f>IF(OR(LEFT(K5463,4)="LVAX",LEFT(K5463,6)="MV15AX",LEFT(K5463,4)="CTAX",LEFT(K5463,2)="W|"),2*N5463*O5463,0)</f>
        <v/>
      </c>
      <c r="Z5463" s="12" t="inlineStr">
        <is>
          <t>VD 2.3 %</t>
        </is>
      </c>
      <c r="AA5463" s="12">
        <f>N5463*O5463</f>
        <v/>
      </c>
    </row>
    <row r="5464">
      <c r="A5464" s="12" t="inlineStr">
        <is>
          <t>I-P-0208</t>
        </is>
      </c>
      <c r="B5464" s="12" t="inlineStr">
        <is>
          <t>I</t>
        </is>
      </c>
      <c r="C5464" s="12" t="inlineStr">
        <is>
          <t>Modular / portable power</t>
        </is>
      </c>
      <c r="D5464" s="12" t="inlineStr">
        <is>
          <t>Motor 5 of 6, 22 kW</t>
        </is>
      </c>
      <c r="E5464" s="12" t="inlineStr"/>
      <c r="F5464" s="12" t="inlineStr">
        <is>
          <t>PCM: power control module</t>
        </is>
      </c>
      <c r="G5464" s="12" t="inlineStr">
        <is>
          <t>RICE-4</t>
        </is>
      </c>
      <c r="H5464" s="12" t="inlineStr">
        <is>
          <t>RICE engine-generator 4</t>
        </is>
      </c>
      <c r="I5464" s="12" t="inlineStr">
        <is>
          <t>LV 600 V</t>
        </is>
      </c>
      <c r="J5464" s="12" t="inlineStr">
        <is>
          <t>Type TC-ER 600 V 3/C Cu XHHW-2 + ground, PVC jacket</t>
        </is>
      </c>
      <c r="K5464" s="12" t="inlineStr">
        <is>
          <t>LV|3/C+G|4</t>
        </is>
      </c>
      <c r="L5464" s="12" t="inlineStr">
        <is>
          <t>3/C+G</t>
        </is>
      </c>
      <c r="M5464" s="12" t="inlineStr">
        <is>
          <t>4</t>
        </is>
      </c>
      <c r="N5464" s="12" t="n">
        <v>1</v>
      </c>
      <c r="O5464" s="12" t="n">
        <v>1</v>
      </c>
      <c r="P5464" s="12" t="n">
        <v>480</v>
      </c>
      <c r="Q5464" s="12" t="n">
        <v>22</v>
      </c>
      <c r="R5464" s="12" t="n">
        <v>31.1</v>
      </c>
      <c r="S5464" s="12" t="inlineStr">
        <is>
          <t>Duct bank</t>
        </is>
      </c>
      <c r="T5464" s="17" t="n">
        <v>550</v>
      </c>
      <c r="U5464" s="17" t="n">
        <v>53</v>
      </c>
      <c r="V5464" s="17">
        <f>ROUNDUP((T5464+U5464+2*'Read Me'!$B$13)*(1+'Read Me'!$B$12),-1)</f>
        <v/>
      </c>
      <c r="W5464" s="17">
        <f>V5464*N5464*O5464</f>
        <v/>
      </c>
      <c r="X5464" s="12">
        <f>IF(LEFT(I5464,2)="MV",2*N5464*IF(L5464="1/C",O5464,1),0)</f>
        <v/>
      </c>
      <c r="Y5464" s="12">
        <f>IF(OR(LEFT(K5464,4)="LVAX",LEFT(K5464,6)="MV15AX",LEFT(K5464,4)="CTAX",LEFT(K5464,2)="W|"),2*N5464*O5464,0)</f>
        <v/>
      </c>
      <c r="Z5464" s="12" t="inlineStr">
        <is>
          <t>VD 2.3 %</t>
        </is>
      </c>
      <c r="AA5464" s="12">
        <f>N5464*O5464</f>
        <v/>
      </c>
    </row>
    <row r="5465">
      <c r="A5465" s="12" t="inlineStr">
        <is>
          <t>I-P-0209</t>
        </is>
      </c>
      <c r="B5465" s="12" t="inlineStr">
        <is>
          <t>I</t>
        </is>
      </c>
      <c r="C5465" s="12" t="inlineStr">
        <is>
          <t>Modular / portable power</t>
        </is>
      </c>
      <c r="D5465" s="12" t="inlineStr">
        <is>
          <t>Motor 6 of 6, 22 kW</t>
        </is>
      </c>
      <c r="E5465" s="12" t="inlineStr"/>
      <c r="F5465" s="12" t="inlineStr">
        <is>
          <t>PCM: power control module</t>
        </is>
      </c>
      <c r="G5465" s="12" t="inlineStr">
        <is>
          <t>RICE-4</t>
        </is>
      </c>
      <c r="H5465" s="12" t="inlineStr">
        <is>
          <t>RICE engine-generator 4</t>
        </is>
      </c>
      <c r="I5465" s="12" t="inlineStr">
        <is>
          <t>LV 600 V</t>
        </is>
      </c>
      <c r="J5465" s="12" t="inlineStr">
        <is>
          <t>Type TC-ER 600 V 3/C Cu XHHW-2 + ground, PVC jacket</t>
        </is>
      </c>
      <c r="K5465" s="12" t="inlineStr">
        <is>
          <t>LV|3/C+G|4</t>
        </is>
      </c>
      <c r="L5465" s="12" t="inlineStr">
        <is>
          <t>3/C+G</t>
        </is>
      </c>
      <c r="M5465" s="12" t="inlineStr">
        <is>
          <t>4</t>
        </is>
      </c>
      <c r="N5465" s="12" t="n">
        <v>1</v>
      </c>
      <c r="O5465" s="12" t="n">
        <v>1</v>
      </c>
      <c r="P5465" s="12" t="n">
        <v>480</v>
      </c>
      <c r="Q5465" s="12" t="n">
        <v>22</v>
      </c>
      <c r="R5465" s="12" t="n">
        <v>31.1</v>
      </c>
      <c r="S5465" s="12" t="inlineStr">
        <is>
          <t>Duct bank</t>
        </is>
      </c>
      <c r="T5465" s="17" t="n">
        <v>550</v>
      </c>
      <c r="U5465" s="17" t="n">
        <v>53</v>
      </c>
      <c r="V5465" s="17">
        <f>ROUNDUP((T5465+U5465+2*'Read Me'!$B$13)*(1+'Read Me'!$B$12),-1)</f>
        <v/>
      </c>
      <c r="W5465" s="17">
        <f>V5465*N5465*O5465</f>
        <v/>
      </c>
      <c r="X5465" s="12">
        <f>IF(LEFT(I5465,2)="MV",2*N5465*IF(L5465="1/C",O5465,1),0)</f>
        <v/>
      </c>
      <c r="Y5465" s="12">
        <f>IF(OR(LEFT(K5465,4)="LVAX",LEFT(K5465,6)="MV15AX",LEFT(K5465,4)="CTAX",LEFT(K5465,2)="W|"),2*N5465*O5465,0)</f>
        <v/>
      </c>
      <c r="Z5465" s="12" t="inlineStr">
        <is>
          <t>VD 2.3 %</t>
        </is>
      </c>
      <c r="AA5465" s="12">
        <f>N5465*O5465</f>
        <v/>
      </c>
    </row>
    <row r="5466">
      <c r="A5466" s="12" t="inlineStr">
        <is>
          <t>I-P-0210</t>
        </is>
      </c>
      <c r="B5466" s="12" t="inlineStr">
        <is>
          <t>I</t>
        </is>
      </c>
      <c r="C5466" s="12" t="inlineStr">
        <is>
          <t>Modular / portable power</t>
        </is>
      </c>
      <c r="D5466" s="12" t="inlineStr">
        <is>
          <t>480 V welding receptacle 1</t>
        </is>
      </c>
      <c r="E5466" s="12" t="inlineStr"/>
      <c r="F5466" s="12" t="inlineStr">
        <is>
          <t>PCM: power control module</t>
        </is>
      </c>
      <c r="G5466" s="12" t="inlineStr">
        <is>
          <t>RICE-4</t>
        </is>
      </c>
      <c r="H5466" s="12" t="inlineStr">
        <is>
          <t>RICE engine-generator 4</t>
        </is>
      </c>
      <c r="I5466" s="12" t="inlineStr">
        <is>
          <t>LV 600 V</t>
        </is>
      </c>
      <c r="J5466" s="12" t="inlineStr">
        <is>
          <t>Type TC-ER 600 V 3/C Cu XHHW-2 + ground, PVC jacket</t>
        </is>
      </c>
      <c r="K5466" s="12" t="inlineStr">
        <is>
          <t>LV|3/C+G|1</t>
        </is>
      </c>
      <c r="L5466" s="12" t="inlineStr">
        <is>
          <t>3/C+G</t>
        </is>
      </c>
      <c r="M5466" s="12" t="inlineStr">
        <is>
          <t>1</t>
        </is>
      </c>
      <c r="N5466" s="12" t="n">
        <v>1</v>
      </c>
      <c r="O5466" s="12" t="n">
        <v>1</v>
      </c>
      <c r="P5466" s="12" t="n">
        <v>480</v>
      </c>
      <c r="Q5466" s="12" t="n">
        <v>60</v>
      </c>
      <c r="R5466" s="12" t="n">
        <v>76</v>
      </c>
      <c r="S5466" s="12" t="inlineStr">
        <is>
          <t>Duct bank</t>
        </is>
      </c>
      <c r="T5466" s="17" t="n">
        <v>550</v>
      </c>
      <c r="U5466" s="17" t="n">
        <v>53</v>
      </c>
      <c r="V5466" s="17">
        <f>ROUNDUP((T5466+U5466+2*'Read Me'!$B$13)*(1+'Read Me'!$B$12),-1)</f>
        <v/>
      </c>
      <c r="W5466" s="17">
        <f>V5466*N5466*O5466</f>
        <v/>
      </c>
      <c r="X5466" s="12">
        <f>IF(LEFT(I5466,2)="MV",2*N5466*IF(L5466="1/C",O5466,1),0)</f>
        <v/>
      </c>
      <c r="Y5466" s="12">
        <f>IF(OR(LEFT(K5466,4)="LVAX",LEFT(K5466,6)="MV15AX",LEFT(K5466,4)="CTAX",LEFT(K5466,2)="W|"),2*N5466*O5466,0)</f>
        <v/>
      </c>
      <c r="Z5466" s="12" t="inlineStr">
        <is>
          <t>VD 2.8 %</t>
        </is>
      </c>
      <c r="AA5466" s="12">
        <f>N5466*O5466</f>
        <v/>
      </c>
    </row>
    <row r="5467">
      <c r="A5467" s="12" t="inlineStr">
        <is>
          <t>I-P-0211</t>
        </is>
      </c>
      <c r="B5467" s="12" t="inlineStr">
        <is>
          <t>I</t>
        </is>
      </c>
      <c r="C5467" s="12" t="inlineStr">
        <is>
          <t>Modular / portable power</t>
        </is>
      </c>
      <c r="D5467" s="12" t="inlineStr">
        <is>
          <t>480 V welding receptacle 2</t>
        </is>
      </c>
      <c r="E5467" s="12" t="inlineStr"/>
      <c r="F5467" s="12" t="inlineStr">
        <is>
          <t>PCM: power control module</t>
        </is>
      </c>
      <c r="G5467" s="12" t="inlineStr">
        <is>
          <t>RICE-4</t>
        </is>
      </c>
      <c r="H5467" s="12" t="inlineStr">
        <is>
          <t>RICE engine-generator 4</t>
        </is>
      </c>
      <c r="I5467" s="12" t="inlineStr">
        <is>
          <t>LV 600 V</t>
        </is>
      </c>
      <c r="J5467" s="12" t="inlineStr">
        <is>
          <t>Type TC-ER 600 V 3/C Cu XHHW-2 + ground, PVC jacket</t>
        </is>
      </c>
      <c r="K5467" s="12" t="inlineStr">
        <is>
          <t>LV|3/C+G|1</t>
        </is>
      </c>
      <c r="L5467" s="12" t="inlineStr">
        <is>
          <t>3/C+G</t>
        </is>
      </c>
      <c r="M5467" s="12" t="inlineStr">
        <is>
          <t>1</t>
        </is>
      </c>
      <c r="N5467" s="12" t="n">
        <v>1</v>
      </c>
      <c r="O5467" s="12" t="n">
        <v>1</v>
      </c>
      <c r="P5467" s="12" t="n">
        <v>480</v>
      </c>
      <c r="Q5467" s="12" t="n">
        <v>60</v>
      </c>
      <c r="R5467" s="12" t="n">
        <v>76</v>
      </c>
      <c r="S5467" s="12" t="inlineStr">
        <is>
          <t>Duct bank</t>
        </is>
      </c>
      <c r="T5467" s="17" t="n">
        <v>550</v>
      </c>
      <c r="U5467" s="17" t="n">
        <v>53</v>
      </c>
      <c r="V5467" s="17">
        <f>ROUNDUP((T5467+U5467+2*'Read Me'!$B$13)*(1+'Read Me'!$B$12),-1)</f>
        <v/>
      </c>
      <c r="W5467" s="17">
        <f>V5467*N5467*O5467</f>
        <v/>
      </c>
      <c r="X5467" s="12">
        <f>IF(LEFT(I5467,2)="MV",2*N5467*IF(L5467="1/C",O5467,1),0)</f>
        <v/>
      </c>
      <c r="Y5467" s="12">
        <f>IF(OR(LEFT(K5467,4)="LVAX",LEFT(K5467,6)="MV15AX",LEFT(K5467,4)="CTAX",LEFT(K5467,2)="W|"),2*N5467*O5467,0)</f>
        <v/>
      </c>
      <c r="Z5467" s="12" t="inlineStr">
        <is>
          <t>VD 2.8 %</t>
        </is>
      </c>
      <c r="AA5467" s="12">
        <f>N5467*O5467</f>
        <v/>
      </c>
    </row>
    <row r="5468">
      <c r="A5468" s="12" t="inlineStr">
        <is>
          <t>I-P-0212</t>
        </is>
      </c>
      <c r="B5468" s="12" t="inlineStr">
        <is>
          <t>I</t>
        </is>
      </c>
      <c r="C5468" s="12" t="inlineStr">
        <is>
          <t>Modular / portable power</t>
        </is>
      </c>
      <c r="D5468" s="12" t="inlineStr">
        <is>
          <t>480 V welding receptacle 3</t>
        </is>
      </c>
      <c r="E5468" s="12" t="inlineStr"/>
      <c r="F5468" s="12" t="inlineStr">
        <is>
          <t>PCM: power control module</t>
        </is>
      </c>
      <c r="G5468" s="12" t="inlineStr">
        <is>
          <t>RICE-4</t>
        </is>
      </c>
      <c r="H5468" s="12" t="inlineStr">
        <is>
          <t>RICE engine-generator 4</t>
        </is>
      </c>
      <c r="I5468" s="12" t="inlineStr">
        <is>
          <t>LV 600 V</t>
        </is>
      </c>
      <c r="J5468" s="12" t="inlineStr">
        <is>
          <t>Type TC-ER 600 V 3/C Cu XHHW-2 + ground, PVC jacket</t>
        </is>
      </c>
      <c r="K5468" s="12" t="inlineStr">
        <is>
          <t>LV|3/C+G|1</t>
        </is>
      </c>
      <c r="L5468" s="12" t="inlineStr">
        <is>
          <t>3/C+G</t>
        </is>
      </c>
      <c r="M5468" s="12" t="inlineStr">
        <is>
          <t>1</t>
        </is>
      </c>
      <c r="N5468" s="12" t="n">
        <v>1</v>
      </c>
      <c r="O5468" s="12" t="n">
        <v>1</v>
      </c>
      <c r="P5468" s="12" t="n">
        <v>480</v>
      </c>
      <c r="Q5468" s="12" t="n">
        <v>60</v>
      </c>
      <c r="R5468" s="12" t="n">
        <v>76</v>
      </c>
      <c r="S5468" s="12" t="inlineStr">
        <is>
          <t>Duct bank</t>
        </is>
      </c>
      <c r="T5468" s="17" t="n">
        <v>550</v>
      </c>
      <c r="U5468" s="17" t="n">
        <v>53</v>
      </c>
      <c r="V5468" s="17">
        <f>ROUNDUP((T5468+U5468+2*'Read Me'!$B$13)*(1+'Read Me'!$B$12),-1)</f>
        <v/>
      </c>
      <c r="W5468" s="17">
        <f>V5468*N5468*O5468</f>
        <v/>
      </c>
      <c r="X5468" s="12">
        <f>IF(LEFT(I5468,2)="MV",2*N5468*IF(L5468="1/C",O5468,1),0)</f>
        <v/>
      </c>
      <c r="Y5468" s="12">
        <f>IF(OR(LEFT(K5468,4)="LVAX",LEFT(K5468,6)="MV15AX",LEFT(K5468,4)="CTAX",LEFT(K5468,2)="W|"),2*N5468*O5468,0)</f>
        <v/>
      </c>
      <c r="Z5468" s="12" t="inlineStr">
        <is>
          <t>VD 2.8 %</t>
        </is>
      </c>
      <c r="AA5468" s="12">
        <f>N5468*O5468</f>
        <v/>
      </c>
    </row>
    <row r="5469">
      <c r="A5469" s="12" t="inlineStr">
        <is>
          <t>I-P-0213</t>
        </is>
      </c>
      <c r="B5469" s="12" t="inlineStr">
        <is>
          <t>I</t>
        </is>
      </c>
      <c r="C5469" s="12" t="inlineStr">
        <is>
          <t>Modular / portable power</t>
        </is>
      </c>
      <c r="D5469" s="12" t="inlineStr">
        <is>
          <t>480 V welding receptacle 4</t>
        </is>
      </c>
      <c r="E5469" s="12" t="inlineStr"/>
      <c r="F5469" s="12" t="inlineStr">
        <is>
          <t>PCM: power control module</t>
        </is>
      </c>
      <c r="G5469" s="12" t="inlineStr">
        <is>
          <t>RICE-4</t>
        </is>
      </c>
      <c r="H5469" s="12" t="inlineStr">
        <is>
          <t>RICE engine-generator 4</t>
        </is>
      </c>
      <c r="I5469" s="12" t="inlineStr">
        <is>
          <t>LV 600 V</t>
        </is>
      </c>
      <c r="J5469" s="12" t="inlineStr">
        <is>
          <t>Type TC-ER 600 V 3/C Cu XHHW-2 + ground, PVC jacket</t>
        </is>
      </c>
      <c r="K5469" s="12" t="inlineStr">
        <is>
          <t>LV|3/C+G|1</t>
        </is>
      </c>
      <c r="L5469" s="12" t="inlineStr">
        <is>
          <t>3/C+G</t>
        </is>
      </c>
      <c r="M5469" s="12" t="inlineStr">
        <is>
          <t>1</t>
        </is>
      </c>
      <c r="N5469" s="12" t="n">
        <v>1</v>
      </c>
      <c r="O5469" s="12" t="n">
        <v>1</v>
      </c>
      <c r="P5469" s="12" t="n">
        <v>480</v>
      </c>
      <c r="Q5469" s="12" t="n">
        <v>60</v>
      </c>
      <c r="R5469" s="12" t="n">
        <v>76</v>
      </c>
      <c r="S5469" s="12" t="inlineStr">
        <is>
          <t>Duct bank</t>
        </is>
      </c>
      <c r="T5469" s="17" t="n">
        <v>550</v>
      </c>
      <c r="U5469" s="17" t="n">
        <v>53</v>
      </c>
      <c r="V5469" s="17">
        <f>ROUNDUP((T5469+U5469+2*'Read Me'!$B$13)*(1+'Read Me'!$B$12),-1)</f>
        <v/>
      </c>
      <c r="W5469" s="17">
        <f>V5469*N5469*O5469</f>
        <v/>
      </c>
      <c r="X5469" s="12">
        <f>IF(LEFT(I5469,2)="MV",2*N5469*IF(L5469="1/C",O5469,1),0)</f>
        <v/>
      </c>
      <c r="Y5469" s="12">
        <f>IF(OR(LEFT(K5469,4)="LVAX",LEFT(K5469,6)="MV15AX",LEFT(K5469,4)="CTAX",LEFT(K5469,2)="W|"),2*N5469*O5469,0)</f>
        <v/>
      </c>
      <c r="Z5469" s="12" t="inlineStr">
        <is>
          <t>VD 2.8 %</t>
        </is>
      </c>
      <c r="AA5469" s="12">
        <f>N5469*O5469</f>
        <v/>
      </c>
    </row>
    <row r="5470">
      <c r="A5470" s="12" t="inlineStr">
        <is>
          <t>I-P-0214</t>
        </is>
      </c>
      <c r="B5470" s="12" t="inlineStr">
        <is>
          <t>I</t>
        </is>
      </c>
      <c r="C5470" s="12" t="inlineStr">
        <is>
          <t>Modular / portable power</t>
        </is>
      </c>
      <c r="D5470" s="12" t="inlineStr">
        <is>
          <t>Motor 1 of 6, 22 kW</t>
        </is>
      </c>
      <c r="E5470" s="12" t="inlineStr"/>
      <c r="F5470" s="12" t="inlineStr">
        <is>
          <t>PCM: power control module</t>
        </is>
      </c>
      <c r="G5470" s="12" t="inlineStr">
        <is>
          <t>RICE-5</t>
        </is>
      </c>
      <c r="H5470" s="12" t="inlineStr">
        <is>
          <t>RICE engine-generator 5</t>
        </is>
      </c>
      <c r="I5470" s="12" t="inlineStr">
        <is>
          <t>LV 600 V</t>
        </is>
      </c>
      <c r="J5470" s="12" t="inlineStr">
        <is>
          <t>Type TC-ER 600 V 3/C Cu XHHW-2 + ground, PVC jacket</t>
        </is>
      </c>
      <c r="K5470" s="12" t="inlineStr">
        <is>
          <t>LV|3/C+G|4</t>
        </is>
      </c>
      <c r="L5470" s="12" t="inlineStr">
        <is>
          <t>3/C+G</t>
        </is>
      </c>
      <c r="M5470" s="12" t="inlineStr">
        <is>
          <t>4</t>
        </is>
      </c>
      <c r="N5470" s="12" t="n">
        <v>1</v>
      </c>
      <c r="O5470" s="12" t="n">
        <v>1</v>
      </c>
      <c r="P5470" s="12" t="n">
        <v>480</v>
      </c>
      <c r="Q5470" s="12" t="n">
        <v>22</v>
      </c>
      <c r="R5470" s="12" t="n">
        <v>31.1</v>
      </c>
      <c r="S5470" s="12" t="inlineStr">
        <is>
          <t>Duct bank</t>
        </is>
      </c>
      <c r="T5470" s="17" t="n">
        <v>367</v>
      </c>
      <c r="U5470" s="17" t="n">
        <v>208</v>
      </c>
      <c r="V5470" s="17">
        <f>ROUNDUP((T5470+U5470+2*'Read Me'!$B$13)*(1+'Read Me'!$B$12),-1)</f>
        <v/>
      </c>
      <c r="W5470" s="17">
        <f>V5470*N5470*O5470</f>
        <v/>
      </c>
      <c r="X5470" s="12">
        <f>IF(LEFT(I5470,2)="MV",2*N5470*IF(L5470="1/C",O5470,1),0)</f>
        <v/>
      </c>
      <c r="Y5470" s="12">
        <f>IF(OR(LEFT(K5470,4)="LVAX",LEFT(K5470,6)="MV15AX",LEFT(K5470,4)="CTAX",LEFT(K5470,2)="W|"),2*N5470*O5470,0)</f>
        <v/>
      </c>
      <c r="Z5470" s="12" t="inlineStr">
        <is>
          <t>VD 2.2 %</t>
        </is>
      </c>
      <c r="AA5470" s="12">
        <f>N5470*O5470</f>
        <v/>
      </c>
    </row>
    <row r="5471">
      <c r="A5471" s="12" t="inlineStr">
        <is>
          <t>I-P-0215</t>
        </is>
      </c>
      <c r="B5471" s="12" t="inlineStr">
        <is>
          <t>I</t>
        </is>
      </c>
      <c r="C5471" s="12" t="inlineStr">
        <is>
          <t>Modular / portable power</t>
        </is>
      </c>
      <c r="D5471" s="12" t="inlineStr">
        <is>
          <t>Motor 2 of 6, 22 kW</t>
        </is>
      </c>
      <c r="E5471" s="12" t="inlineStr"/>
      <c r="F5471" s="12" t="inlineStr">
        <is>
          <t>PCM: power control module</t>
        </is>
      </c>
      <c r="G5471" s="12" t="inlineStr">
        <is>
          <t>RICE-5</t>
        </is>
      </c>
      <c r="H5471" s="12" t="inlineStr">
        <is>
          <t>RICE engine-generator 5</t>
        </is>
      </c>
      <c r="I5471" s="12" t="inlineStr">
        <is>
          <t>LV 600 V</t>
        </is>
      </c>
      <c r="J5471" s="12" t="inlineStr">
        <is>
          <t>Type TC-ER 600 V 3/C Cu XHHW-2 + ground, PVC jacket</t>
        </is>
      </c>
      <c r="K5471" s="12" t="inlineStr">
        <is>
          <t>LV|3/C+G|4</t>
        </is>
      </c>
      <c r="L5471" s="12" t="inlineStr">
        <is>
          <t>3/C+G</t>
        </is>
      </c>
      <c r="M5471" s="12" t="inlineStr">
        <is>
          <t>4</t>
        </is>
      </c>
      <c r="N5471" s="12" t="n">
        <v>1</v>
      </c>
      <c r="O5471" s="12" t="n">
        <v>1</v>
      </c>
      <c r="P5471" s="12" t="n">
        <v>480</v>
      </c>
      <c r="Q5471" s="12" t="n">
        <v>22</v>
      </c>
      <c r="R5471" s="12" t="n">
        <v>31.1</v>
      </c>
      <c r="S5471" s="12" t="inlineStr">
        <is>
          <t>Duct bank</t>
        </is>
      </c>
      <c r="T5471" s="17" t="n">
        <v>367</v>
      </c>
      <c r="U5471" s="17" t="n">
        <v>208</v>
      </c>
      <c r="V5471" s="17">
        <f>ROUNDUP((T5471+U5471+2*'Read Me'!$B$13)*(1+'Read Me'!$B$12),-1)</f>
        <v/>
      </c>
      <c r="W5471" s="17">
        <f>V5471*N5471*O5471</f>
        <v/>
      </c>
      <c r="X5471" s="12">
        <f>IF(LEFT(I5471,2)="MV",2*N5471*IF(L5471="1/C",O5471,1),0)</f>
        <v/>
      </c>
      <c r="Y5471" s="12">
        <f>IF(OR(LEFT(K5471,4)="LVAX",LEFT(K5471,6)="MV15AX",LEFT(K5471,4)="CTAX",LEFT(K5471,2)="W|"),2*N5471*O5471,0)</f>
        <v/>
      </c>
      <c r="Z5471" s="12" t="inlineStr">
        <is>
          <t>VD 2.2 %</t>
        </is>
      </c>
      <c r="AA5471" s="12">
        <f>N5471*O5471</f>
        <v/>
      </c>
    </row>
    <row r="5472">
      <c r="A5472" s="12" t="inlineStr">
        <is>
          <t>I-P-0216</t>
        </is>
      </c>
      <c r="B5472" s="12" t="inlineStr">
        <is>
          <t>I</t>
        </is>
      </c>
      <c r="C5472" s="12" t="inlineStr">
        <is>
          <t>Modular / portable power</t>
        </is>
      </c>
      <c r="D5472" s="12" t="inlineStr">
        <is>
          <t>Motor 3 of 6, 22 kW</t>
        </is>
      </c>
      <c r="E5472" s="12" t="inlineStr"/>
      <c r="F5472" s="12" t="inlineStr">
        <is>
          <t>PCM: power control module</t>
        </is>
      </c>
      <c r="G5472" s="12" t="inlineStr">
        <is>
          <t>RICE-5</t>
        </is>
      </c>
      <c r="H5472" s="12" t="inlineStr">
        <is>
          <t>RICE engine-generator 5</t>
        </is>
      </c>
      <c r="I5472" s="12" t="inlineStr">
        <is>
          <t>LV 600 V</t>
        </is>
      </c>
      <c r="J5472" s="12" t="inlineStr">
        <is>
          <t>Type TC-ER 600 V 3/C Cu XHHW-2 + ground, PVC jacket</t>
        </is>
      </c>
      <c r="K5472" s="12" t="inlineStr">
        <is>
          <t>LV|3/C+G|4</t>
        </is>
      </c>
      <c r="L5472" s="12" t="inlineStr">
        <is>
          <t>3/C+G</t>
        </is>
      </c>
      <c r="M5472" s="12" t="inlineStr">
        <is>
          <t>4</t>
        </is>
      </c>
      <c r="N5472" s="12" t="n">
        <v>1</v>
      </c>
      <c r="O5472" s="12" t="n">
        <v>1</v>
      </c>
      <c r="P5472" s="12" t="n">
        <v>480</v>
      </c>
      <c r="Q5472" s="12" t="n">
        <v>22</v>
      </c>
      <c r="R5472" s="12" t="n">
        <v>31.1</v>
      </c>
      <c r="S5472" s="12" t="inlineStr">
        <is>
          <t>Duct bank</t>
        </is>
      </c>
      <c r="T5472" s="17" t="n">
        <v>367</v>
      </c>
      <c r="U5472" s="17" t="n">
        <v>208</v>
      </c>
      <c r="V5472" s="17">
        <f>ROUNDUP((T5472+U5472+2*'Read Me'!$B$13)*(1+'Read Me'!$B$12),-1)</f>
        <v/>
      </c>
      <c r="W5472" s="17">
        <f>V5472*N5472*O5472</f>
        <v/>
      </c>
      <c r="X5472" s="12">
        <f>IF(LEFT(I5472,2)="MV",2*N5472*IF(L5472="1/C",O5472,1),0)</f>
        <v/>
      </c>
      <c r="Y5472" s="12">
        <f>IF(OR(LEFT(K5472,4)="LVAX",LEFT(K5472,6)="MV15AX",LEFT(K5472,4)="CTAX",LEFT(K5472,2)="W|"),2*N5472*O5472,0)</f>
        <v/>
      </c>
      <c r="Z5472" s="12" t="inlineStr">
        <is>
          <t>VD 2.2 %</t>
        </is>
      </c>
      <c r="AA5472" s="12">
        <f>N5472*O5472</f>
        <v/>
      </c>
    </row>
    <row r="5473">
      <c r="A5473" s="12" t="inlineStr">
        <is>
          <t>I-P-0217</t>
        </is>
      </c>
      <c r="B5473" s="12" t="inlineStr">
        <is>
          <t>I</t>
        </is>
      </c>
      <c r="C5473" s="12" t="inlineStr">
        <is>
          <t>Modular / portable power</t>
        </is>
      </c>
      <c r="D5473" s="12" t="inlineStr">
        <is>
          <t>Motor 4 of 6, 22 kW</t>
        </is>
      </c>
      <c r="E5473" s="12" t="inlineStr"/>
      <c r="F5473" s="12" t="inlineStr">
        <is>
          <t>PCM: power control module</t>
        </is>
      </c>
      <c r="G5473" s="12" t="inlineStr">
        <is>
          <t>RICE-5</t>
        </is>
      </c>
      <c r="H5473" s="12" t="inlineStr">
        <is>
          <t>RICE engine-generator 5</t>
        </is>
      </c>
      <c r="I5473" s="12" t="inlineStr">
        <is>
          <t>LV 600 V</t>
        </is>
      </c>
      <c r="J5473" s="12" t="inlineStr">
        <is>
          <t>Type TC-ER 600 V 3/C Cu XHHW-2 + ground, PVC jacket</t>
        </is>
      </c>
      <c r="K5473" s="12" t="inlineStr">
        <is>
          <t>LV|3/C+G|4</t>
        </is>
      </c>
      <c r="L5473" s="12" t="inlineStr">
        <is>
          <t>3/C+G</t>
        </is>
      </c>
      <c r="M5473" s="12" t="inlineStr">
        <is>
          <t>4</t>
        </is>
      </c>
      <c r="N5473" s="12" t="n">
        <v>1</v>
      </c>
      <c r="O5473" s="12" t="n">
        <v>1</v>
      </c>
      <c r="P5473" s="12" t="n">
        <v>480</v>
      </c>
      <c r="Q5473" s="12" t="n">
        <v>22</v>
      </c>
      <c r="R5473" s="12" t="n">
        <v>31.1</v>
      </c>
      <c r="S5473" s="12" t="inlineStr">
        <is>
          <t>Duct bank</t>
        </is>
      </c>
      <c r="T5473" s="17" t="n">
        <v>367</v>
      </c>
      <c r="U5473" s="17" t="n">
        <v>208</v>
      </c>
      <c r="V5473" s="17">
        <f>ROUNDUP((T5473+U5473+2*'Read Me'!$B$13)*(1+'Read Me'!$B$12),-1)</f>
        <v/>
      </c>
      <c r="W5473" s="17">
        <f>V5473*N5473*O5473</f>
        <v/>
      </c>
      <c r="X5473" s="12">
        <f>IF(LEFT(I5473,2)="MV",2*N5473*IF(L5473="1/C",O5473,1),0)</f>
        <v/>
      </c>
      <c r="Y5473" s="12">
        <f>IF(OR(LEFT(K5473,4)="LVAX",LEFT(K5473,6)="MV15AX",LEFT(K5473,4)="CTAX",LEFT(K5473,2)="W|"),2*N5473*O5473,0)</f>
        <v/>
      </c>
      <c r="Z5473" s="12" t="inlineStr">
        <is>
          <t>VD 2.2 %</t>
        </is>
      </c>
      <c r="AA5473" s="12">
        <f>N5473*O5473</f>
        <v/>
      </c>
    </row>
    <row r="5474">
      <c r="A5474" s="12" t="inlineStr">
        <is>
          <t>I-P-0218</t>
        </is>
      </c>
      <c r="B5474" s="12" t="inlineStr">
        <is>
          <t>I</t>
        </is>
      </c>
      <c r="C5474" s="12" t="inlineStr">
        <is>
          <t>Modular / portable power</t>
        </is>
      </c>
      <c r="D5474" s="12" t="inlineStr">
        <is>
          <t>Motor 5 of 6, 22 kW</t>
        </is>
      </c>
      <c r="E5474" s="12" t="inlineStr"/>
      <c r="F5474" s="12" t="inlineStr">
        <is>
          <t>PCM: power control module</t>
        </is>
      </c>
      <c r="G5474" s="12" t="inlineStr">
        <is>
          <t>RICE-5</t>
        </is>
      </c>
      <c r="H5474" s="12" t="inlineStr">
        <is>
          <t>RICE engine-generator 5</t>
        </is>
      </c>
      <c r="I5474" s="12" t="inlineStr">
        <is>
          <t>LV 600 V</t>
        </is>
      </c>
      <c r="J5474" s="12" t="inlineStr">
        <is>
          <t>Type TC-ER 600 V 3/C Cu XHHW-2 + ground, PVC jacket</t>
        </is>
      </c>
      <c r="K5474" s="12" t="inlineStr">
        <is>
          <t>LV|3/C+G|4</t>
        </is>
      </c>
      <c r="L5474" s="12" t="inlineStr">
        <is>
          <t>3/C+G</t>
        </is>
      </c>
      <c r="M5474" s="12" t="inlineStr">
        <is>
          <t>4</t>
        </is>
      </c>
      <c r="N5474" s="12" t="n">
        <v>1</v>
      </c>
      <c r="O5474" s="12" t="n">
        <v>1</v>
      </c>
      <c r="P5474" s="12" t="n">
        <v>480</v>
      </c>
      <c r="Q5474" s="12" t="n">
        <v>22</v>
      </c>
      <c r="R5474" s="12" t="n">
        <v>31.1</v>
      </c>
      <c r="S5474" s="12" t="inlineStr">
        <is>
          <t>Duct bank</t>
        </is>
      </c>
      <c r="T5474" s="17" t="n">
        <v>367</v>
      </c>
      <c r="U5474" s="17" t="n">
        <v>208</v>
      </c>
      <c r="V5474" s="17">
        <f>ROUNDUP((T5474+U5474+2*'Read Me'!$B$13)*(1+'Read Me'!$B$12),-1)</f>
        <v/>
      </c>
      <c r="W5474" s="17">
        <f>V5474*N5474*O5474</f>
        <v/>
      </c>
      <c r="X5474" s="12">
        <f>IF(LEFT(I5474,2)="MV",2*N5474*IF(L5474="1/C",O5474,1),0)</f>
        <v/>
      </c>
      <c r="Y5474" s="12">
        <f>IF(OR(LEFT(K5474,4)="LVAX",LEFT(K5474,6)="MV15AX",LEFT(K5474,4)="CTAX",LEFT(K5474,2)="W|"),2*N5474*O5474,0)</f>
        <v/>
      </c>
      <c r="Z5474" s="12" t="inlineStr">
        <is>
          <t>VD 2.2 %</t>
        </is>
      </c>
      <c r="AA5474" s="12">
        <f>N5474*O5474</f>
        <v/>
      </c>
    </row>
    <row r="5475">
      <c r="A5475" s="12" t="inlineStr">
        <is>
          <t>I-P-0219</t>
        </is>
      </c>
      <c r="B5475" s="12" t="inlineStr">
        <is>
          <t>I</t>
        </is>
      </c>
      <c r="C5475" s="12" t="inlineStr">
        <is>
          <t>Modular / portable power</t>
        </is>
      </c>
      <c r="D5475" s="12" t="inlineStr">
        <is>
          <t>Motor 6 of 6, 22 kW</t>
        </is>
      </c>
      <c r="E5475" s="12" t="inlineStr"/>
      <c r="F5475" s="12" t="inlineStr">
        <is>
          <t>PCM: power control module</t>
        </is>
      </c>
      <c r="G5475" s="12" t="inlineStr">
        <is>
          <t>RICE-5</t>
        </is>
      </c>
      <c r="H5475" s="12" t="inlineStr">
        <is>
          <t>RICE engine-generator 5</t>
        </is>
      </c>
      <c r="I5475" s="12" t="inlineStr">
        <is>
          <t>LV 600 V</t>
        </is>
      </c>
      <c r="J5475" s="12" t="inlineStr">
        <is>
          <t>Type TC-ER 600 V 3/C Cu XHHW-2 + ground, PVC jacket</t>
        </is>
      </c>
      <c r="K5475" s="12" t="inlineStr">
        <is>
          <t>LV|3/C+G|4</t>
        </is>
      </c>
      <c r="L5475" s="12" t="inlineStr">
        <is>
          <t>3/C+G</t>
        </is>
      </c>
      <c r="M5475" s="12" t="inlineStr">
        <is>
          <t>4</t>
        </is>
      </c>
      <c r="N5475" s="12" t="n">
        <v>1</v>
      </c>
      <c r="O5475" s="12" t="n">
        <v>1</v>
      </c>
      <c r="P5475" s="12" t="n">
        <v>480</v>
      </c>
      <c r="Q5475" s="12" t="n">
        <v>22</v>
      </c>
      <c r="R5475" s="12" t="n">
        <v>31.1</v>
      </c>
      <c r="S5475" s="12" t="inlineStr">
        <is>
          <t>Duct bank</t>
        </is>
      </c>
      <c r="T5475" s="17" t="n">
        <v>367</v>
      </c>
      <c r="U5475" s="17" t="n">
        <v>208</v>
      </c>
      <c r="V5475" s="17">
        <f>ROUNDUP((T5475+U5475+2*'Read Me'!$B$13)*(1+'Read Me'!$B$12),-1)</f>
        <v/>
      </c>
      <c r="W5475" s="17">
        <f>V5475*N5475*O5475</f>
        <v/>
      </c>
      <c r="X5475" s="12">
        <f>IF(LEFT(I5475,2)="MV",2*N5475*IF(L5475="1/C",O5475,1),0)</f>
        <v/>
      </c>
      <c r="Y5475" s="12">
        <f>IF(OR(LEFT(K5475,4)="LVAX",LEFT(K5475,6)="MV15AX",LEFT(K5475,4)="CTAX",LEFT(K5475,2)="W|"),2*N5475*O5475,0)</f>
        <v/>
      </c>
      <c r="Z5475" s="12" t="inlineStr">
        <is>
          <t>VD 2.2 %</t>
        </is>
      </c>
      <c r="AA5475" s="12">
        <f>N5475*O5475</f>
        <v/>
      </c>
    </row>
    <row r="5476">
      <c r="A5476" s="12" t="inlineStr">
        <is>
          <t>I-P-0220</t>
        </is>
      </c>
      <c r="B5476" s="12" t="inlineStr">
        <is>
          <t>I</t>
        </is>
      </c>
      <c r="C5476" s="12" t="inlineStr">
        <is>
          <t>Modular / portable power</t>
        </is>
      </c>
      <c r="D5476" s="12" t="inlineStr">
        <is>
          <t>480 V welding receptacle 1</t>
        </is>
      </c>
      <c r="E5476" s="12" t="inlineStr"/>
      <c r="F5476" s="12" t="inlineStr">
        <is>
          <t>PCM: power control module</t>
        </is>
      </c>
      <c r="G5476" s="12" t="inlineStr">
        <is>
          <t>RICE-5</t>
        </is>
      </c>
      <c r="H5476" s="12" t="inlineStr">
        <is>
          <t>RICE engine-generator 5</t>
        </is>
      </c>
      <c r="I5476" s="12" t="inlineStr">
        <is>
          <t>LV 600 V</t>
        </is>
      </c>
      <c r="J5476" s="12" t="inlineStr">
        <is>
          <t>Type TC-ER 600 V 3/C Cu XHHW-2 + ground, PVC jacket</t>
        </is>
      </c>
      <c r="K5476" s="12" t="inlineStr">
        <is>
          <t>LV|3/C+G|1</t>
        </is>
      </c>
      <c r="L5476" s="12" t="inlineStr">
        <is>
          <t>3/C+G</t>
        </is>
      </c>
      <c r="M5476" s="12" t="inlineStr">
        <is>
          <t>1</t>
        </is>
      </c>
      <c r="N5476" s="12" t="n">
        <v>1</v>
      </c>
      <c r="O5476" s="12" t="n">
        <v>1</v>
      </c>
      <c r="P5476" s="12" t="n">
        <v>480</v>
      </c>
      <c r="Q5476" s="12" t="n">
        <v>60</v>
      </c>
      <c r="R5476" s="12" t="n">
        <v>76</v>
      </c>
      <c r="S5476" s="12" t="inlineStr">
        <is>
          <t>Duct bank</t>
        </is>
      </c>
      <c r="T5476" s="17" t="n">
        <v>367</v>
      </c>
      <c r="U5476" s="17" t="n">
        <v>208</v>
      </c>
      <c r="V5476" s="17">
        <f>ROUNDUP((T5476+U5476+2*'Read Me'!$B$13)*(1+'Read Me'!$B$12),-1)</f>
        <v/>
      </c>
      <c r="W5476" s="17">
        <f>V5476*N5476*O5476</f>
        <v/>
      </c>
      <c r="X5476" s="12">
        <f>IF(LEFT(I5476,2)="MV",2*N5476*IF(L5476="1/C",O5476,1),0)</f>
        <v/>
      </c>
      <c r="Y5476" s="12">
        <f>IF(OR(LEFT(K5476,4)="LVAX",LEFT(K5476,6)="MV15AX",LEFT(K5476,4)="CTAX",LEFT(K5476,2)="W|"),2*N5476*O5476,0)</f>
        <v/>
      </c>
      <c r="Z5476" s="12" t="inlineStr">
        <is>
          <t>VD 2.7 %</t>
        </is>
      </c>
      <c r="AA5476" s="12">
        <f>N5476*O5476</f>
        <v/>
      </c>
    </row>
    <row r="5477">
      <c r="A5477" s="12" t="inlineStr">
        <is>
          <t>I-P-0221</t>
        </is>
      </c>
      <c r="B5477" s="12" t="inlineStr">
        <is>
          <t>I</t>
        </is>
      </c>
      <c r="C5477" s="12" t="inlineStr">
        <is>
          <t>Modular / portable power</t>
        </is>
      </c>
      <c r="D5477" s="12" t="inlineStr">
        <is>
          <t>480 V welding receptacle 2</t>
        </is>
      </c>
      <c r="E5477" s="12" t="inlineStr"/>
      <c r="F5477" s="12" t="inlineStr">
        <is>
          <t>PCM: power control module</t>
        </is>
      </c>
      <c r="G5477" s="12" t="inlineStr">
        <is>
          <t>RICE-5</t>
        </is>
      </c>
      <c r="H5477" s="12" t="inlineStr">
        <is>
          <t>RICE engine-generator 5</t>
        </is>
      </c>
      <c r="I5477" s="12" t="inlineStr">
        <is>
          <t>LV 600 V</t>
        </is>
      </c>
      <c r="J5477" s="12" t="inlineStr">
        <is>
          <t>Type TC-ER 600 V 3/C Cu XHHW-2 + ground, PVC jacket</t>
        </is>
      </c>
      <c r="K5477" s="12" t="inlineStr">
        <is>
          <t>LV|3/C+G|1</t>
        </is>
      </c>
      <c r="L5477" s="12" t="inlineStr">
        <is>
          <t>3/C+G</t>
        </is>
      </c>
      <c r="M5477" s="12" t="inlineStr">
        <is>
          <t>1</t>
        </is>
      </c>
      <c r="N5477" s="12" t="n">
        <v>1</v>
      </c>
      <c r="O5477" s="12" t="n">
        <v>1</v>
      </c>
      <c r="P5477" s="12" t="n">
        <v>480</v>
      </c>
      <c r="Q5477" s="12" t="n">
        <v>60</v>
      </c>
      <c r="R5477" s="12" t="n">
        <v>76</v>
      </c>
      <c r="S5477" s="12" t="inlineStr">
        <is>
          <t>Duct bank</t>
        </is>
      </c>
      <c r="T5477" s="17" t="n">
        <v>367</v>
      </c>
      <c r="U5477" s="17" t="n">
        <v>208</v>
      </c>
      <c r="V5477" s="17">
        <f>ROUNDUP((T5477+U5477+2*'Read Me'!$B$13)*(1+'Read Me'!$B$12),-1)</f>
        <v/>
      </c>
      <c r="W5477" s="17">
        <f>V5477*N5477*O5477</f>
        <v/>
      </c>
      <c r="X5477" s="12">
        <f>IF(LEFT(I5477,2)="MV",2*N5477*IF(L5477="1/C",O5477,1),0)</f>
        <v/>
      </c>
      <c r="Y5477" s="12">
        <f>IF(OR(LEFT(K5477,4)="LVAX",LEFT(K5477,6)="MV15AX",LEFT(K5477,4)="CTAX",LEFT(K5477,2)="W|"),2*N5477*O5477,0)</f>
        <v/>
      </c>
      <c r="Z5477" s="12" t="inlineStr">
        <is>
          <t>VD 2.7 %</t>
        </is>
      </c>
      <c r="AA5477" s="12">
        <f>N5477*O5477</f>
        <v/>
      </c>
    </row>
    <row r="5478">
      <c r="A5478" s="12" t="inlineStr">
        <is>
          <t>I-P-0222</t>
        </is>
      </c>
      <c r="B5478" s="12" t="inlineStr">
        <is>
          <t>I</t>
        </is>
      </c>
      <c r="C5478" s="12" t="inlineStr">
        <is>
          <t>Modular / portable power</t>
        </is>
      </c>
      <c r="D5478" s="12" t="inlineStr">
        <is>
          <t>480 V welding receptacle 3</t>
        </is>
      </c>
      <c r="E5478" s="12" t="inlineStr"/>
      <c r="F5478" s="12" t="inlineStr">
        <is>
          <t>PCM: power control module</t>
        </is>
      </c>
      <c r="G5478" s="12" t="inlineStr">
        <is>
          <t>RICE-5</t>
        </is>
      </c>
      <c r="H5478" s="12" t="inlineStr">
        <is>
          <t>RICE engine-generator 5</t>
        </is>
      </c>
      <c r="I5478" s="12" t="inlineStr">
        <is>
          <t>LV 600 V</t>
        </is>
      </c>
      <c r="J5478" s="12" t="inlineStr">
        <is>
          <t>Type TC-ER 600 V 3/C Cu XHHW-2 + ground, PVC jacket</t>
        </is>
      </c>
      <c r="K5478" s="12" t="inlineStr">
        <is>
          <t>LV|3/C+G|1</t>
        </is>
      </c>
      <c r="L5478" s="12" t="inlineStr">
        <is>
          <t>3/C+G</t>
        </is>
      </c>
      <c r="M5478" s="12" t="inlineStr">
        <is>
          <t>1</t>
        </is>
      </c>
      <c r="N5478" s="12" t="n">
        <v>1</v>
      </c>
      <c r="O5478" s="12" t="n">
        <v>1</v>
      </c>
      <c r="P5478" s="12" t="n">
        <v>480</v>
      </c>
      <c r="Q5478" s="12" t="n">
        <v>60</v>
      </c>
      <c r="R5478" s="12" t="n">
        <v>76</v>
      </c>
      <c r="S5478" s="12" t="inlineStr">
        <is>
          <t>Duct bank</t>
        </is>
      </c>
      <c r="T5478" s="17" t="n">
        <v>367</v>
      </c>
      <c r="U5478" s="17" t="n">
        <v>208</v>
      </c>
      <c r="V5478" s="17">
        <f>ROUNDUP((T5478+U5478+2*'Read Me'!$B$13)*(1+'Read Me'!$B$12),-1)</f>
        <v/>
      </c>
      <c r="W5478" s="17">
        <f>V5478*N5478*O5478</f>
        <v/>
      </c>
      <c r="X5478" s="12">
        <f>IF(LEFT(I5478,2)="MV",2*N5478*IF(L5478="1/C",O5478,1),0)</f>
        <v/>
      </c>
      <c r="Y5478" s="12">
        <f>IF(OR(LEFT(K5478,4)="LVAX",LEFT(K5478,6)="MV15AX",LEFT(K5478,4)="CTAX",LEFT(K5478,2)="W|"),2*N5478*O5478,0)</f>
        <v/>
      </c>
      <c r="Z5478" s="12" t="inlineStr">
        <is>
          <t>VD 2.7 %</t>
        </is>
      </c>
      <c r="AA5478" s="12">
        <f>N5478*O5478</f>
        <v/>
      </c>
    </row>
    <row r="5479">
      <c r="A5479" s="12" t="inlineStr">
        <is>
          <t>I-P-0223</t>
        </is>
      </c>
      <c r="B5479" s="12" t="inlineStr">
        <is>
          <t>I</t>
        </is>
      </c>
      <c r="C5479" s="12" t="inlineStr">
        <is>
          <t>Modular / portable power</t>
        </is>
      </c>
      <c r="D5479" s="12" t="inlineStr">
        <is>
          <t>480 V welding receptacle 4</t>
        </is>
      </c>
      <c r="E5479" s="12" t="inlineStr"/>
      <c r="F5479" s="12" t="inlineStr">
        <is>
          <t>PCM: power control module</t>
        </is>
      </c>
      <c r="G5479" s="12" t="inlineStr">
        <is>
          <t>RICE-5</t>
        </is>
      </c>
      <c r="H5479" s="12" t="inlineStr">
        <is>
          <t>RICE engine-generator 5</t>
        </is>
      </c>
      <c r="I5479" s="12" t="inlineStr">
        <is>
          <t>LV 600 V</t>
        </is>
      </c>
      <c r="J5479" s="12" t="inlineStr">
        <is>
          <t>Type TC-ER 600 V 3/C Cu XHHW-2 + ground, PVC jacket</t>
        </is>
      </c>
      <c r="K5479" s="12" t="inlineStr">
        <is>
          <t>LV|3/C+G|1</t>
        </is>
      </c>
      <c r="L5479" s="12" t="inlineStr">
        <is>
          <t>3/C+G</t>
        </is>
      </c>
      <c r="M5479" s="12" t="inlineStr">
        <is>
          <t>1</t>
        </is>
      </c>
      <c r="N5479" s="12" t="n">
        <v>1</v>
      </c>
      <c r="O5479" s="12" t="n">
        <v>1</v>
      </c>
      <c r="P5479" s="12" t="n">
        <v>480</v>
      </c>
      <c r="Q5479" s="12" t="n">
        <v>60</v>
      </c>
      <c r="R5479" s="12" t="n">
        <v>76</v>
      </c>
      <c r="S5479" s="12" t="inlineStr">
        <is>
          <t>Duct bank</t>
        </is>
      </c>
      <c r="T5479" s="17" t="n">
        <v>367</v>
      </c>
      <c r="U5479" s="17" t="n">
        <v>208</v>
      </c>
      <c r="V5479" s="17">
        <f>ROUNDUP((T5479+U5479+2*'Read Me'!$B$13)*(1+'Read Me'!$B$12),-1)</f>
        <v/>
      </c>
      <c r="W5479" s="17">
        <f>V5479*N5479*O5479</f>
        <v/>
      </c>
      <c r="X5479" s="12">
        <f>IF(LEFT(I5479,2)="MV",2*N5479*IF(L5479="1/C",O5479,1),0)</f>
        <v/>
      </c>
      <c r="Y5479" s="12">
        <f>IF(OR(LEFT(K5479,4)="LVAX",LEFT(K5479,6)="MV15AX",LEFT(K5479,4)="CTAX",LEFT(K5479,2)="W|"),2*N5479*O5479,0)</f>
        <v/>
      </c>
      <c r="Z5479" s="12" t="inlineStr">
        <is>
          <t>VD 2.7 %</t>
        </is>
      </c>
      <c r="AA5479" s="12">
        <f>N5479*O5479</f>
        <v/>
      </c>
    </row>
    <row r="5480">
      <c r="A5480" s="12" t="inlineStr">
        <is>
          <t>I-P-0224</t>
        </is>
      </c>
      <c r="B5480" s="12" t="inlineStr">
        <is>
          <t>I</t>
        </is>
      </c>
      <c r="C5480" s="12" t="inlineStr">
        <is>
          <t>Modular / portable power</t>
        </is>
      </c>
      <c r="D5480" s="12" t="inlineStr">
        <is>
          <t>Motor 1 of 6, 22 kW</t>
        </is>
      </c>
      <c r="E5480" s="12" t="inlineStr"/>
      <c r="F5480" s="12" t="inlineStr">
        <is>
          <t>PCM: power control module</t>
        </is>
      </c>
      <c r="G5480" s="12" t="inlineStr">
        <is>
          <t>RICE-6</t>
        </is>
      </c>
      <c r="H5480" s="12" t="inlineStr">
        <is>
          <t>RICE engine-generator 6</t>
        </is>
      </c>
      <c r="I5480" s="12" t="inlineStr">
        <is>
          <t>LV 600 V</t>
        </is>
      </c>
      <c r="J5480" s="12" t="inlineStr">
        <is>
          <t>Type TC-ER 600 V 3/C Cu XHHW-2 + ground, PVC jacket</t>
        </is>
      </c>
      <c r="K5480" s="12" t="inlineStr">
        <is>
          <t>LV|3/C+G|4</t>
        </is>
      </c>
      <c r="L5480" s="12" t="inlineStr">
        <is>
          <t>3/C+G</t>
        </is>
      </c>
      <c r="M5480" s="12" t="inlineStr">
        <is>
          <t>4</t>
        </is>
      </c>
      <c r="N5480" s="12" t="n">
        <v>1</v>
      </c>
      <c r="O5480" s="12" t="n">
        <v>1</v>
      </c>
      <c r="P5480" s="12" t="n">
        <v>480</v>
      </c>
      <c r="Q5480" s="12" t="n">
        <v>22</v>
      </c>
      <c r="R5480" s="12" t="n">
        <v>31.1</v>
      </c>
      <c r="S5480" s="12" t="inlineStr">
        <is>
          <t>Duct bank</t>
        </is>
      </c>
      <c r="T5480" s="17" t="n">
        <v>367</v>
      </c>
      <c r="U5480" s="17" t="n">
        <v>180</v>
      </c>
      <c r="V5480" s="17">
        <f>ROUNDUP((T5480+U5480+2*'Read Me'!$B$13)*(1+'Read Me'!$B$12),-1)</f>
        <v/>
      </c>
      <c r="W5480" s="17">
        <f>V5480*N5480*O5480</f>
        <v/>
      </c>
      <c r="X5480" s="12">
        <f>IF(LEFT(I5480,2)="MV",2*N5480*IF(L5480="1/C",O5480,1),0)</f>
        <v/>
      </c>
      <c r="Y5480" s="12">
        <f>IF(OR(LEFT(K5480,4)="LVAX",LEFT(K5480,6)="MV15AX",LEFT(K5480,4)="CTAX",LEFT(K5480,2)="W|"),2*N5480*O5480,0)</f>
        <v/>
      </c>
      <c r="Z5480" s="12" t="inlineStr">
        <is>
          <t>VD 2.1 %</t>
        </is>
      </c>
      <c r="AA5480" s="12">
        <f>N5480*O5480</f>
        <v/>
      </c>
    </row>
    <row r="5481">
      <c r="A5481" s="12" t="inlineStr">
        <is>
          <t>I-P-0225</t>
        </is>
      </c>
      <c r="B5481" s="12" t="inlineStr">
        <is>
          <t>I</t>
        </is>
      </c>
      <c r="C5481" s="12" t="inlineStr">
        <is>
          <t>Modular / portable power</t>
        </is>
      </c>
      <c r="D5481" s="12" t="inlineStr">
        <is>
          <t>Motor 2 of 6, 22 kW</t>
        </is>
      </c>
      <c r="E5481" s="12" t="inlineStr"/>
      <c r="F5481" s="12" t="inlineStr">
        <is>
          <t>PCM: power control module</t>
        </is>
      </c>
      <c r="G5481" s="12" t="inlineStr">
        <is>
          <t>RICE-6</t>
        </is>
      </c>
      <c r="H5481" s="12" t="inlineStr">
        <is>
          <t>RICE engine-generator 6</t>
        </is>
      </c>
      <c r="I5481" s="12" t="inlineStr">
        <is>
          <t>LV 600 V</t>
        </is>
      </c>
      <c r="J5481" s="12" t="inlineStr">
        <is>
          <t>Type TC-ER 600 V 3/C Cu XHHW-2 + ground, PVC jacket</t>
        </is>
      </c>
      <c r="K5481" s="12" t="inlineStr">
        <is>
          <t>LV|3/C+G|4</t>
        </is>
      </c>
      <c r="L5481" s="12" t="inlineStr">
        <is>
          <t>3/C+G</t>
        </is>
      </c>
      <c r="M5481" s="12" t="inlineStr">
        <is>
          <t>4</t>
        </is>
      </c>
      <c r="N5481" s="12" t="n">
        <v>1</v>
      </c>
      <c r="O5481" s="12" t="n">
        <v>1</v>
      </c>
      <c r="P5481" s="12" t="n">
        <v>480</v>
      </c>
      <c r="Q5481" s="12" t="n">
        <v>22</v>
      </c>
      <c r="R5481" s="12" t="n">
        <v>31.1</v>
      </c>
      <c r="S5481" s="12" t="inlineStr">
        <is>
          <t>Duct bank</t>
        </is>
      </c>
      <c r="T5481" s="17" t="n">
        <v>367</v>
      </c>
      <c r="U5481" s="17" t="n">
        <v>180</v>
      </c>
      <c r="V5481" s="17">
        <f>ROUNDUP((T5481+U5481+2*'Read Me'!$B$13)*(1+'Read Me'!$B$12),-1)</f>
        <v/>
      </c>
      <c r="W5481" s="17">
        <f>V5481*N5481*O5481</f>
        <v/>
      </c>
      <c r="X5481" s="12">
        <f>IF(LEFT(I5481,2)="MV",2*N5481*IF(L5481="1/C",O5481,1),0)</f>
        <v/>
      </c>
      <c r="Y5481" s="12">
        <f>IF(OR(LEFT(K5481,4)="LVAX",LEFT(K5481,6)="MV15AX",LEFT(K5481,4)="CTAX",LEFT(K5481,2)="W|"),2*N5481*O5481,0)</f>
        <v/>
      </c>
      <c r="Z5481" s="12" t="inlineStr">
        <is>
          <t>VD 2.1 %</t>
        </is>
      </c>
      <c r="AA5481" s="12">
        <f>N5481*O5481</f>
        <v/>
      </c>
    </row>
    <row r="5482">
      <c r="A5482" s="12" t="inlineStr">
        <is>
          <t>I-P-0226</t>
        </is>
      </c>
      <c r="B5482" s="12" t="inlineStr">
        <is>
          <t>I</t>
        </is>
      </c>
      <c r="C5482" s="12" t="inlineStr">
        <is>
          <t>Modular / portable power</t>
        </is>
      </c>
      <c r="D5482" s="12" t="inlineStr">
        <is>
          <t>Motor 3 of 6, 22 kW</t>
        </is>
      </c>
      <c r="E5482" s="12" t="inlineStr"/>
      <c r="F5482" s="12" t="inlineStr">
        <is>
          <t>PCM: power control module</t>
        </is>
      </c>
      <c r="G5482" s="12" t="inlineStr">
        <is>
          <t>RICE-6</t>
        </is>
      </c>
      <c r="H5482" s="12" t="inlineStr">
        <is>
          <t>RICE engine-generator 6</t>
        </is>
      </c>
      <c r="I5482" s="12" t="inlineStr">
        <is>
          <t>LV 600 V</t>
        </is>
      </c>
      <c r="J5482" s="12" t="inlineStr">
        <is>
          <t>Type TC-ER 600 V 3/C Cu XHHW-2 + ground, PVC jacket</t>
        </is>
      </c>
      <c r="K5482" s="12" t="inlineStr">
        <is>
          <t>LV|3/C+G|4</t>
        </is>
      </c>
      <c r="L5482" s="12" t="inlineStr">
        <is>
          <t>3/C+G</t>
        </is>
      </c>
      <c r="M5482" s="12" t="inlineStr">
        <is>
          <t>4</t>
        </is>
      </c>
      <c r="N5482" s="12" t="n">
        <v>1</v>
      </c>
      <c r="O5482" s="12" t="n">
        <v>1</v>
      </c>
      <c r="P5482" s="12" t="n">
        <v>480</v>
      </c>
      <c r="Q5482" s="12" t="n">
        <v>22</v>
      </c>
      <c r="R5482" s="12" t="n">
        <v>31.1</v>
      </c>
      <c r="S5482" s="12" t="inlineStr">
        <is>
          <t>Duct bank</t>
        </is>
      </c>
      <c r="T5482" s="17" t="n">
        <v>367</v>
      </c>
      <c r="U5482" s="17" t="n">
        <v>180</v>
      </c>
      <c r="V5482" s="17">
        <f>ROUNDUP((T5482+U5482+2*'Read Me'!$B$13)*(1+'Read Me'!$B$12),-1)</f>
        <v/>
      </c>
      <c r="W5482" s="17">
        <f>V5482*N5482*O5482</f>
        <v/>
      </c>
      <c r="X5482" s="12">
        <f>IF(LEFT(I5482,2)="MV",2*N5482*IF(L5482="1/C",O5482,1),0)</f>
        <v/>
      </c>
      <c r="Y5482" s="12">
        <f>IF(OR(LEFT(K5482,4)="LVAX",LEFT(K5482,6)="MV15AX",LEFT(K5482,4)="CTAX",LEFT(K5482,2)="W|"),2*N5482*O5482,0)</f>
        <v/>
      </c>
      <c r="Z5482" s="12" t="inlineStr">
        <is>
          <t>VD 2.1 %</t>
        </is>
      </c>
      <c r="AA5482" s="12">
        <f>N5482*O5482</f>
        <v/>
      </c>
    </row>
    <row r="5483">
      <c r="A5483" s="12" t="inlineStr">
        <is>
          <t>I-P-0227</t>
        </is>
      </c>
      <c r="B5483" s="12" t="inlineStr">
        <is>
          <t>I</t>
        </is>
      </c>
      <c r="C5483" s="12" t="inlineStr">
        <is>
          <t>Modular / portable power</t>
        </is>
      </c>
      <c r="D5483" s="12" t="inlineStr">
        <is>
          <t>Motor 4 of 6, 22 kW</t>
        </is>
      </c>
      <c r="E5483" s="12" t="inlineStr"/>
      <c r="F5483" s="12" t="inlineStr">
        <is>
          <t>PCM: power control module</t>
        </is>
      </c>
      <c r="G5483" s="12" t="inlineStr">
        <is>
          <t>RICE-6</t>
        </is>
      </c>
      <c r="H5483" s="12" t="inlineStr">
        <is>
          <t>RICE engine-generator 6</t>
        </is>
      </c>
      <c r="I5483" s="12" t="inlineStr">
        <is>
          <t>LV 600 V</t>
        </is>
      </c>
      <c r="J5483" s="12" t="inlineStr">
        <is>
          <t>Type TC-ER 600 V 3/C Cu XHHW-2 + ground, PVC jacket</t>
        </is>
      </c>
      <c r="K5483" s="12" t="inlineStr">
        <is>
          <t>LV|3/C+G|4</t>
        </is>
      </c>
      <c r="L5483" s="12" t="inlineStr">
        <is>
          <t>3/C+G</t>
        </is>
      </c>
      <c r="M5483" s="12" t="inlineStr">
        <is>
          <t>4</t>
        </is>
      </c>
      <c r="N5483" s="12" t="n">
        <v>1</v>
      </c>
      <c r="O5483" s="12" t="n">
        <v>1</v>
      </c>
      <c r="P5483" s="12" t="n">
        <v>480</v>
      </c>
      <c r="Q5483" s="12" t="n">
        <v>22</v>
      </c>
      <c r="R5483" s="12" t="n">
        <v>31.1</v>
      </c>
      <c r="S5483" s="12" t="inlineStr">
        <is>
          <t>Duct bank</t>
        </is>
      </c>
      <c r="T5483" s="17" t="n">
        <v>367</v>
      </c>
      <c r="U5483" s="17" t="n">
        <v>180</v>
      </c>
      <c r="V5483" s="17">
        <f>ROUNDUP((T5483+U5483+2*'Read Me'!$B$13)*(1+'Read Me'!$B$12),-1)</f>
        <v/>
      </c>
      <c r="W5483" s="17">
        <f>V5483*N5483*O5483</f>
        <v/>
      </c>
      <c r="X5483" s="12">
        <f>IF(LEFT(I5483,2)="MV",2*N5483*IF(L5483="1/C",O5483,1),0)</f>
        <v/>
      </c>
      <c r="Y5483" s="12">
        <f>IF(OR(LEFT(K5483,4)="LVAX",LEFT(K5483,6)="MV15AX",LEFT(K5483,4)="CTAX",LEFT(K5483,2)="W|"),2*N5483*O5483,0)</f>
        <v/>
      </c>
      <c r="Z5483" s="12" t="inlineStr">
        <is>
          <t>VD 2.1 %</t>
        </is>
      </c>
      <c r="AA5483" s="12">
        <f>N5483*O5483</f>
        <v/>
      </c>
    </row>
    <row r="5484">
      <c r="A5484" s="12" t="inlineStr">
        <is>
          <t>I-P-0228</t>
        </is>
      </c>
      <c r="B5484" s="12" t="inlineStr">
        <is>
          <t>I</t>
        </is>
      </c>
      <c r="C5484" s="12" t="inlineStr">
        <is>
          <t>Modular / portable power</t>
        </is>
      </c>
      <c r="D5484" s="12" t="inlineStr">
        <is>
          <t>Motor 5 of 6, 22 kW</t>
        </is>
      </c>
      <c r="E5484" s="12" t="inlineStr"/>
      <c r="F5484" s="12" t="inlineStr">
        <is>
          <t>PCM: power control module</t>
        </is>
      </c>
      <c r="G5484" s="12" t="inlineStr">
        <is>
          <t>RICE-6</t>
        </is>
      </c>
      <c r="H5484" s="12" t="inlineStr">
        <is>
          <t>RICE engine-generator 6</t>
        </is>
      </c>
      <c r="I5484" s="12" t="inlineStr">
        <is>
          <t>LV 600 V</t>
        </is>
      </c>
      <c r="J5484" s="12" t="inlineStr">
        <is>
          <t>Type TC-ER 600 V 3/C Cu XHHW-2 + ground, PVC jacket</t>
        </is>
      </c>
      <c r="K5484" s="12" t="inlineStr">
        <is>
          <t>LV|3/C+G|4</t>
        </is>
      </c>
      <c r="L5484" s="12" t="inlineStr">
        <is>
          <t>3/C+G</t>
        </is>
      </c>
      <c r="M5484" s="12" t="inlineStr">
        <is>
          <t>4</t>
        </is>
      </c>
      <c r="N5484" s="12" t="n">
        <v>1</v>
      </c>
      <c r="O5484" s="12" t="n">
        <v>1</v>
      </c>
      <c r="P5484" s="12" t="n">
        <v>480</v>
      </c>
      <c r="Q5484" s="12" t="n">
        <v>22</v>
      </c>
      <c r="R5484" s="12" t="n">
        <v>31.1</v>
      </c>
      <c r="S5484" s="12" t="inlineStr">
        <is>
          <t>Duct bank</t>
        </is>
      </c>
      <c r="T5484" s="17" t="n">
        <v>367</v>
      </c>
      <c r="U5484" s="17" t="n">
        <v>180</v>
      </c>
      <c r="V5484" s="17">
        <f>ROUNDUP((T5484+U5484+2*'Read Me'!$B$13)*(1+'Read Me'!$B$12),-1)</f>
        <v/>
      </c>
      <c r="W5484" s="17">
        <f>V5484*N5484*O5484</f>
        <v/>
      </c>
      <c r="X5484" s="12">
        <f>IF(LEFT(I5484,2)="MV",2*N5484*IF(L5484="1/C",O5484,1),0)</f>
        <v/>
      </c>
      <c r="Y5484" s="12">
        <f>IF(OR(LEFT(K5484,4)="LVAX",LEFT(K5484,6)="MV15AX",LEFT(K5484,4)="CTAX",LEFT(K5484,2)="W|"),2*N5484*O5484,0)</f>
        <v/>
      </c>
      <c r="Z5484" s="12" t="inlineStr">
        <is>
          <t>VD 2.1 %</t>
        </is>
      </c>
      <c r="AA5484" s="12">
        <f>N5484*O5484</f>
        <v/>
      </c>
    </row>
    <row r="5485">
      <c r="A5485" s="12" t="inlineStr">
        <is>
          <t>I-P-0229</t>
        </is>
      </c>
      <c r="B5485" s="12" t="inlineStr">
        <is>
          <t>I</t>
        </is>
      </c>
      <c r="C5485" s="12" t="inlineStr">
        <is>
          <t>Modular / portable power</t>
        </is>
      </c>
      <c r="D5485" s="12" t="inlineStr">
        <is>
          <t>Motor 6 of 6, 22 kW</t>
        </is>
      </c>
      <c r="E5485" s="12" t="inlineStr"/>
      <c r="F5485" s="12" t="inlineStr">
        <is>
          <t>PCM: power control module</t>
        </is>
      </c>
      <c r="G5485" s="12" t="inlineStr">
        <is>
          <t>RICE-6</t>
        </is>
      </c>
      <c r="H5485" s="12" t="inlineStr">
        <is>
          <t>RICE engine-generator 6</t>
        </is>
      </c>
      <c r="I5485" s="12" t="inlineStr">
        <is>
          <t>LV 600 V</t>
        </is>
      </c>
      <c r="J5485" s="12" t="inlineStr">
        <is>
          <t>Type TC-ER 600 V 3/C Cu XHHW-2 + ground, PVC jacket</t>
        </is>
      </c>
      <c r="K5485" s="12" t="inlineStr">
        <is>
          <t>LV|3/C+G|4</t>
        </is>
      </c>
      <c r="L5485" s="12" t="inlineStr">
        <is>
          <t>3/C+G</t>
        </is>
      </c>
      <c r="M5485" s="12" t="inlineStr">
        <is>
          <t>4</t>
        </is>
      </c>
      <c r="N5485" s="12" t="n">
        <v>1</v>
      </c>
      <c r="O5485" s="12" t="n">
        <v>1</v>
      </c>
      <c r="P5485" s="12" t="n">
        <v>480</v>
      </c>
      <c r="Q5485" s="12" t="n">
        <v>22</v>
      </c>
      <c r="R5485" s="12" t="n">
        <v>31.1</v>
      </c>
      <c r="S5485" s="12" t="inlineStr">
        <is>
          <t>Duct bank</t>
        </is>
      </c>
      <c r="T5485" s="17" t="n">
        <v>367</v>
      </c>
      <c r="U5485" s="17" t="n">
        <v>180</v>
      </c>
      <c r="V5485" s="17">
        <f>ROUNDUP((T5485+U5485+2*'Read Me'!$B$13)*(1+'Read Me'!$B$12),-1)</f>
        <v/>
      </c>
      <c r="W5485" s="17">
        <f>V5485*N5485*O5485</f>
        <v/>
      </c>
      <c r="X5485" s="12">
        <f>IF(LEFT(I5485,2)="MV",2*N5485*IF(L5485="1/C",O5485,1),0)</f>
        <v/>
      </c>
      <c r="Y5485" s="12">
        <f>IF(OR(LEFT(K5485,4)="LVAX",LEFT(K5485,6)="MV15AX",LEFT(K5485,4)="CTAX",LEFT(K5485,2)="W|"),2*N5485*O5485,0)</f>
        <v/>
      </c>
      <c r="Z5485" s="12" t="inlineStr">
        <is>
          <t>VD 2.1 %</t>
        </is>
      </c>
      <c r="AA5485" s="12">
        <f>N5485*O5485</f>
        <v/>
      </c>
    </row>
    <row r="5486">
      <c r="A5486" s="12" t="inlineStr">
        <is>
          <t>I-P-0230</t>
        </is>
      </c>
      <c r="B5486" s="12" t="inlineStr">
        <is>
          <t>I</t>
        </is>
      </c>
      <c r="C5486" s="12" t="inlineStr">
        <is>
          <t>Modular / portable power</t>
        </is>
      </c>
      <c r="D5486" s="12" t="inlineStr">
        <is>
          <t>480 V welding receptacle 1</t>
        </is>
      </c>
      <c r="E5486" s="12" t="inlineStr"/>
      <c r="F5486" s="12" t="inlineStr">
        <is>
          <t>PCM: power control module</t>
        </is>
      </c>
      <c r="G5486" s="12" t="inlineStr">
        <is>
          <t>RICE-6</t>
        </is>
      </c>
      <c r="H5486" s="12" t="inlineStr">
        <is>
          <t>RICE engine-generator 6</t>
        </is>
      </c>
      <c r="I5486" s="12" t="inlineStr">
        <is>
          <t>LV 600 V</t>
        </is>
      </c>
      <c r="J5486" s="12" t="inlineStr">
        <is>
          <t>Type TC-ER 600 V 3/C Cu XHHW-2 + ground, PVC jacket</t>
        </is>
      </c>
      <c r="K5486" s="12" t="inlineStr">
        <is>
          <t>LV|3/C+G|1</t>
        </is>
      </c>
      <c r="L5486" s="12" t="inlineStr">
        <is>
          <t>3/C+G</t>
        </is>
      </c>
      <c r="M5486" s="12" t="inlineStr">
        <is>
          <t>1</t>
        </is>
      </c>
      <c r="N5486" s="12" t="n">
        <v>1</v>
      </c>
      <c r="O5486" s="12" t="n">
        <v>1</v>
      </c>
      <c r="P5486" s="12" t="n">
        <v>480</v>
      </c>
      <c r="Q5486" s="12" t="n">
        <v>60</v>
      </c>
      <c r="R5486" s="12" t="n">
        <v>76</v>
      </c>
      <c r="S5486" s="12" t="inlineStr">
        <is>
          <t>Duct bank</t>
        </is>
      </c>
      <c r="T5486" s="17" t="n">
        <v>367</v>
      </c>
      <c r="U5486" s="17" t="n">
        <v>180</v>
      </c>
      <c r="V5486" s="17">
        <f>ROUNDUP((T5486+U5486+2*'Read Me'!$B$13)*(1+'Read Me'!$B$12),-1)</f>
        <v/>
      </c>
      <c r="W5486" s="17">
        <f>V5486*N5486*O5486</f>
        <v/>
      </c>
      <c r="X5486" s="12">
        <f>IF(LEFT(I5486,2)="MV",2*N5486*IF(L5486="1/C",O5486,1),0)</f>
        <v/>
      </c>
      <c r="Y5486" s="12">
        <f>IF(OR(LEFT(K5486,4)="LVAX",LEFT(K5486,6)="MV15AX",LEFT(K5486,4)="CTAX",LEFT(K5486,2)="W|"),2*N5486*O5486,0)</f>
        <v/>
      </c>
      <c r="Z5486" s="12" t="inlineStr">
        <is>
          <t>VD 2.5 %</t>
        </is>
      </c>
      <c r="AA5486" s="12">
        <f>N5486*O5486</f>
        <v/>
      </c>
    </row>
    <row r="5487">
      <c r="A5487" s="12" t="inlineStr">
        <is>
          <t>I-P-0231</t>
        </is>
      </c>
      <c r="B5487" s="12" t="inlineStr">
        <is>
          <t>I</t>
        </is>
      </c>
      <c r="C5487" s="12" t="inlineStr">
        <is>
          <t>Modular / portable power</t>
        </is>
      </c>
      <c r="D5487" s="12" t="inlineStr">
        <is>
          <t>480 V welding receptacle 2</t>
        </is>
      </c>
      <c r="E5487" s="12" t="inlineStr"/>
      <c r="F5487" s="12" t="inlineStr">
        <is>
          <t>PCM: power control module</t>
        </is>
      </c>
      <c r="G5487" s="12" t="inlineStr">
        <is>
          <t>RICE-6</t>
        </is>
      </c>
      <c r="H5487" s="12" t="inlineStr">
        <is>
          <t>RICE engine-generator 6</t>
        </is>
      </c>
      <c r="I5487" s="12" t="inlineStr">
        <is>
          <t>LV 600 V</t>
        </is>
      </c>
      <c r="J5487" s="12" t="inlineStr">
        <is>
          <t>Type TC-ER 600 V 3/C Cu XHHW-2 + ground, PVC jacket</t>
        </is>
      </c>
      <c r="K5487" s="12" t="inlineStr">
        <is>
          <t>LV|3/C+G|1</t>
        </is>
      </c>
      <c r="L5487" s="12" t="inlineStr">
        <is>
          <t>3/C+G</t>
        </is>
      </c>
      <c r="M5487" s="12" t="inlineStr">
        <is>
          <t>1</t>
        </is>
      </c>
      <c r="N5487" s="12" t="n">
        <v>1</v>
      </c>
      <c r="O5487" s="12" t="n">
        <v>1</v>
      </c>
      <c r="P5487" s="12" t="n">
        <v>480</v>
      </c>
      <c r="Q5487" s="12" t="n">
        <v>60</v>
      </c>
      <c r="R5487" s="12" t="n">
        <v>76</v>
      </c>
      <c r="S5487" s="12" t="inlineStr">
        <is>
          <t>Duct bank</t>
        </is>
      </c>
      <c r="T5487" s="17" t="n">
        <v>367</v>
      </c>
      <c r="U5487" s="17" t="n">
        <v>180</v>
      </c>
      <c r="V5487" s="17">
        <f>ROUNDUP((T5487+U5487+2*'Read Me'!$B$13)*(1+'Read Me'!$B$12),-1)</f>
        <v/>
      </c>
      <c r="W5487" s="17">
        <f>V5487*N5487*O5487</f>
        <v/>
      </c>
      <c r="X5487" s="12">
        <f>IF(LEFT(I5487,2)="MV",2*N5487*IF(L5487="1/C",O5487,1),0)</f>
        <v/>
      </c>
      <c r="Y5487" s="12">
        <f>IF(OR(LEFT(K5487,4)="LVAX",LEFT(K5487,6)="MV15AX",LEFT(K5487,4)="CTAX",LEFT(K5487,2)="W|"),2*N5487*O5487,0)</f>
        <v/>
      </c>
      <c r="Z5487" s="12" t="inlineStr">
        <is>
          <t>VD 2.5 %</t>
        </is>
      </c>
      <c r="AA5487" s="12">
        <f>N5487*O5487</f>
        <v/>
      </c>
    </row>
    <row r="5488">
      <c r="A5488" s="12" t="inlineStr">
        <is>
          <t>I-P-0232</t>
        </is>
      </c>
      <c r="B5488" s="12" t="inlineStr">
        <is>
          <t>I</t>
        </is>
      </c>
      <c r="C5488" s="12" t="inlineStr">
        <is>
          <t>Modular / portable power</t>
        </is>
      </c>
      <c r="D5488" s="12" t="inlineStr">
        <is>
          <t>480 V welding receptacle 3</t>
        </is>
      </c>
      <c r="E5488" s="12" t="inlineStr"/>
      <c r="F5488" s="12" t="inlineStr">
        <is>
          <t>PCM: power control module</t>
        </is>
      </c>
      <c r="G5488" s="12" t="inlineStr">
        <is>
          <t>RICE-6</t>
        </is>
      </c>
      <c r="H5488" s="12" t="inlineStr">
        <is>
          <t>RICE engine-generator 6</t>
        </is>
      </c>
      <c r="I5488" s="12" t="inlineStr">
        <is>
          <t>LV 600 V</t>
        </is>
      </c>
      <c r="J5488" s="12" t="inlineStr">
        <is>
          <t>Type TC-ER 600 V 3/C Cu XHHW-2 + ground, PVC jacket</t>
        </is>
      </c>
      <c r="K5488" s="12" t="inlineStr">
        <is>
          <t>LV|3/C+G|1</t>
        </is>
      </c>
      <c r="L5488" s="12" t="inlineStr">
        <is>
          <t>3/C+G</t>
        </is>
      </c>
      <c r="M5488" s="12" t="inlineStr">
        <is>
          <t>1</t>
        </is>
      </c>
      <c r="N5488" s="12" t="n">
        <v>1</v>
      </c>
      <c r="O5488" s="12" t="n">
        <v>1</v>
      </c>
      <c r="P5488" s="12" t="n">
        <v>480</v>
      </c>
      <c r="Q5488" s="12" t="n">
        <v>60</v>
      </c>
      <c r="R5488" s="12" t="n">
        <v>76</v>
      </c>
      <c r="S5488" s="12" t="inlineStr">
        <is>
          <t>Duct bank</t>
        </is>
      </c>
      <c r="T5488" s="17" t="n">
        <v>367</v>
      </c>
      <c r="U5488" s="17" t="n">
        <v>180</v>
      </c>
      <c r="V5488" s="17">
        <f>ROUNDUP((T5488+U5488+2*'Read Me'!$B$13)*(1+'Read Me'!$B$12),-1)</f>
        <v/>
      </c>
      <c r="W5488" s="17">
        <f>V5488*N5488*O5488</f>
        <v/>
      </c>
      <c r="X5488" s="12">
        <f>IF(LEFT(I5488,2)="MV",2*N5488*IF(L5488="1/C",O5488,1),0)</f>
        <v/>
      </c>
      <c r="Y5488" s="12">
        <f>IF(OR(LEFT(K5488,4)="LVAX",LEFT(K5488,6)="MV15AX",LEFT(K5488,4)="CTAX",LEFT(K5488,2)="W|"),2*N5488*O5488,0)</f>
        <v/>
      </c>
      <c r="Z5488" s="12" t="inlineStr">
        <is>
          <t>VD 2.5 %</t>
        </is>
      </c>
      <c r="AA5488" s="12">
        <f>N5488*O5488</f>
        <v/>
      </c>
    </row>
    <row r="5489">
      <c r="A5489" s="12" t="inlineStr">
        <is>
          <t>I-P-0233</t>
        </is>
      </c>
      <c r="B5489" s="12" t="inlineStr">
        <is>
          <t>I</t>
        </is>
      </c>
      <c r="C5489" s="12" t="inlineStr">
        <is>
          <t>Modular / portable power</t>
        </is>
      </c>
      <c r="D5489" s="12" t="inlineStr">
        <is>
          <t>480 V welding receptacle 4</t>
        </is>
      </c>
      <c r="E5489" s="12" t="inlineStr"/>
      <c r="F5489" s="12" t="inlineStr">
        <is>
          <t>PCM: power control module</t>
        </is>
      </c>
      <c r="G5489" s="12" t="inlineStr">
        <is>
          <t>RICE-6</t>
        </is>
      </c>
      <c r="H5489" s="12" t="inlineStr">
        <is>
          <t>RICE engine-generator 6</t>
        </is>
      </c>
      <c r="I5489" s="12" t="inlineStr">
        <is>
          <t>LV 600 V</t>
        </is>
      </c>
      <c r="J5489" s="12" t="inlineStr">
        <is>
          <t>Type TC-ER 600 V 3/C Cu XHHW-2 + ground, PVC jacket</t>
        </is>
      </c>
      <c r="K5489" s="12" t="inlineStr">
        <is>
          <t>LV|3/C+G|1</t>
        </is>
      </c>
      <c r="L5489" s="12" t="inlineStr">
        <is>
          <t>3/C+G</t>
        </is>
      </c>
      <c r="M5489" s="12" t="inlineStr">
        <is>
          <t>1</t>
        </is>
      </c>
      <c r="N5489" s="12" t="n">
        <v>1</v>
      </c>
      <c r="O5489" s="12" t="n">
        <v>1</v>
      </c>
      <c r="P5489" s="12" t="n">
        <v>480</v>
      </c>
      <c r="Q5489" s="12" t="n">
        <v>60</v>
      </c>
      <c r="R5489" s="12" t="n">
        <v>76</v>
      </c>
      <c r="S5489" s="12" t="inlineStr">
        <is>
          <t>Duct bank</t>
        </is>
      </c>
      <c r="T5489" s="17" t="n">
        <v>367</v>
      </c>
      <c r="U5489" s="17" t="n">
        <v>180</v>
      </c>
      <c r="V5489" s="17">
        <f>ROUNDUP((T5489+U5489+2*'Read Me'!$B$13)*(1+'Read Me'!$B$12),-1)</f>
        <v/>
      </c>
      <c r="W5489" s="17">
        <f>V5489*N5489*O5489</f>
        <v/>
      </c>
      <c r="X5489" s="12">
        <f>IF(LEFT(I5489,2)="MV",2*N5489*IF(L5489="1/C",O5489,1),0)</f>
        <v/>
      </c>
      <c r="Y5489" s="12">
        <f>IF(OR(LEFT(K5489,4)="LVAX",LEFT(K5489,6)="MV15AX",LEFT(K5489,4)="CTAX",LEFT(K5489,2)="W|"),2*N5489*O5489,0)</f>
        <v/>
      </c>
      <c r="Z5489" s="12" t="inlineStr">
        <is>
          <t>VD 2.5 %</t>
        </is>
      </c>
      <c r="AA5489" s="12">
        <f>N5489*O5489</f>
        <v/>
      </c>
    </row>
    <row r="5490">
      <c r="A5490" s="12" t="inlineStr">
        <is>
          <t>I-P-0234</t>
        </is>
      </c>
      <c r="B5490" s="12" t="inlineStr">
        <is>
          <t>I</t>
        </is>
      </c>
      <c r="C5490" s="12" t="inlineStr">
        <is>
          <t>Modular / portable power</t>
        </is>
      </c>
      <c r="D5490" s="12" t="inlineStr">
        <is>
          <t>Motor 1 of 6, 22 kW</t>
        </is>
      </c>
      <c r="E5490" s="12" t="inlineStr"/>
      <c r="F5490" s="12" t="inlineStr">
        <is>
          <t>PCM: power control module</t>
        </is>
      </c>
      <c r="G5490" s="12" t="inlineStr">
        <is>
          <t>RICE-7</t>
        </is>
      </c>
      <c r="H5490" s="12" t="inlineStr">
        <is>
          <t>RICE engine-generator 7</t>
        </is>
      </c>
      <c r="I5490" s="12" t="inlineStr">
        <is>
          <t>LV 600 V</t>
        </is>
      </c>
      <c r="J5490" s="12" t="inlineStr">
        <is>
          <t>Type TC-ER 600 V 3/C Cu XHHW-2 + ground, PVC jacket</t>
        </is>
      </c>
      <c r="K5490" s="12" t="inlineStr">
        <is>
          <t>LV|3/C+G|8</t>
        </is>
      </c>
      <c r="L5490" s="12" t="inlineStr">
        <is>
          <t>3/C+G</t>
        </is>
      </c>
      <c r="M5490" s="12" t="inlineStr">
        <is>
          <t>8</t>
        </is>
      </c>
      <c r="N5490" s="12" t="n">
        <v>1</v>
      </c>
      <c r="O5490" s="12" t="n">
        <v>1</v>
      </c>
      <c r="P5490" s="12" t="n">
        <v>480</v>
      </c>
      <c r="Q5490" s="12" t="n">
        <v>22</v>
      </c>
      <c r="R5490" s="12" t="n">
        <v>31.1</v>
      </c>
      <c r="S5490" s="12" t="inlineStr">
        <is>
          <t>Tray</t>
        </is>
      </c>
      <c r="T5490" s="17" t="n">
        <v>0</v>
      </c>
      <c r="U5490" s="17" t="n">
        <v>189</v>
      </c>
      <c r="V5490" s="17">
        <f>ROUNDUP((T5490+U5490+2*'Read Me'!$B$13)*(1+'Read Me'!$B$12),-1)</f>
        <v/>
      </c>
      <c r="W5490" s="17">
        <f>V5490*N5490*O5490</f>
        <v/>
      </c>
      <c r="X5490" s="12">
        <f>IF(LEFT(I5490,2)="MV",2*N5490*IF(L5490="1/C",O5490,1),0)</f>
        <v/>
      </c>
      <c r="Y5490" s="12">
        <f>IF(OR(LEFT(K5490,4)="LVAX",LEFT(K5490,6)="MV15AX",LEFT(K5490,4)="CTAX",LEFT(K5490,2)="W|"),2*N5490*O5490,0)</f>
        <v/>
      </c>
      <c r="Z5490" s="12" t="inlineStr">
        <is>
          <t>VD 1.8 %</t>
        </is>
      </c>
      <c r="AA5490" s="12">
        <f>N5490*O5490</f>
        <v/>
      </c>
    </row>
    <row r="5491">
      <c r="A5491" s="12" t="inlineStr">
        <is>
          <t>I-P-0235</t>
        </is>
      </c>
      <c r="B5491" s="12" t="inlineStr">
        <is>
          <t>I</t>
        </is>
      </c>
      <c r="C5491" s="12" t="inlineStr">
        <is>
          <t>Modular / portable power</t>
        </is>
      </c>
      <c r="D5491" s="12" t="inlineStr">
        <is>
          <t>Motor 2 of 6, 22 kW</t>
        </is>
      </c>
      <c r="E5491" s="12" t="inlineStr"/>
      <c r="F5491" s="12" t="inlineStr">
        <is>
          <t>PCM: power control module</t>
        </is>
      </c>
      <c r="G5491" s="12" t="inlineStr">
        <is>
          <t>RICE-7</t>
        </is>
      </c>
      <c r="H5491" s="12" t="inlineStr">
        <is>
          <t>RICE engine-generator 7</t>
        </is>
      </c>
      <c r="I5491" s="12" t="inlineStr">
        <is>
          <t>LV 600 V</t>
        </is>
      </c>
      <c r="J5491" s="12" t="inlineStr">
        <is>
          <t>Type TC-ER 600 V 3/C Cu XHHW-2 + ground, PVC jacket</t>
        </is>
      </c>
      <c r="K5491" s="12" t="inlineStr">
        <is>
          <t>LV|3/C+G|8</t>
        </is>
      </c>
      <c r="L5491" s="12" t="inlineStr">
        <is>
          <t>3/C+G</t>
        </is>
      </c>
      <c r="M5491" s="12" t="inlineStr">
        <is>
          <t>8</t>
        </is>
      </c>
      <c r="N5491" s="12" t="n">
        <v>1</v>
      </c>
      <c r="O5491" s="12" t="n">
        <v>1</v>
      </c>
      <c r="P5491" s="12" t="n">
        <v>480</v>
      </c>
      <c r="Q5491" s="12" t="n">
        <v>22</v>
      </c>
      <c r="R5491" s="12" t="n">
        <v>31.1</v>
      </c>
      <c r="S5491" s="12" t="inlineStr">
        <is>
          <t>Tray</t>
        </is>
      </c>
      <c r="T5491" s="17" t="n">
        <v>0</v>
      </c>
      <c r="U5491" s="17" t="n">
        <v>189</v>
      </c>
      <c r="V5491" s="17">
        <f>ROUNDUP((T5491+U5491+2*'Read Me'!$B$13)*(1+'Read Me'!$B$12),-1)</f>
        <v/>
      </c>
      <c r="W5491" s="17">
        <f>V5491*N5491*O5491</f>
        <v/>
      </c>
      <c r="X5491" s="12">
        <f>IF(LEFT(I5491,2)="MV",2*N5491*IF(L5491="1/C",O5491,1),0)</f>
        <v/>
      </c>
      <c r="Y5491" s="12">
        <f>IF(OR(LEFT(K5491,4)="LVAX",LEFT(K5491,6)="MV15AX",LEFT(K5491,4)="CTAX",LEFT(K5491,2)="W|"),2*N5491*O5491,0)</f>
        <v/>
      </c>
      <c r="Z5491" s="12" t="inlineStr">
        <is>
          <t>VD 1.8 %</t>
        </is>
      </c>
      <c r="AA5491" s="12">
        <f>N5491*O5491</f>
        <v/>
      </c>
    </row>
    <row r="5492">
      <c r="A5492" s="12" t="inlineStr">
        <is>
          <t>I-P-0236</t>
        </is>
      </c>
      <c r="B5492" s="12" t="inlineStr">
        <is>
          <t>I</t>
        </is>
      </c>
      <c r="C5492" s="12" t="inlineStr">
        <is>
          <t>Modular / portable power</t>
        </is>
      </c>
      <c r="D5492" s="12" t="inlineStr">
        <is>
          <t>Motor 3 of 6, 22 kW</t>
        </is>
      </c>
      <c r="E5492" s="12" t="inlineStr"/>
      <c r="F5492" s="12" t="inlineStr">
        <is>
          <t>PCM: power control module</t>
        </is>
      </c>
      <c r="G5492" s="12" t="inlineStr">
        <is>
          <t>RICE-7</t>
        </is>
      </c>
      <c r="H5492" s="12" t="inlineStr">
        <is>
          <t>RICE engine-generator 7</t>
        </is>
      </c>
      <c r="I5492" s="12" t="inlineStr">
        <is>
          <t>LV 600 V</t>
        </is>
      </c>
      <c r="J5492" s="12" t="inlineStr">
        <is>
          <t>Type TC-ER 600 V 3/C Cu XHHW-2 + ground, PVC jacket</t>
        </is>
      </c>
      <c r="K5492" s="12" t="inlineStr">
        <is>
          <t>LV|3/C+G|8</t>
        </is>
      </c>
      <c r="L5492" s="12" t="inlineStr">
        <is>
          <t>3/C+G</t>
        </is>
      </c>
      <c r="M5492" s="12" t="inlineStr">
        <is>
          <t>8</t>
        </is>
      </c>
      <c r="N5492" s="12" t="n">
        <v>1</v>
      </c>
      <c r="O5492" s="12" t="n">
        <v>1</v>
      </c>
      <c r="P5492" s="12" t="n">
        <v>480</v>
      </c>
      <c r="Q5492" s="12" t="n">
        <v>22</v>
      </c>
      <c r="R5492" s="12" t="n">
        <v>31.1</v>
      </c>
      <c r="S5492" s="12" t="inlineStr">
        <is>
          <t>Tray</t>
        </is>
      </c>
      <c r="T5492" s="17" t="n">
        <v>0</v>
      </c>
      <c r="U5492" s="17" t="n">
        <v>189</v>
      </c>
      <c r="V5492" s="17">
        <f>ROUNDUP((T5492+U5492+2*'Read Me'!$B$13)*(1+'Read Me'!$B$12),-1)</f>
        <v/>
      </c>
      <c r="W5492" s="17">
        <f>V5492*N5492*O5492</f>
        <v/>
      </c>
      <c r="X5492" s="12">
        <f>IF(LEFT(I5492,2)="MV",2*N5492*IF(L5492="1/C",O5492,1),0)</f>
        <v/>
      </c>
      <c r="Y5492" s="12">
        <f>IF(OR(LEFT(K5492,4)="LVAX",LEFT(K5492,6)="MV15AX",LEFT(K5492,4)="CTAX",LEFT(K5492,2)="W|"),2*N5492*O5492,0)</f>
        <v/>
      </c>
      <c r="Z5492" s="12" t="inlineStr">
        <is>
          <t>VD 1.8 %</t>
        </is>
      </c>
      <c r="AA5492" s="12">
        <f>N5492*O5492</f>
        <v/>
      </c>
    </row>
    <row r="5493">
      <c r="A5493" s="12" t="inlineStr">
        <is>
          <t>I-P-0237</t>
        </is>
      </c>
      <c r="B5493" s="12" t="inlineStr">
        <is>
          <t>I</t>
        </is>
      </c>
      <c r="C5493" s="12" t="inlineStr">
        <is>
          <t>Modular / portable power</t>
        </is>
      </c>
      <c r="D5493" s="12" t="inlineStr">
        <is>
          <t>Motor 4 of 6, 22 kW</t>
        </is>
      </c>
      <c r="E5493" s="12" t="inlineStr"/>
      <c r="F5493" s="12" t="inlineStr">
        <is>
          <t>PCM: power control module</t>
        </is>
      </c>
      <c r="G5493" s="12" t="inlineStr">
        <is>
          <t>RICE-7</t>
        </is>
      </c>
      <c r="H5493" s="12" t="inlineStr">
        <is>
          <t>RICE engine-generator 7</t>
        </is>
      </c>
      <c r="I5493" s="12" t="inlineStr">
        <is>
          <t>LV 600 V</t>
        </is>
      </c>
      <c r="J5493" s="12" t="inlineStr">
        <is>
          <t>Type TC-ER 600 V 3/C Cu XHHW-2 + ground, PVC jacket</t>
        </is>
      </c>
      <c r="K5493" s="12" t="inlineStr">
        <is>
          <t>LV|3/C+G|8</t>
        </is>
      </c>
      <c r="L5493" s="12" t="inlineStr">
        <is>
          <t>3/C+G</t>
        </is>
      </c>
      <c r="M5493" s="12" t="inlineStr">
        <is>
          <t>8</t>
        </is>
      </c>
      <c r="N5493" s="12" t="n">
        <v>1</v>
      </c>
      <c r="O5493" s="12" t="n">
        <v>1</v>
      </c>
      <c r="P5493" s="12" t="n">
        <v>480</v>
      </c>
      <c r="Q5493" s="12" t="n">
        <v>22</v>
      </c>
      <c r="R5493" s="12" t="n">
        <v>31.1</v>
      </c>
      <c r="S5493" s="12" t="inlineStr">
        <is>
          <t>Tray</t>
        </is>
      </c>
      <c r="T5493" s="17" t="n">
        <v>0</v>
      </c>
      <c r="U5493" s="17" t="n">
        <v>189</v>
      </c>
      <c r="V5493" s="17">
        <f>ROUNDUP((T5493+U5493+2*'Read Me'!$B$13)*(1+'Read Me'!$B$12),-1)</f>
        <v/>
      </c>
      <c r="W5493" s="17">
        <f>V5493*N5493*O5493</f>
        <v/>
      </c>
      <c r="X5493" s="12">
        <f>IF(LEFT(I5493,2)="MV",2*N5493*IF(L5493="1/C",O5493,1),0)</f>
        <v/>
      </c>
      <c r="Y5493" s="12">
        <f>IF(OR(LEFT(K5493,4)="LVAX",LEFT(K5493,6)="MV15AX",LEFT(K5493,4)="CTAX",LEFT(K5493,2)="W|"),2*N5493*O5493,0)</f>
        <v/>
      </c>
      <c r="Z5493" s="12" t="inlineStr">
        <is>
          <t>VD 1.8 %</t>
        </is>
      </c>
      <c r="AA5493" s="12">
        <f>N5493*O5493</f>
        <v/>
      </c>
    </row>
    <row r="5494">
      <c r="A5494" s="12" t="inlineStr">
        <is>
          <t>I-P-0238</t>
        </is>
      </c>
      <c r="B5494" s="12" t="inlineStr">
        <is>
          <t>I</t>
        </is>
      </c>
      <c r="C5494" s="12" t="inlineStr">
        <is>
          <t>Modular / portable power</t>
        </is>
      </c>
      <c r="D5494" s="12" t="inlineStr">
        <is>
          <t>Motor 5 of 6, 22 kW</t>
        </is>
      </c>
      <c r="E5494" s="12" t="inlineStr"/>
      <c r="F5494" s="12" t="inlineStr">
        <is>
          <t>PCM: power control module</t>
        </is>
      </c>
      <c r="G5494" s="12" t="inlineStr">
        <is>
          <t>RICE-7</t>
        </is>
      </c>
      <c r="H5494" s="12" t="inlineStr">
        <is>
          <t>RICE engine-generator 7</t>
        </is>
      </c>
      <c r="I5494" s="12" t="inlineStr">
        <is>
          <t>LV 600 V</t>
        </is>
      </c>
      <c r="J5494" s="12" t="inlineStr">
        <is>
          <t>Type TC-ER 600 V 3/C Cu XHHW-2 + ground, PVC jacket</t>
        </is>
      </c>
      <c r="K5494" s="12" t="inlineStr">
        <is>
          <t>LV|3/C+G|8</t>
        </is>
      </c>
      <c r="L5494" s="12" t="inlineStr">
        <is>
          <t>3/C+G</t>
        </is>
      </c>
      <c r="M5494" s="12" t="inlineStr">
        <is>
          <t>8</t>
        </is>
      </c>
      <c r="N5494" s="12" t="n">
        <v>1</v>
      </c>
      <c r="O5494" s="12" t="n">
        <v>1</v>
      </c>
      <c r="P5494" s="12" t="n">
        <v>480</v>
      </c>
      <c r="Q5494" s="12" t="n">
        <v>22</v>
      </c>
      <c r="R5494" s="12" t="n">
        <v>31.1</v>
      </c>
      <c r="S5494" s="12" t="inlineStr">
        <is>
          <t>Tray</t>
        </is>
      </c>
      <c r="T5494" s="17" t="n">
        <v>0</v>
      </c>
      <c r="U5494" s="17" t="n">
        <v>189</v>
      </c>
      <c r="V5494" s="17">
        <f>ROUNDUP((T5494+U5494+2*'Read Me'!$B$13)*(1+'Read Me'!$B$12),-1)</f>
        <v/>
      </c>
      <c r="W5494" s="17">
        <f>V5494*N5494*O5494</f>
        <v/>
      </c>
      <c r="X5494" s="12">
        <f>IF(LEFT(I5494,2)="MV",2*N5494*IF(L5494="1/C",O5494,1),0)</f>
        <v/>
      </c>
      <c r="Y5494" s="12">
        <f>IF(OR(LEFT(K5494,4)="LVAX",LEFT(K5494,6)="MV15AX",LEFT(K5494,4)="CTAX",LEFT(K5494,2)="W|"),2*N5494*O5494,0)</f>
        <v/>
      </c>
      <c r="Z5494" s="12" t="inlineStr">
        <is>
          <t>VD 1.8 %</t>
        </is>
      </c>
      <c r="AA5494" s="12">
        <f>N5494*O5494</f>
        <v/>
      </c>
    </row>
    <row r="5495">
      <c r="A5495" s="12" t="inlineStr">
        <is>
          <t>I-P-0239</t>
        </is>
      </c>
      <c r="B5495" s="12" t="inlineStr">
        <is>
          <t>I</t>
        </is>
      </c>
      <c r="C5495" s="12" t="inlineStr">
        <is>
          <t>Modular / portable power</t>
        </is>
      </c>
      <c r="D5495" s="12" t="inlineStr">
        <is>
          <t>Motor 6 of 6, 22 kW</t>
        </is>
      </c>
      <c r="E5495" s="12" t="inlineStr"/>
      <c r="F5495" s="12" t="inlineStr">
        <is>
          <t>PCM: power control module</t>
        </is>
      </c>
      <c r="G5495" s="12" t="inlineStr">
        <is>
          <t>RICE-7</t>
        </is>
      </c>
      <c r="H5495" s="12" t="inlineStr">
        <is>
          <t>RICE engine-generator 7</t>
        </is>
      </c>
      <c r="I5495" s="12" t="inlineStr">
        <is>
          <t>LV 600 V</t>
        </is>
      </c>
      <c r="J5495" s="12" t="inlineStr">
        <is>
          <t>Type TC-ER 600 V 3/C Cu XHHW-2 + ground, PVC jacket</t>
        </is>
      </c>
      <c r="K5495" s="12" t="inlineStr">
        <is>
          <t>LV|3/C+G|8</t>
        </is>
      </c>
      <c r="L5495" s="12" t="inlineStr">
        <is>
          <t>3/C+G</t>
        </is>
      </c>
      <c r="M5495" s="12" t="inlineStr">
        <is>
          <t>8</t>
        </is>
      </c>
      <c r="N5495" s="12" t="n">
        <v>1</v>
      </c>
      <c r="O5495" s="12" t="n">
        <v>1</v>
      </c>
      <c r="P5495" s="12" t="n">
        <v>480</v>
      </c>
      <c r="Q5495" s="12" t="n">
        <v>22</v>
      </c>
      <c r="R5495" s="12" t="n">
        <v>31.1</v>
      </c>
      <c r="S5495" s="12" t="inlineStr">
        <is>
          <t>Tray</t>
        </is>
      </c>
      <c r="T5495" s="17" t="n">
        <v>0</v>
      </c>
      <c r="U5495" s="17" t="n">
        <v>189</v>
      </c>
      <c r="V5495" s="17">
        <f>ROUNDUP((T5495+U5495+2*'Read Me'!$B$13)*(1+'Read Me'!$B$12),-1)</f>
        <v/>
      </c>
      <c r="W5495" s="17">
        <f>V5495*N5495*O5495</f>
        <v/>
      </c>
      <c r="X5495" s="12">
        <f>IF(LEFT(I5495,2)="MV",2*N5495*IF(L5495="1/C",O5495,1),0)</f>
        <v/>
      </c>
      <c r="Y5495" s="12">
        <f>IF(OR(LEFT(K5495,4)="LVAX",LEFT(K5495,6)="MV15AX",LEFT(K5495,4)="CTAX",LEFT(K5495,2)="W|"),2*N5495*O5495,0)</f>
        <v/>
      </c>
      <c r="Z5495" s="12" t="inlineStr">
        <is>
          <t>VD 1.8 %</t>
        </is>
      </c>
      <c r="AA5495" s="12">
        <f>N5495*O5495</f>
        <v/>
      </c>
    </row>
    <row r="5496">
      <c r="A5496" s="12" t="inlineStr">
        <is>
          <t>I-P-0240</t>
        </is>
      </c>
      <c r="B5496" s="12" t="inlineStr">
        <is>
          <t>I</t>
        </is>
      </c>
      <c r="C5496" s="12" t="inlineStr">
        <is>
          <t>Modular / portable power</t>
        </is>
      </c>
      <c r="D5496" s="12" t="inlineStr">
        <is>
          <t>480 V welding receptacle 1</t>
        </is>
      </c>
      <c r="E5496" s="12" t="inlineStr"/>
      <c r="F5496" s="12" t="inlineStr">
        <is>
          <t>PCM: power control module</t>
        </is>
      </c>
      <c r="G5496" s="12" t="inlineStr">
        <is>
          <t>RICE-7</t>
        </is>
      </c>
      <c r="H5496" s="12" t="inlineStr">
        <is>
          <t>RICE engine-generator 7</t>
        </is>
      </c>
      <c r="I5496" s="12" t="inlineStr">
        <is>
          <t>LV 600 V</t>
        </is>
      </c>
      <c r="J5496" s="12" t="inlineStr">
        <is>
          <t>Type TC-ER 600 V 3/C Cu XHHW-2 + ground, PVC jacket</t>
        </is>
      </c>
      <c r="K5496" s="12" t="inlineStr">
        <is>
          <t>LV|3/C+G|2</t>
        </is>
      </c>
      <c r="L5496" s="12" t="inlineStr">
        <is>
          <t>3/C+G</t>
        </is>
      </c>
      <c r="M5496" s="12" t="inlineStr">
        <is>
          <t>2</t>
        </is>
      </c>
      <c r="N5496" s="12" t="n">
        <v>1</v>
      </c>
      <c r="O5496" s="12" t="n">
        <v>1</v>
      </c>
      <c r="P5496" s="12" t="n">
        <v>480</v>
      </c>
      <c r="Q5496" s="12" t="n">
        <v>60</v>
      </c>
      <c r="R5496" s="12" t="n">
        <v>76</v>
      </c>
      <c r="S5496" s="12" t="inlineStr">
        <is>
          <t>Tray</t>
        </is>
      </c>
      <c r="T5496" s="17" t="n">
        <v>0</v>
      </c>
      <c r="U5496" s="17" t="n">
        <v>189</v>
      </c>
      <c r="V5496" s="17">
        <f>ROUNDUP((T5496+U5496+2*'Read Me'!$B$13)*(1+'Read Me'!$B$12),-1)</f>
        <v/>
      </c>
      <c r="W5496" s="17">
        <f>V5496*N5496*O5496</f>
        <v/>
      </c>
      <c r="X5496" s="12">
        <f>IF(LEFT(I5496,2)="MV",2*N5496*IF(L5496="1/C",O5496,1),0)</f>
        <v/>
      </c>
      <c r="Y5496" s="12">
        <f>IF(OR(LEFT(K5496,4)="LVAX",LEFT(K5496,6)="MV15AX",LEFT(K5496,4)="CTAX",LEFT(K5496,2)="W|"),2*N5496*O5496,0)</f>
        <v/>
      </c>
      <c r="Z5496" s="12" t="inlineStr">
        <is>
          <t>VD 1.1 %</t>
        </is>
      </c>
      <c r="AA5496" s="12">
        <f>N5496*O5496</f>
        <v/>
      </c>
    </row>
    <row r="5497">
      <c r="A5497" s="12" t="inlineStr">
        <is>
          <t>I-P-0241</t>
        </is>
      </c>
      <c r="B5497" s="12" t="inlineStr">
        <is>
          <t>I</t>
        </is>
      </c>
      <c r="C5497" s="12" t="inlineStr">
        <is>
          <t>Modular / portable power</t>
        </is>
      </c>
      <c r="D5497" s="12" t="inlineStr">
        <is>
          <t>480 V welding receptacle 2</t>
        </is>
      </c>
      <c r="E5497" s="12" t="inlineStr"/>
      <c r="F5497" s="12" t="inlineStr">
        <is>
          <t>PCM: power control module</t>
        </is>
      </c>
      <c r="G5497" s="12" t="inlineStr">
        <is>
          <t>RICE-7</t>
        </is>
      </c>
      <c r="H5497" s="12" t="inlineStr">
        <is>
          <t>RICE engine-generator 7</t>
        </is>
      </c>
      <c r="I5497" s="12" t="inlineStr">
        <is>
          <t>LV 600 V</t>
        </is>
      </c>
      <c r="J5497" s="12" t="inlineStr">
        <is>
          <t>Type TC-ER 600 V 3/C Cu XHHW-2 + ground, PVC jacket</t>
        </is>
      </c>
      <c r="K5497" s="12" t="inlineStr">
        <is>
          <t>LV|3/C+G|2</t>
        </is>
      </c>
      <c r="L5497" s="12" t="inlineStr">
        <is>
          <t>3/C+G</t>
        </is>
      </c>
      <c r="M5497" s="12" t="inlineStr">
        <is>
          <t>2</t>
        </is>
      </c>
      <c r="N5497" s="12" t="n">
        <v>1</v>
      </c>
      <c r="O5497" s="12" t="n">
        <v>1</v>
      </c>
      <c r="P5497" s="12" t="n">
        <v>480</v>
      </c>
      <c r="Q5497" s="12" t="n">
        <v>60</v>
      </c>
      <c r="R5497" s="12" t="n">
        <v>76</v>
      </c>
      <c r="S5497" s="12" t="inlineStr">
        <is>
          <t>Tray</t>
        </is>
      </c>
      <c r="T5497" s="17" t="n">
        <v>0</v>
      </c>
      <c r="U5497" s="17" t="n">
        <v>189</v>
      </c>
      <c r="V5497" s="17">
        <f>ROUNDUP((T5497+U5497+2*'Read Me'!$B$13)*(1+'Read Me'!$B$12),-1)</f>
        <v/>
      </c>
      <c r="W5497" s="17">
        <f>V5497*N5497*O5497</f>
        <v/>
      </c>
      <c r="X5497" s="12">
        <f>IF(LEFT(I5497,2)="MV",2*N5497*IF(L5497="1/C",O5497,1),0)</f>
        <v/>
      </c>
      <c r="Y5497" s="12">
        <f>IF(OR(LEFT(K5497,4)="LVAX",LEFT(K5497,6)="MV15AX",LEFT(K5497,4)="CTAX",LEFT(K5497,2)="W|"),2*N5497*O5497,0)</f>
        <v/>
      </c>
      <c r="Z5497" s="12" t="inlineStr">
        <is>
          <t>VD 1.1 %</t>
        </is>
      </c>
      <c r="AA5497" s="12">
        <f>N5497*O5497</f>
        <v/>
      </c>
    </row>
    <row r="5498">
      <c r="A5498" s="12" t="inlineStr">
        <is>
          <t>I-P-0242</t>
        </is>
      </c>
      <c r="B5498" s="12" t="inlineStr">
        <is>
          <t>I</t>
        </is>
      </c>
      <c r="C5498" s="12" t="inlineStr">
        <is>
          <t>Modular / portable power</t>
        </is>
      </c>
      <c r="D5498" s="12" t="inlineStr">
        <is>
          <t>480 V welding receptacle 3</t>
        </is>
      </c>
      <c r="E5498" s="12" t="inlineStr"/>
      <c r="F5498" s="12" t="inlineStr">
        <is>
          <t>PCM: power control module</t>
        </is>
      </c>
      <c r="G5498" s="12" t="inlineStr">
        <is>
          <t>RICE-7</t>
        </is>
      </c>
      <c r="H5498" s="12" t="inlineStr">
        <is>
          <t>RICE engine-generator 7</t>
        </is>
      </c>
      <c r="I5498" s="12" t="inlineStr">
        <is>
          <t>LV 600 V</t>
        </is>
      </c>
      <c r="J5498" s="12" t="inlineStr">
        <is>
          <t>Type TC-ER 600 V 3/C Cu XHHW-2 + ground, PVC jacket</t>
        </is>
      </c>
      <c r="K5498" s="12" t="inlineStr">
        <is>
          <t>LV|3/C+G|2</t>
        </is>
      </c>
      <c r="L5498" s="12" t="inlineStr">
        <is>
          <t>3/C+G</t>
        </is>
      </c>
      <c r="M5498" s="12" t="inlineStr">
        <is>
          <t>2</t>
        </is>
      </c>
      <c r="N5498" s="12" t="n">
        <v>1</v>
      </c>
      <c r="O5498" s="12" t="n">
        <v>1</v>
      </c>
      <c r="P5498" s="12" t="n">
        <v>480</v>
      </c>
      <c r="Q5498" s="12" t="n">
        <v>60</v>
      </c>
      <c r="R5498" s="12" t="n">
        <v>76</v>
      </c>
      <c r="S5498" s="12" t="inlineStr">
        <is>
          <t>Tray</t>
        </is>
      </c>
      <c r="T5498" s="17" t="n">
        <v>0</v>
      </c>
      <c r="U5498" s="17" t="n">
        <v>189</v>
      </c>
      <c r="V5498" s="17">
        <f>ROUNDUP((T5498+U5498+2*'Read Me'!$B$13)*(1+'Read Me'!$B$12),-1)</f>
        <v/>
      </c>
      <c r="W5498" s="17">
        <f>V5498*N5498*O5498</f>
        <v/>
      </c>
      <c r="X5498" s="12">
        <f>IF(LEFT(I5498,2)="MV",2*N5498*IF(L5498="1/C",O5498,1),0)</f>
        <v/>
      </c>
      <c r="Y5498" s="12">
        <f>IF(OR(LEFT(K5498,4)="LVAX",LEFT(K5498,6)="MV15AX",LEFT(K5498,4)="CTAX",LEFT(K5498,2)="W|"),2*N5498*O5498,0)</f>
        <v/>
      </c>
      <c r="Z5498" s="12" t="inlineStr">
        <is>
          <t>VD 1.1 %</t>
        </is>
      </c>
      <c r="AA5498" s="12">
        <f>N5498*O5498</f>
        <v/>
      </c>
    </row>
    <row r="5499">
      <c r="A5499" s="12" t="inlineStr">
        <is>
          <t>I-P-0243</t>
        </is>
      </c>
      <c r="B5499" s="12" t="inlineStr">
        <is>
          <t>I</t>
        </is>
      </c>
      <c r="C5499" s="12" t="inlineStr">
        <is>
          <t>Modular / portable power</t>
        </is>
      </c>
      <c r="D5499" s="12" t="inlineStr">
        <is>
          <t>480 V welding receptacle 4</t>
        </is>
      </c>
      <c r="E5499" s="12" t="inlineStr"/>
      <c r="F5499" s="12" t="inlineStr">
        <is>
          <t>PCM: power control module</t>
        </is>
      </c>
      <c r="G5499" s="12" t="inlineStr">
        <is>
          <t>RICE-7</t>
        </is>
      </c>
      <c r="H5499" s="12" t="inlineStr">
        <is>
          <t>RICE engine-generator 7</t>
        </is>
      </c>
      <c r="I5499" s="12" t="inlineStr">
        <is>
          <t>LV 600 V</t>
        </is>
      </c>
      <c r="J5499" s="12" t="inlineStr">
        <is>
          <t>Type TC-ER 600 V 3/C Cu XHHW-2 + ground, PVC jacket</t>
        </is>
      </c>
      <c r="K5499" s="12" t="inlineStr">
        <is>
          <t>LV|3/C+G|2</t>
        </is>
      </c>
      <c r="L5499" s="12" t="inlineStr">
        <is>
          <t>3/C+G</t>
        </is>
      </c>
      <c r="M5499" s="12" t="inlineStr">
        <is>
          <t>2</t>
        </is>
      </c>
      <c r="N5499" s="12" t="n">
        <v>1</v>
      </c>
      <c r="O5499" s="12" t="n">
        <v>1</v>
      </c>
      <c r="P5499" s="12" t="n">
        <v>480</v>
      </c>
      <c r="Q5499" s="12" t="n">
        <v>60</v>
      </c>
      <c r="R5499" s="12" t="n">
        <v>76</v>
      </c>
      <c r="S5499" s="12" t="inlineStr">
        <is>
          <t>Tray</t>
        </is>
      </c>
      <c r="T5499" s="17" t="n">
        <v>0</v>
      </c>
      <c r="U5499" s="17" t="n">
        <v>189</v>
      </c>
      <c r="V5499" s="17">
        <f>ROUNDUP((T5499+U5499+2*'Read Me'!$B$13)*(1+'Read Me'!$B$12),-1)</f>
        <v/>
      </c>
      <c r="W5499" s="17">
        <f>V5499*N5499*O5499</f>
        <v/>
      </c>
      <c r="X5499" s="12">
        <f>IF(LEFT(I5499,2)="MV",2*N5499*IF(L5499="1/C",O5499,1),0)</f>
        <v/>
      </c>
      <c r="Y5499" s="12">
        <f>IF(OR(LEFT(K5499,4)="LVAX",LEFT(K5499,6)="MV15AX",LEFT(K5499,4)="CTAX",LEFT(K5499,2)="W|"),2*N5499*O5499,0)</f>
        <v/>
      </c>
      <c r="Z5499" s="12" t="inlineStr">
        <is>
          <t>VD 1.1 %</t>
        </is>
      </c>
      <c r="AA5499" s="12">
        <f>N5499*O5499</f>
        <v/>
      </c>
    </row>
    <row r="5500">
      <c r="A5500" s="12" t="inlineStr">
        <is>
          <t>I-P-0244</t>
        </is>
      </c>
      <c r="B5500" s="12" t="inlineStr">
        <is>
          <t>I</t>
        </is>
      </c>
      <c r="C5500" s="12" t="inlineStr">
        <is>
          <t>Modular / portable power</t>
        </is>
      </c>
      <c r="D5500" s="12" t="inlineStr">
        <is>
          <t>Motor 1 of 6, 22 kW</t>
        </is>
      </c>
      <c r="E5500" s="12" t="inlineStr"/>
      <c r="F5500" s="12" t="inlineStr">
        <is>
          <t>PCM: power control module</t>
        </is>
      </c>
      <c r="G5500" s="12" t="inlineStr">
        <is>
          <t>RICE-8</t>
        </is>
      </c>
      <c r="H5500" s="12" t="inlineStr">
        <is>
          <t>RICE engine-generator 8</t>
        </is>
      </c>
      <c r="I5500" s="12" t="inlineStr">
        <is>
          <t>LV 600 V</t>
        </is>
      </c>
      <c r="J5500" s="12" t="inlineStr">
        <is>
          <t>Type TC-ER 600 V 3/C Cu XHHW-2 + ground, PVC jacket</t>
        </is>
      </c>
      <c r="K5500" s="12" t="inlineStr">
        <is>
          <t>LV|3/C+G|8</t>
        </is>
      </c>
      <c r="L5500" s="12" t="inlineStr">
        <is>
          <t>3/C+G</t>
        </is>
      </c>
      <c r="M5500" s="12" t="inlineStr">
        <is>
          <t>8</t>
        </is>
      </c>
      <c r="N5500" s="12" t="n">
        <v>1</v>
      </c>
      <c r="O5500" s="12" t="n">
        <v>1</v>
      </c>
      <c r="P5500" s="12" t="n">
        <v>480</v>
      </c>
      <c r="Q5500" s="12" t="n">
        <v>22</v>
      </c>
      <c r="R5500" s="12" t="n">
        <v>31.1</v>
      </c>
      <c r="S5500" s="12" t="inlineStr">
        <is>
          <t>Tray</t>
        </is>
      </c>
      <c r="T5500" s="17" t="n">
        <v>0</v>
      </c>
      <c r="U5500" s="17" t="n">
        <v>161</v>
      </c>
      <c r="V5500" s="17">
        <f>ROUNDUP((T5500+U5500+2*'Read Me'!$B$13)*(1+'Read Me'!$B$12),-1)</f>
        <v/>
      </c>
      <c r="W5500" s="17">
        <f>V5500*N5500*O5500</f>
        <v/>
      </c>
      <c r="X5500" s="12">
        <f>IF(LEFT(I5500,2)="MV",2*N5500*IF(L5500="1/C",O5500,1),0)</f>
        <v/>
      </c>
      <c r="Y5500" s="12">
        <f>IF(OR(LEFT(K5500,4)="LVAX",LEFT(K5500,6)="MV15AX",LEFT(K5500,4)="CTAX",LEFT(K5500,2)="W|"),2*N5500*O5500,0)</f>
        <v/>
      </c>
      <c r="Z5500" s="12" t="inlineStr">
        <is>
          <t>VD 1.5 %</t>
        </is>
      </c>
      <c r="AA5500" s="12">
        <f>N5500*O5500</f>
        <v/>
      </c>
    </row>
    <row r="5501">
      <c r="A5501" s="12" t="inlineStr">
        <is>
          <t>I-P-0245</t>
        </is>
      </c>
      <c r="B5501" s="12" t="inlineStr">
        <is>
          <t>I</t>
        </is>
      </c>
      <c r="C5501" s="12" t="inlineStr">
        <is>
          <t>Modular / portable power</t>
        </is>
      </c>
      <c r="D5501" s="12" t="inlineStr">
        <is>
          <t>Motor 2 of 6, 22 kW</t>
        </is>
      </c>
      <c r="E5501" s="12" t="inlineStr"/>
      <c r="F5501" s="12" t="inlineStr">
        <is>
          <t>PCM: power control module</t>
        </is>
      </c>
      <c r="G5501" s="12" t="inlineStr">
        <is>
          <t>RICE-8</t>
        </is>
      </c>
      <c r="H5501" s="12" t="inlineStr">
        <is>
          <t>RICE engine-generator 8</t>
        </is>
      </c>
      <c r="I5501" s="12" t="inlineStr">
        <is>
          <t>LV 600 V</t>
        </is>
      </c>
      <c r="J5501" s="12" t="inlineStr">
        <is>
          <t>Type TC-ER 600 V 3/C Cu XHHW-2 + ground, PVC jacket</t>
        </is>
      </c>
      <c r="K5501" s="12" t="inlineStr">
        <is>
          <t>LV|3/C+G|8</t>
        </is>
      </c>
      <c r="L5501" s="12" t="inlineStr">
        <is>
          <t>3/C+G</t>
        </is>
      </c>
      <c r="M5501" s="12" t="inlineStr">
        <is>
          <t>8</t>
        </is>
      </c>
      <c r="N5501" s="12" t="n">
        <v>1</v>
      </c>
      <c r="O5501" s="12" t="n">
        <v>1</v>
      </c>
      <c r="P5501" s="12" t="n">
        <v>480</v>
      </c>
      <c r="Q5501" s="12" t="n">
        <v>22</v>
      </c>
      <c r="R5501" s="12" t="n">
        <v>31.1</v>
      </c>
      <c r="S5501" s="12" t="inlineStr">
        <is>
          <t>Tray</t>
        </is>
      </c>
      <c r="T5501" s="17" t="n">
        <v>0</v>
      </c>
      <c r="U5501" s="17" t="n">
        <v>161</v>
      </c>
      <c r="V5501" s="17">
        <f>ROUNDUP((T5501+U5501+2*'Read Me'!$B$13)*(1+'Read Me'!$B$12),-1)</f>
        <v/>
      </c>
      <c r="W5501" s="17">
        <f>V5501*N5501*O5501</f>
        <v/>
      </c>
      <c r="X5501" s="12">
        <f>IF(LEFT(I5501,2)="MV",2*N5501*IF(L5501="1/C",O5501,1),0)</f>
        <v/>
      </c>
      <c r="Y5501" s="12">
        <f>IF(OR(LEFT(K5501,4)="LVAX",LEFT(K5501,6)="MV15AX",LEFT(K5501,4)="CTAX",LEFT(K5501,2)="W|"),2*N5501*O5501,0)</f>
        <v/>
      </c>
      <c r="Z5501" s="12" t="inlineStr">
        <is>
          <t>VD 1.5 %</t>
        </is>
      </c>
      <c r="AA5501" s="12">
        <f>N5501*O5501</f>
        <v/>
      </c>
    </row>
    <row r="5502">
      <c r="A5502" s="12" t="inlineStr">
        <is>
          <t>I-P-0246</t>
        </is>
      </c>
      <c r="B5502" s="12" t="inlineStr">
        <is>
          <t>I</t>
        </is>
      </c>
      <c r="C5502" s="12" t="inlineStr">
        <is>
          <t>Modular / portable power</t>
        </is>
      </c>
      <c r="D5502" s="12" t="inlineStr">
        <is>
          <t>Motor 3 of 6, 22 kW</t>
        </is>
      </c>
      <c r="E5502" s="12" t="inlineStr"/>
      <c r="F5502" s="12" t="inlineStr">
        <is>
          <t>PCM: power control module</t>
        </is>
      </c>
      <c r="G5502" s="12" t="inlineStr">
        <is>
          <t>RICE-8</t>
        </is>
      </c>
      <c r="H5502" s="12" t="inlineStr">
        <is>
          <t>RICE engine-generator 8</t>
        </is>
      </c>
      <c r="I5502" s="12" t="inlineStr">
        <is>
          <t>LV 600 V</t>
        </is>
      </c>
      <c r="J5502" s="12" t="inlineStr">
        <is>
          <t>Type TC-ER 600 V 3/C Cu XHHW-2 + ground, PVC jacket</t>
        </is>
      </c>
      <c r="K5502" s="12" t="inlineStr">
        <is>
          <t>LV|3/C+G|8</t>
        </is>
      </c>
      <c r="L5502" s="12" t="inlineStr">
        <is>
          <t>3/C+G</t>
        </is>
      </c>
      <c r="M5502" s="12" t="inlineStr">
        <is>
          <t>8</t>
        </is>
      </c>
      <c r="N5502" s="12" t="n">
        <v>1</v>
      </c>
      <c r="O5502" s="12" t="n">
        <v>1</v>
      </c>
      <c r="P5502" s="12" t="n">
        <v>480</v>
      </c>
      <c r="Q5502" s="12" t="n">
        <v>22</v>
      </c>
      <c r="R5502" s="12" t="n">
        <v>31.1</v>
      </c>
      <c r="S5502" s="12" t="inlineStr">
        <is>
          <t>Tray</t>
        </is>
      </c>
      <c r="T5502" s="17" t="n">
        <v>0</v>
      </c>
      <c r="U5502" s="17" t="n">
        <v>161</v>
      </c>
      <c r="V5502" s="17">
        <f>ROUNDUP((T5502+U5502+2*'Read Me'!$B$13)*(1+'Read Me'!$B$12),-1)</f>
        <v/>
      </c>
      <c r="W5502" s="17">
        <f>V5502*N5502*O5502</f>
        <v/>
      </c>
      <c r="X5502" s="12">
        <f>IF(LEFT(I5502,2)="MV",2*N5502*IF(L5502="1/C",O5502,1),0)</f>
        <v/>
      </c>
      <c r="Y5502" s="12">
        <f>IF(OR(LEFT(K5502,4)="LVAX",LEFT(K5502,6)="MV15AX",LEFT(K5502,4)="CTAX",LEFT(K5502,2)="W|"),2*N5502*O5502,0)</f>
        <v/>
      </c>
      <c r="Z5502" s="12" t="inlineStr">
        <is>
          <t>VD 1.5 %</t>
        </is>
      </c>
      <c r="AA5502" s="12">
        <f>N5502*O5502</f>
        <v/>
      </c>
    </row>
    <row r="5503">
      <c r="A5503" s="12" t="inlineStr">
        <is>
          <t>I-P-0247</t>
        </is>
      </c>
      <c r="B5503" s="12" t="inlineStr">
        <is>
          <t>I</t>
        </is>
      </c>
      <c r="C5503" s="12" t="inlineStr">
        <is>
          <t>Modular / portable power</t>
        </is>
      </c>
      <c r="D5503" s="12" t="inlineStr">
        <is>
          <t>Motor 4 of 6, 22 kW</t>
        </is>
      </c>
      <c r="E5503" s="12" t="inlineStr"/>
      <c r="F5503" s="12" t="inlineStr">
        <is>
          <t>PCM: power control module</t>
        </is>
      </c>
      <c r="G5503" s="12" t="inlineStr">
        <is>
          <t>RICE-8</t>
        </is>
      </c>
      <c r="H5503" s="12" t="inlineStr">
        <is>
          <t>RICE engine-generator 8</t>
        </is>
      </c>
      <c r="I5503" s="12" t="inlineStr">
        <is>
          <t>LV 600 V</t>
        </is>
      </c>
      <c r="J5503" s="12" t="inlineStr">
        <is>
          <t>Type TC-ER 600 V 3/C Cu XHHW-2 + ground, PVC jacket</t>
        </is>
      </c>
      <c r="K5503" s="12" t="inlineStr">
        <is>
          <t>LV|3/C+G|8</t>
        </is>
      </c>
      <c r="L5503" s="12" t="inlineStr">
        <is>
          <t>3/C+G</t>
        </is>
      </c>
      <c r="M5503" s="12" t="inlineStr">
        <is>
          <t>8</t>
        </is>
      </c>
      <c r="N5503" s="12" t="n">
        <v>1</v>
      </c>
      <c r="O5503" s="12" t="n">
        <v>1</v>
      </c>
      <c r="P5503" s="12" t="n">
        <v>480</v>
      </c>
      <c r="Q5503" s="12" t="n">
        <v>22</v>
      </c>
      <c r="R5503" s="12" t="n">
        <v>31.1</v>
      </c>
      <c r="S5503" s="12" t="inlineStr">
        <is>
          <t>Tray</t>
        </is>
      </c>
      <c r="T5503" s="17" t="n">
        <v>0</v>
      </c>
      <c r="U5503" s="17" t="n">
        <v>161</v>
      </c>
      <c r="V5503" s="17">
        <f>ROUNDUP((T5503+U5503+2*'Read Me'!$B$13)*(1+'Read Me'!$B$12),-1)</f>
        <v/>
      </c>
      <c r="W5503" s="17">
        <f>V5503*N5503*O5503</f>
        <v/>
      </c>
      <c r="X5503" s="12">
        <f>IF(LEFT(I5503,2)="MV",2*N5503*IF(L5503="1/C",O5503,1),0)</f>
        <v/>
      </c>
      <c r="Y5503" s="12">
        <f>IF(OR(LEFT(K5503,4)="LVAX",LEFT(K5503,6)="MV15AX",LEFT(K5503,4)="CTAX",LEFT(K5503,2)="W|"),2*N5503*O5503,0)</f>
        <v/>
      </c>
      <c r="Z5503" s="12" t="inlineStr">
        <is>
          <t>VD 1.5 %</t>
        </is>
      </c>
      <c r="AA5503" s="12">
        <f>N5503*O5503</f>
        <v/>
      </c>
    </row>
    <row r="5504">
      <c r="A5504" s="12" t="inlineStr">
        <is>
          <t>I-P-0248</t>
        </is>
      </c>
      <c r="B5504" s="12" t="inlineStr">
        <is>
          <t>I</t>
        </is>
      </c>
      <c r="C5504" s="12" t="inlineStr">
        <is>
          <t>Modular / portable power</t>
        </is>
      </c>
      <c r="D5504" s="12" t="inlineStr">
        <is>
          <t>Motor 5 of 6, 22 kW</t>
        </is>
      </c>
      <c r="E5504" s="12" t="inlineStr"/>
      <c r="F5504" s="12" t="inlineStr">
        <is>
          <t>PCM: power control module</t>
        </is>
      </c>
      <c r="G5504" s="12" t="inlineStr">
        <is>
          <t>RICE-8</t>
        </is>
      </c>
      <c r="H5504" s="12" t="inlineStr">
        <is>
          <t>RICE engine-generator 8</t>
        </is>
      </c>
      <c r="I5504" s="12" t="inlineStr">
        <is>
          <t>LV 600 V</t>
        </is>
      </c>
      <c r="J5504" s="12" t="inlineStr">
        <is>
          <t>Type TC-ER 600 V 3/C Cu XHHW-2 + ground, PVC jacket</t>
        </is>
      </c>
      <c r="K5504" s="12" t="inlineStr">
        <is>
          <t>LV|3/C+G|8</t>
        </is>
      </c>
      <c r="L5504" s="12" t="inlineStr">
        <is>
          <t>3/C+G</t>
        </is>
      </c>
      <c r="M5504" s="12" t="inlineStr">
        <is>
          <t>8</t>
        </is>
      </c>
      <c r="N5504" s="12" t="n">
        <v>1</v>
      </c>
      <c r="O5504" s="12" t="n">
        <v>1</v>
      </c>
      <c r="P5504" s="12" t="n">
        <v>480</v>
      </c>
      <c r="Q5504" s="12" t="n">
        <v>22</v>
      </c>
      <c r="R5504" s="12" t="n">
        <v>31.1</v>
      </c>
      <c r="S5504" s="12" t="inlineStr">
        <is>
          <t>Tray</t>
        </is>
      </c>
      <c r="T5504" s="17" t="n">
        <v>0</v>
      </c>
      <c r="U5504" s="17" t="n">
        <v>161</v>
      </c>
      <c r="V5504" s="17">
        <f>ROUNDUP((T5504+U5504+2*'Read Me'!$B$13)*(1+'Read Me'!$B$12),-1)</f>
        <v/>
      </c>
      <c r="W5504" s="17">
        <f>V5504*N5504*O5504</f>
        <v/>
      </c>
      <c r="X5504" s="12">
        <f>IF(LEFT(I5504,2)="MV",2*N5504*IF(L5504="1/C",O5504,1),0)</f>
        <v/>
      </c>
      <c r="Y5504" s="12">
        <f>IF(OR(LEFT(K5504,4)="LVAX",LEFT(K5504,6)="MV15AX",LEFT(K5504,4)="CTAX",LEFT(K5504,2)="W|"),2*N5504*O5504,0)</f>
        <v/>
      </c>
      <c r="Z5504" s="12" t="inlineStr">
        <is>
          <t>VD 1.5 %</t>
        </is>
      </c>
      <c r="AA5504" s="12">
        <f>N5504*O5504</f>
        <v/>
      </c>
    </row>
    <row r="5505">
      <c r="A5505" s="12" t="inlineStr">
        <is>
          <t>I-P-0249</t>
        </is>
      </c>
      <c r="B5505" s="12" t="inlineStr">
        <is>
          <t>I</t>
        </is>
      </c>
      <c r="C5505" s="12" t="inlineStr">
        <is>
          <t>Modular / portable power</t>
        </is>
      </c>
      <c r="D5505" s="12" t="inlineStr">
        <is>
          <t>Motor 6 of 6, 22 kW</t>
        </is>
      </c>
      <c r="E5505" s="12" t="inlineStr"/>
      <c r="F5505" s="12" t="inlineStr">
        <is>
          <t>PCM: power control module</t>
        </is>
      </c>
      <c r="G5505" s="12" t="inlineStr">
        <is>
          <t>RICE-8</t>
        </is>
      </c>
      <c r="H5505" s="12" t="inlineStr">
        <is>
          <t>RICE engine-generator 8</t>
        </is>
      </c>
      <c r="I5505" s="12" t="inlineStr">
        <is>
          <t>LV 600 V</t>
        </is>
      </c>
      <c r="J5505" s="12" t="inlineStr">
        <is>
          <t>Type TC-ER 600 V 3/C Cu XHHW-2 + ground, PVC jacket</t>
        </is>
      </c>
      <c r="K5505" s="12" t="inlineStr">
        <is>
          <t>LV|3/C+G|8</t>
        </is>
      </c>
      <c r="L5505" s="12" t="inlineStr">
        <is>
          <t>3/C+G</t>
        </is>
      </c>
      <c r="M5505" s="12" t="inlineStr">
        <is>
          <t>8</t>
        </is>
      </c>
      <c r="N5505" s="12" t="n">
        <v>1</v>
      </c>
      <c r="O5505" s="12" t="n">
        <v>1</v>
      </c>
      <c r="P5505" s="12" t="n">
        <v>480</v>
      </c>
      <c r="Q5505" s="12" t="n">
        <v>22</v>
      </c>
      <c r="R5505" s="12" t="n">
        <v>31.1</v>
      </c>
      <c r="S5505" s="12" t="inlineStr">
        <is>
          <t>Tray</t>
        </is>
      </c>
      <c r="T5505" s="17" t="n">
        <v>0</v>
      </c>
      <c r="U5505" s="17" t="n">
        <v>161</v>
      </c>
      <c r="V5505" s="17">
        <f>ROUNDUP((T5505+U5505+2*'Read Me'!$B$13)*(1+'Read Me'!$B$12),-1)</f>
        <v/>
      </c>
      <c r="W5505" s="17">
        <f>V5505*N5505*O5505</f>
        <v/>
      </c>
      <c r="X5505" s="12">
        <f>IF(LEFT(I5505,2)="MV",2*N5505*IF(L5505="1/C",O5505,1),0)</f>
        <v/>
      </c>
      <c r="Y5505" s="12">
        <f>IF(OR(LEFT(K5505,4)="LVAX",LEFT(K5505,6)="MV15AX",LEFT(K5505,4)="CTAX",LEFT(K5505,2)="W|"),2*N5505*O5505,0)</f>
        <v/>
      </c>
      <c r="Z5505" s="12" t="inlineStr">
        <is>
          <t>VD 1.5 %</t>
        </is>
      </c>
      <c r="AA5505" s="12">
        <f>N5505*O5505</f>
        <v/>
      </c>
    </row>
    <row r="5506">
      <c r="A5506" s="12" t="inlineStr">
        <is>
          <t>I-P-0250</t>
        </is>
      </c>
      <c r="B5506" s="12" t="inlineStr">
        <is>
          <t>I</t>
        </is>
      </c>
      <c r="C5506" s="12" t="inlineStr">
        <is>
          <t>Modular / portable power</t>
        </is>
      </c>
      <c r="D5506" s="12" t="inlineStr">
        <is>
          <t>480 V welding receptacle 1</t>
        </is>
      </c>
      <c r="E5506" s="12" t="inlineStr"/>
      <c r="F5506" s="12" t="inlineStr">
        <is>
          <t>PCM: power control module</t>
        </is>
      </c>
      <c r="G5506" s="12" t="inlineStr">
        <is>
          <t>RICE-8</t>
        </is>
      </c>
      <c r="H5506" s="12" t="inlineStr">
        <is>
          <t>RICE engine-generator 8</t>
        </is>
      </c>
      <c r="I5506" s="12" t="inlineStr">
        <is>
          <t>LV 600 V</t>
        </is>
      </c>
      <c r="J5506" s="12" t="inlineStr">
        <is>
          <t>Type TC-ER 600 V 3/C Cu XHHW-2 + ground, PVC jacket</t>
        </is>
      </c>
      <c r="K5506" s="12" t="inlineStr">
        <is>
          <t>LV|3/C+G|2</t>
        </is>
      </c>
      <c r="L5506" s="12" t="inlineStr">
        <is>
          <t>3/C+G</t>
        </is>
      </c>
      <c r="M5506" s="12" t="inlineStr">
        <is>
          <t>2</t>
        </is>
      </c>
      <c r="N5506" s="12" t="n">
        <v>1</v>
      </c>
      <c r="O5506" s="12" t="n">
        <v>1</v>
      </c>
      <c r="P5506" s="12" t="n">
        <v>480</v>
      </c>
      <c r="Q5506" s="12" t="n">
        <v>60</v>
      </c>
      <c r="R5506" s="12" t="n">
        <v>76</v>
      </c>
      <c r="S5506" s="12" t="inlineStr">
        <is>
          <t>Tray</t>
        </is>
      </c>
      <c r="T5506" s="17" t="n">
        <v>0</v>
      </c>
      <c r="U5506" s="17" t="n">
        <v>161</v>
      </c>
      <c r="V5506" s="17">
        <f>ROUNDUP((T5506+U5506+2*'Read Me'!$B$13)*(1+'Read Me'!$B$12),-1)</f>
        <v/>
      </c>
      <c r="W5506" s="17">
        <f>V5506*N5506*O5506</f>
        <v/>
      </c>
      <c r="X5506" s="12">
        <f>IF(LEFT(I5506,2)="MV",2*N5506*IF(L5506="1/C",O5506,1),0)</f>
        <v/>
      </c>
      <c r="Y5506" s="12">
        <f>IF(OR(LEFT(K5506,4)="LVAX",LEFT(K5506,6)="MV15AX",LEFT(K5506,4)="CTAX",LEFT(K5506,2)="W|"),2*N5506*O5506,0)</f>
        <v/>
      </c>
      <c r="Z5506" s="12" t="inlineStr">
        <is>
          <t>VD 0.9 %</t>
        </is>
      </c>
      <c r="AA5506" s="12">
        <f>N5506*O5506</f>
        <v/>
      </c>
    </row>
    <row r="5507">
      <c r="A5507" s="12" t="inlineStr">
        <is>
          <t>I-P-0251</t>
        </is>
      </c>
      <c r="B5507" s="12" t="inlineStr">
        <is>
          <t>I</t>
        </is>
      </c>
      <c r="C5507" s="12" t="inlineStr">
        <is>
          <t>Modular / portable power</t>
        </is>
      </c>
      <c r="D5507" s="12" t="inlineStr">
        <is>
          <t>480 V welding receptacle 2</t>
        </is>
      </c>
      <c r="E5507" s="12" t="inlineStr"/>
      <c r="F5507" s="12" t="inlineStr">
        <is>
          <t>PCM: power control module</t>
        </is>
      </c>
      <c r="G5507" s="12" t="inlineStr">
        <is>
          <t>RICE-8</t>
        </is>
      </c>
      <c r="H5507" s="12" t="inlineStr">
        <is>
          <t>RICE engine-generator 8</t>
        </is>
      </c>
      <c r="I5507" s="12" t="inlineStr">
        <is>
          <t>LV 600 V</t>
        </is>
      </c>
      <c r="J5507" s="12" t="inlineStr">
        <is>
          <t>Type TC-ER 600 V 3/C Cu XHHW-2 + ground, PVC jacket</t>
        </is>
      </c>
      <c r="K5507" s="12" t="inlineStr">
        <is>
          <t>LV|3/C+G|2</t>
        </is>
      </c>
      <c r="L5507" s="12" t="inlineStr">
        <is>
          <t>3/C+G</t>
        </is>
      </c>
      <c r="M5507" s="12" t="inlineStr">
        <is>
          <t>2</t>
        </is>
      </c>
      <c r="N5507" s="12" t="n">
        <v>1</v>
      </c>
      <c r="O5507" s="12" t="n">
        <v>1</v>
      </c>
      <c r="P5507" s="12" t="n">
        <v>480</v>
      </c>
      <c r="Q5507" s="12" t="n">
        <v>60</v>
      </c>
      <c r="R5507" s="12" t="n">
        <v>76</v>
      </c>
      <c r="S5507" s="12" t="inlineStr">
        <is>
          <t>Tray</t>
        </is>
      </c>
      <c r="T5507" s="17" t="n">
        <v>0</v>
      </c>
      <c r="U5507" s="17" t="n">
        <v>161</v>
      </c>
      <c r="V5507" s="17">
        <f>ROUNDUP((T5507+U5507+2*'Read Me'!$B$13)*(1+'Read Me'!$B$12),-1)</f>
        <v/>
      </c>
      <c r="W5507" s="17">
        <f>V5507*N5507*O5507</f>
        <v/>
      </c>
      <c r="X5507" s="12">
        <f>IF(LEFT(I5507,2)="MV",2*N5507*IF(L5507="1/C",O5507,1),0)</f>
        <v/>
      </c>
      <c r="Y5507" s="12">
        <f>IF(OR(LEFT(K5507,4)="LVAX",LEFT(K5507,6)="MV15AX",LEFT(K5507,4)="CTAX",LEFT(K5507,2)="W|"),2*N5507*O5507,0)</f>
        <v/>
      </c>
      <c r="Z5507" s="12" t="inlineStr">
        <is>
          <t>VD 0.9 %</t>
        </is>
      </c>
      <c r="AA5507" s="12">
        <f>N5507*O5507</f>
        <v/>
      </c>
    </row>
    <row r="5508">
      <c r="A5508" s="12" t="inlineStr">
        <is>
          <t>I-P-0252</t>
        </is>
      </c>
      <c r="B5508" s="12" t="inlineStr">
        <is>
          <t>I</t>
        </is>
      </c>
      <c r="C5508" s="12" t="inlineStr">
        <is>
          <t>Modular / portable power</t>
        </is>
      </c>
      <c r="D5508" s="12" t="inlineStr">
        <is>
          <t>480 V welding receptacle 3</t>
        </is>
      </c>
      <c r="E5508" s="12" t="inlineStr"/>
      <c r="F5508" s="12" t="inlineStr">
        <is>
          <t>PCM: power control module</t>
        </is>
      </c>
      <c r="G5508" s="12" t="inlineStr">
        <is>
          <t>RICE-8</t>
        </is>
      </c>
      <c r="H5508" s="12" t="inlineStr">
        <is>
          <t>RICE engine-generator 8</t>
        </is>
      </c>
      <c r="I5508" s="12" t="inlineStr">
        <is>
          <t>LV 600 V</t>
        </is>
      </c>
      <c r="J5508" s="12" t="inlineStr">
        <is>
          <t>Type TC-ER 600 V 3/C Cu XHHW-2 + ground, PVC jacket</t>
        </is>
      </c>
      <c r="K5508" s="12" t="inlineStr">
        <is>
          <t>LV|3/C+G|2</t>
        </is>
      </c>
      <c r="L5508" s="12" t="inlineStr">
        <is>
          <t>3/C+G</t>
        </is>
      </c>
      <c r="M5508" s="12" t="inlineStr">
        <is>
          <t>2</t>
        </is>
      </c>
      <c r="N5508" s="12" t="n">
        <v>1</v>
      </c>
      <c r="O5508" s="12" t="n">
        <v>1</v>
      </c>
      <c r="P5508" s="12" t="n">
        <v>480</v>
      </c>
      <c r="Q5508" s="12" t="n">
        <v>60</v>
      </c>
      <c r="R5508" s="12" t="n">
        <v>76</v>
      </c>
      <c r="S5508" s="12" t="inlineStr">
        <is>
          <t>Tray</t>
        </is>
      </c>
      <c r="T5508" s="17" t="n">
        <v>0</v>
      </c>
      <c r="U5508" s="17" t="n">
        <v>161</v>
      </c>
      <c r="V5508" s="17">
        <f>ROUNDUP((T5508+U5508+2*'Read Me'!$B$13)*(1+'Read Me'!$B$12),-1)</f>
        <v/>
      </c>
      <c r="W5508" s="17">
        <f>V5508*N5508*O5508</f>
        <v/>
      </c>
      <c r="X5508" s="12">
        <f>IF(LEFT(I5508,2)="MV",2*N5508*IF(L5508="1/C",O5508,1),0)</f>
        <v/>
      </c>
      <c r="Y5508" s="12">
        <f>IF(OR(LEFT(K5508,4)="LVAX",LEFT(K5508,6)="MV15AX",LEFT(K5508,4)="CTAX",LEFT(K5508,2)="W|"),2*N5508*O5508,0)</f>
        <v/>
      </c>
      <c r="Z5508" s="12" t="inlineStr">
        <is>
          <t>VD 0.9 %</t>
        </is>
      </c>
      <c r="AA5508" s="12">
        <f>N5508*O5508</f>
        <v/>
      </c>
    </row>
    <row r="5509">
      <c r="A5509" s="12" t="inlineStr">
        <is>
          <t>I-P-0253</t>
        </is>
      </c>
      <c r="B5509" s="12" t="inlineStr">
        <is>
          <t>I</t>
        </is>
      </c>
      <c r="C5509" s="12" t="inlineStr">
        <is>
          <t>Modular / portable power</t>
        </is>
      </c>
      <c r="D5509" s="12" t="inlineStr">
        <is>
          <t>480 V welding receptacle 4</t>
        </is>
      </c>
      <c r="E5509" s="12" t="inlineStr"/>
      <c r="F5509" s="12" t="inlineStr">
        <is>
          <t>PCM: power control module</t>
        </is>
      </c>
      <c r="G5509" s="12" t="inlineStr">
        <is>
          <t>RICE-8</t>
        </is>
      </c>
      <c r="H5509" s="12" t="inlineStr">
        <is>
          <t>RICE engine-generator 8</t>
        </is>
      </c>
      <c r="I5509" s="12" t="inlineStr">
        <is>
          <t>LV 600 V</t>
        </is>
      </c>
      <c r="J5509" s="12" t="inlineStr">
        <is>
          <t>Type TC-ER 600 V 3/C Cu XHHW-2 + ground, PVC jacket</t>
        </is>
      </c>
      <c r="K5509" s="12" t="inlineStr">
        <is>
          <t>LV|3/C+G|2</t>
        </is>
      </c>
      <c r="L5509" s="12" t="inlineStr">
        <is>
          <t>3/C+G</t>
        </is>
      </c>
      <c r="M5509" s="12" t="inlineStr">
        <is>
          <t>2</t>
        </is>
      </c>
      <c r="N5509" s="12" t="n">
        <v>1</v>
      </c>
      <c r="O5509" s="12" t="n">
        <v>1</v>
      </c>
      <c r="P5509" s="12" t="n">
        <v>480</v>
      </c>
      <c r="Q5509" s="12" t="n">
        <v>60</v>
      </c>
      <c r="R5509" s="12" t="n">
        <v>76</v>
      </c>
      <c r="S5509" s="12" t="inlineStr">
        <is>
          <t>Tray</t>
        </is>
      </c>
      <c r="T5509" s="17" t="n">
        <v>0</v>
      </c>
      <c r="U5509" s="17" t="n">
        <v>161</v>
      </c>
      <c r="V5509" s="17">
        <f>ROUNDUP((T5509+U5509+2*'Read Me'!$B$13)*(1+'Read Me'!$B$12),-1)</f>
        <v/>
      </c>
      <c r="W5509" s="17">
        <f>V5509*N5509*O5509</f>
        <v/>
      </c>
      <c r="X5509" s="12">
        <f>IF(LEFT(I5509,2)="MV",2*N5509*IF(L5509="1/C",O5509,1),0)</f>
        <v/>
      </c>
      <c r="Y5509" s="12">
        <f>IF(OR(LEFT(K5509,4)="LVAX",LEFT(K5509,6)="MV15AX",LEFT(K5509,4)="CTAX",LEFT(K5509,2)="W|"),2*N5509*O5509,0)</f>
        <v/>
      </c>
      <c r="Z5509" s="12" t="inlineStr">
        <is>
          <t>VD 0.9 %</t>
        </is>
      </c>
      <c r="AA5509" s="12">
        <f>N5509*O5509</f>
        <v/>
      </c>
    </row>
    <row r="5510">
      <c r="A5510" s="12" t="inlineStr">
        <is>
          <t>I-P-0254</t>
        </is>
      </c>
      <c r="B5510" s="12" t="inlineStr">
        <is>
          <t>I</t>
        </is>
      </c>
      <c r="C5510" s="12" t="inlineStr">
        <is>
          <t>Modular / portable power</t>
        </is>
      </c>
      <c r="D5510" s="12" t="inlineStr">
        <is>
          <t>LV power feeder</t>
        </is>
      </c>
      <c r="E5510" s="12" t="inlineStr"/>
      <c r="F5510" s="12" t="inlineStr">
        <is>
          <t>PCM: power control module</t>
        </is>
      </c>
      <c r="G5510" s="12" t="inlineStr"/>
      <c r="H5510" s="12" t="inlineStr">
        <is>
          <t>Reagent storage</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15</v>
      </c>
      <c r="R5510" s="12" t="n">
        <v>21.2</v>
      </c>
      <c r="S5510" s="12" t="inlineStr">
        <is>
          <t>Tray</t>
        </is>
      </c>
      <c r="T5510" s="17" t="n">
        <v>40</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is>
          <t>VD 0.7 %</t>
        </is>
      </c>
      <c r="AA5510" s="12">
        <f>N5510*O5510</f>
        <v/>
      </c>
    </row>
    <row r="5511">
      <c r="A5511" s="12" t="inlineStr">
        <is>
          <t>I-P-0255</t>
        </is>
      </c>
      <c r="B5511" s="12" t="inlineStr">
        <is>
          <t>I</t>
        </is>
      </c>
      <c r="C5511" s="12" t="inlineStr">
        <is>
          <t>Modular / portable power</t>
        </is>
      </c>
      <c r="D5511" s="12" t="inlineStr">
        <is>
          <t>SC-1 CEMS shelter panel: analysers, heated sample line, lighting</t>
        </is>
      </c>
      <c r="E5511" s="12" t="inlineStr"/>
      <c r="F5511" s="12" t="inlineStr">
        <is>
          <t>SC-1 PCM + 15 kV GCB</t>
        </is>
      </c>
      <c r="G5511" s="12" t="inlineStr"/>
      <c r="H5511" s="12" t="inlineStr">
        <is>
          <t>SC-1 CEMS shelter</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15</v>
      </c>
      <c r="R5511" s="12" t="n">
        <v>19</v>
      </c>
      <c r="S5511" s="12" t="inlineStr">
        <is>
          <t>Tray</t>
        </is>
      </c>
      <c r="T5511" s="17" t="n">
        <v>0</v>
      </c>
      <c r="U5511" s="17" t="n">
        <v>229</v>
      </c>
      <c r="V5511" s="17">
        <f>ROUNDUP((T5511+U5511+2*'Read Me'!$B$13)*(1+'Read Me'!$B$12),-1)</f>
        <v/>
      </c>
      <c r="W5511" s="17">
        <f>V5511*N5511*O5511</f>
        <v/>
      </c>
      <c r="X5511" s="12">
        <f>IF(LEFT(I5511,2)="MV",2*N5511*IF(L5511="1/C",O5511,1),0)</f>
        <v/>
      </c>
      <c r="Y5511" s="12">
        <f>IF(OR(LEFT(K5511,4)="LVAX",LEFT(K5511,6)="MV15AX",LEFT(K5511,4)="CTAX",LEFT(K5511,2)="W|"),2*N5511*O5511,0)</f>
        <v/>
      </c>
      <c r="Z5511" s="12" t="inlineStr">
        <is>
          <t>VD 2.1 %</t>
        </is>
      </c>
      <c r="AA5511" s="12">
        <f>N5511*O5511</f>
        <v/>
      </c>
    </row>
    <row r="5512">
      <c r="A5512" s="12" t="inlineStr">
        <is>
          <t>I-P-0256</t>
        </is>
      </c>
      <c r="B5512" s="12" t="inlineStr">
        <is>
          <t>I</t>
        </is>
      </c>
      <c r="C5512" s="12" t="inlineStr">
        <is>
          <t>Modular / portable power</t>
        </is>
      </c>
      <c r="D5512" s="12" t="inlineStr">
        <is>
          <t>Motor 1 of 2, 5 kW</t>
        </is>
      </c>
      <c r="E5512" s="12" t="inlineStr"/>
      <c r="F5512" s="12" t="inlineStr">
        <is>
          <t>SC-1 PCM + 15 kV GCB</t>
        </is>
      </c>
      <c r="G5512" s="12" t="inlineStr"/>
      <c r="H5512" s="12" t="inlineStr">
        <is>
          <t>SC-1 CEMS shelter</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5</v>
      </c>
      <c r="R5512" s="12" t="n">
        <v>7.1</v>
      </c>
      <c r="S5512" s="12" t="inlineStr">
        <is>
          <t>Tray</t>
        </is>
      </c>
      <c r="T5512" s="17" t="n">
        <v>0</v>
      </c>
      <c r="U5512" s="17" t="n">
        <v>229</v>
      </c>
      <c r="V5512" s="17">
        <f>ROUNDUP((T5512+U5512+2*'Read Me'!$B$13)*(1+'Read Me'!$B$12),-1)</f>
        <v/>
      </c>
      <c r="W5512" s="17">
        <f>V5512*N5512*O5512</f>
        <v/>
      </c>
      <c r="X5512" s="12">
        <f>IF(LEFT(I5512,2)="MV",2*N5512*IF(L5512="1/C",O5512,1),0)</f>
        <v/>
      </c>
      <c r="Y5512" s="12">
        <f>IF(OR(LEFT(K5512,4)="LVAX",LEFT(K5512,6)="MV15AX",LEFT(K5512,4)="CTAX",LEFT(K5512,2)="W|"),2*N5512*O5512,0)</f>
        <v/>
      </c>
      <c r="Z5512" s="12" t="inlineStr">
        <is>
          <t>VD 0.8 %</t>
        </is>
      </c>
      <c r="AA5512" s="12">
        <f>N5512*O5512</f>
        <v/>
      </c>
    </row>
    <row r="5513">
      <c r="A5513" s="12" t="inlineStr">
        <is>
          <t>I-P-0257</t>
        </is>
      </c>
      <c r="B5513" s="12" t="inlineStr">
        <is>
          <t>I</t>
        </is>
      </c>
      <c r="C5513" s="12" t="inlineStr">
        <is>
          <t>Modular / portable power</t>
        </is>
      </c>
      <c r="D5513" s="12" t="inlineStr">
        <is>
          <t>Motor 2 of 2, 5 kW</t>
        </is>
      </c>
      <c r="E5513" s="12" t="inlineStr"/>
      <c r="F5513" s="12" t="inlineStr">
        <is>
          <t>SC-1 PCM + 15 kV GCB</t>
        </is>
      </c>
      <c r="G5513" s="12" t="inlineStr"/>
      <c r="H5513" s="12" t="inlineStr">
        <is>
          <t>SC-1 CEMS shelter</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5</v>
      </c>
      <c r="R5513" s="12" t="n">
        <v>7.1</v>
      </c>
      <c r="S5513" s="12" t="inlineStr">
        <is>
          <t>Tray</t>
        </is>
      </c>
      <c r="T5513" s="17" t="n">
        <v>0</v>
      </c>
      <c r="U5513" s="17" t="n">
        <v>229</v>
      </c>
      <c r="V5513" s="17">
        <f>ROUNDUP((T5513+U5513+2*'Read Me'!$B$13)*(1+'Read Me'!$B$12),-1)</f>
        <v/>
      </c>
      <c r="W5513" s="17">
        <f>V5513*N5513*O5513</f>
        <v/>
      </c>
      <c r="X5513" s="12">
        <f>IF(LEFT(I5513,2)="MV",2*N5513*IF(L5513="1/C",O5513,1),0)</f>
        <v/>
      </c>
      <c r="Y5513" s="12">
        <f>IF(OR(LEFT(K5513,4)="LVAX",LEFT(K5513,6)="MV15AX",LEFT(K5513,4)="CTAX",LEFT(K5513,2)="W|"),2*N5513*O5513,0)</f>
        <v/>
      </c>
      <c r="Z5513" s="12" t="inlineStr">
        <is>
          <t>VD 0.8 %</t>
        </is>
      </c>
      <c r="AA5513" s="12">
        <f>N5513*O5513</f>
        <v/>
      </c>
    </row>
    <row r="5514">
      <c r="A5514" s="12" t="inlineStr">
        <is>
          <t>I-P-0258</t>
        </is>
      </c>
      <c r="B5514" s="12" t="inlineStr">
        <is>
          <t>I</t>
        </is>
      </c>
      <c r="C5514" s="12" t="inlineStr">
        <is>
          <t>Modular / portable power</t>
        </is>
      </c>
      <c r="D5514" s="12" t="inlineStr">
        <is>
          <t>SC-1 125 V DC battery to charger / DC panel</t>
        </is>
      </c>
      <c r="E5514" s="12" t="inlineStr"/>
      <c r="F5514" s="12" t="inlineStr">
        <is>
          <t>SC-1 PCM + 15 kV GCB</t>
        </is>
      </c>
      <c r="G5514" s="12" t="inlineStr"/>
      <c r="H5514" s="12" t="inlineStr">
        <is>
          <t>SC-1 PCM + 15 kV GCB</t>
        </is>
      </c>
      <c r="I5514" s="12" t="inlineStr">
        <is>
          <t>LV 600 V</t>
        </is>
      </c>
      <c r="J5514" s="12" t="inlineStr">
        <is>
          <t>XHHW-2 600 V 1/C Cu (feeder sets in tray / duct)</t>
        </is>
      </c>
      <c r="K5514" s="12" t="inlineStr">
        <is>
          <t>LV1C|1/C|4/0</t>
        </is>
      </c>
      <c r="L5514" s="12" t="inlineStr">
        <is>
          <t>1/C</t>
        </is>
      </c>
      <c r="M5514" s="12" t="inlineStr">
        <is>
          <t>4/0</t>
        </is>
      </c>
      <c r="N5514" s="12" t="n">
        <v>1</v>
      </c>
      <c r="O5514" s="12" t="n">
        <v>2</v>
      </c>
      <c r="P5514" s="12" t="n">
        <v>125</v>
      </c>
      <c r="Q5514" s="12" t="n"/>
      <c r="R5514" s="12" t="n"/>
      <c r="S5514" s="12" t="inlineStr">
        <is>
          <t>Tray</t>
        </is>
      </c>
      <c r="T5514" s="17" t="n">
        <v>15</v>
      </c>
      <c r="U5514" s="17" t="n">
        <v>5</v>
      </c>
      <c r="V5514" s="17">
        <f>ROUNDUP((T5514+U5514+2*'Read Me'!$B$13)*(1+'Read Me'!$B$12),-1)</f>
        <v/>
      </c>
      <c r="W5514" s="17">
        <f>V5514*N5514*O5514</f>
        <v/>
      </c>
      <c r="X5514" s="12">
        <f>IF(LEFT(I5514,2)="MV",2*N5514*IF(L5514="1/C",O5514,1),0)</f>
        <v/>
      </c>
      <c r="Y5514" s="12">
        <f>IF(OR(LEFT(K5514,4)="LVAX",LEFT(K5514,6)="MV15AX",LEFT(K5514,4)="CTAX",LEFT(K5514,2)="W|"),2*N5514*O5514,0)</f>
        <v/>
      </c>
      <c r="Z5514" s="12" t="inlineStr">
        <is>
          <t>battery rack inside the PCM</t>
        </is>
      </c>
      <c r="AA5514" s="12">
        <f>N5514*O5514</f>
        <v/>
      </c>
    </row>
    <row r="5515">
      <c r="A5515" s="12" t="inlineStr">
        <is>
          <t>I-P-0259</t>
        </is>
      </c>
      <c r="B5515" s="12" t="inlineStr">
        <is>
          <t>I</t>
        </is>
      </c>
      <c r="C5515" s="12" t="inlineStr">
        <is>
          <t>Modular / portable power</t>
        </is>
      </c>
      <c r="D5515" s="12" t="inlineStr">
        <is>
          <t>SC-1 PCM lighting, receptacles and HVAC (from its own 480 V board)</t>
        </is>
      </c>
      <c r="E5515" s="12" t="inlineStr"/>
      <c r="F5515" s="12" t="inlineStr">
        <is>
          <t>SC-1 PCM + 15 kV GCB</t>
        </is>
      </c>
      <c r="G5515" s="12" t="inlineStr"/>
      <c r="H5515" s="12" t="inlineStr">
        <is>
          <t>SC-1 PCM + 15 kV GCB</t>
        </is>
      </c>
      <c r="I5515" s="12" t="inlineStr">
        <is>
          <t>LV 600 V</t>
        </is>
      </c>
      <c r="J5515" s="12" t="inlineStr">
        <is>
          <t>Type TC-ER 600 V 3/C Cu XHHW-2 + ground, PVC jacket</t>
        </is>
      </c>
      <c r="K5515" s="12" t="inlineStr">
        <is>
          <t>LV|3/C+G|2</t>
        </is>
      </c>
      <c r="L5515" s="12" t="inlineStr">
        <is>
          <t>3/C+G</t>
        </is>
      </c>
      <c r="M5515" s="12" t="inlineStr">
        <is>
          <t>2</t>
        </is>
      </c>
      <c r="N5515" s="12" t="n">
        <v>1</v>
      </c>
      <c r="O5515" s="12" t="n">
        <v>1</v>
      </c>
      <c r="P5515" s="12" t="n">
        <v>480</v>
      </c>
      <c r="Q5515" s="12" t="n">
        <v>40</v>
      </c>
      <c r="R5515" s="12" t="n"/>
      <c r="S5515" s="12" t="inlineStr">
        <is>
          <t>Tray</t>
        </is>
      </c>
      <c r="T5515" s="17" t="n">
        <v>80</v>
      </c>
      <c r="U5515" s="17" t="n">
        <v>10</v>
      </c>
      <c r="V5515" s="17">
        <f>ROUNDUP((T5515+U5515+2*'Read Me'!$B$13)*(1+'Read Me'!$B$12),-1)</f>
        <v/>
      </c>
      <c r="W5515" s="17">
        <f>V5515*N5515*O5515</f>
        <v/>
      </c>
      <c r="X5515" s="12">
        <f>IF(LEFT(I5515,2)="MV",2*N5515*IF(L5515="1/C",O5515,1),0)</f>
        <v/>
      </c>
      <c r="Y5515" s="12">
        <f>IF(OR(LEFT(K5515,4)="LVAX",LEFT(K5515,6)="MV15AX",LEFT(K5515,4)="CTAX",LEFT(K5515,2)="W|"),2*N5515*O5515,0)</f>
        <v/>
      </c>
      <c r="Z5515" s="12" t="inlineStr">
        <is>
          <t>internal to the PCM; aux transformer 13.8 kV / 480 V inside</t>
        </is>
      </c>
      <c r="AA5515" s="12">
        <f>N5515*O5515</f>
        <v/>
      </c>
    </row>
    <row r="5516">
      <c r="A5516" s="12" t="inlineStr">
        <is>
          <t>I-P-0260</t>
        </is>
      </c>
      <c r="B5516" s="12" t="inlineStr">
        <is>
          <t>I</t>
        </is>
      </c>
      <c r="C5516" s="12" t="inlineStr">
        <is>
          <t>Modular / portable power</t>
        </is>
      </c>
      <c r="D5516" s="12" t="inlineStr">
        <is>
          <t>Area / platform lighting circuit 1 (10 fixtures)</t>
        </is>
      </c>
      <c r="E5516" s="12" t="inlineStr"/>
      <c r="F5516" s="12" t="inlineStr">
        <is>
          <t>SC-1 PCM + 15 kV GCB</t>
        </is>
      </c>
      <c r="G5516" s="12" t="inlineStr"/>
      <c r="H5516" s="12" t="inlineStr">
        <is>
          <t>SC-1 SCR / CO catalyst</t>
        </is>
      </c>
      <c r="I5516" s="12" t="inlineStr">
        <is>
          <t>LV 600 V</t>
        </is>
      </c>
      <c r="J5516" s="12" t="inlineStr">
        <is>
          <t>Type TC-ER 600 V 3/C Cu XHHW-2 + ground, PVC jacket</t>
        </is>
      </c>
      <c r="K5516" s="12" t="inlineStr">
        <is>
          <t>LV|3/C+G|10</t>
        </is>
      </c>
      <c r="L5516" s="12" t="inlineStr">
        <is>
          <t>3/C+G</t>
        </is>
      </c>
      <c r="M5516" s="12" t="inlineStr">
        <is>
          <t>10</t>
        </is>
      </c>
      <c r="N5516" s="12" t="n">
        <v>1</v>
      </c>
      <c r="O5516" s="12" t="n">
        <v>1</v>
      </c>
      <c r="P5516" s="12" t="n">
        <v>480</v>
      </c>
      <c r="Q5516" s="12" t="n">
        <v>3</v>
      </c>
      <c r="R5516" s="12" t="n">
        <v>5</v>
      </c>
      <c r="S5516" s="12" t="inlineStr">
        <is>
          <t>Tray</t>
        </is>
      </c>
      <c r="T5516" s="17" t="n">
        <v>300</v>
      </c>
      <c r="U5516" s="17" t="n">
        <v>154</v>
      </c>
      <c r="V5516" s="17">
        <f>ROUNDUP((T5516+U5516+2*'Read Me'!$B$13)*(1+'Read Me'!$B$12),-1)</f>
        <v/>
      </c>
      <c r="W5516" s="17">
        <f>V5516*N5516*O5516</f>
        <v/>
      </c>
      <c r="X5516" s="12">
        <f>IF(LEFT(I5516,2)="MV",2*N5516*IF(L5516="1/C",O5516,1),0)</f>
        <v/>
      </c>
      <c r="Y5516" s="12">
        <f>IF(OR(LEFT(K5516,4)="LVAX",LEFT(K5516,6)="MV15AX",LEFT(K5516,4)="CTAX",LEFT(K5516,2)="W|"),2*N5516*O5516,0)</f>
        <v/>
      </c>
      <c r="Z5516" s="12" t="inlineStr">
        <is>
          <t>fixture-to-fixture run included</t>
        </is>
      </c>
      <c r="AA5516" s="12">
        <f>N5516*O5516</f>
        <v/>
      </c>
    </row>
    <row r="5517">
      <c r="A5517" s="12" t="inlineStr">
        <is>
          <t>I-P-0261</t>
        </is>
      </c>
      <c r="B5517" s="12" t="inlineStr">
        <is>
          <t>I</t>
        </is>
      </c>
      <c r="C5517" s="12" t="inlineStr">
        <is>
          <t>Modular / portable power</t>
        </is>
      </c>
      <c r="D5517" s="12" t="inlineStr">
        <is>
          <t>SC-1 ammonia vaporiser electric heater</t>
        </is>
      </c>
      <c r="E5517" s="12" t="inlineStr"/>
      <c r="F5517" s="12" t="inlineStr">
        <is>
          <t>SC-1 PCM + 15 kV GCB</t>
        </is>
      </c>
      <c r="G5517" s="12" t="inlineStr"/>
      <c r="H5517" s="12" t="inlineStr">
        <is>
          <t>SC-1 ammonia flow-control unit</t>
        </is>
      </c>
      <c r="I5517" s="12" t="inlineStr">
        <is>
          <t>LV 600 V</t>
        </is>
      </c>
      <c r="J5517" s="12" t="inlineStr">
        <is>
          <t>Type TC-ER 600 V 3/C Cu XHHW-2 + ground, PVC jacket</t>
        </is>
      </c>
      <c r="K5517" s="12" t="inlineStr">
        <is>
          <t>LV|3/C+G|4</t>
        </is>
      </c>
      <c r="L5517" s="12" t="inlineStr">
        <is>
          <t>3/C+G</t>
        </is>
      </c>
      <c r="M5517" s="12" t="inlineStr">
        <is>
          <t>4</t>
        </is>
      </c>
      <c r="N5517" s="12" t="n">
        <v>1</v>
      </c>
      <c r="O5517" s="12" t="n">
        <v>1</v>
      </c>
      <c r="P5517" s="12" t="n">
        <v>480</v>
      </c>
      <c r="Q5517" s="12" t="n">
        <v>45</v>
      </c>
      <c r="R5517" s="12" t="n">
        <v>57</v>
      </c>
      <c r="S5517" s="12" t="inlineStr">
        <is>
          <t>Tray</t>
        </is>
      </c>
      <c r="T5517" s="17" t="n">
        <v>0</v>
      </c>
      <c r="U5517" s="17" t="n">
        <v>152</v>
      </c>
      <c r="V5517" s="17">
        <f>ROUNDUP((T5517+U5517+2*'Read Me'!$B$13)*(1+'Read Me'!$B$12),-1)</f>
        <v/>
      </c>
      <c r="W5517" s="17">
        <f>V5517*N5517*O5517</f>
        <v/>
      </c>
      <c r="X5517" s="12">
        <f>IF(LEFT(I5517,2)="MV",2*N5517*IF(L5517="1/C",O5517,1),0)</f>
        <v/>
      </c>
      <c r="Y5517" s="12">
        <f>IF(OR(LEFT(K5517,4)="LVAX",LEFT(K5517,6)="MV15AX",LEFT(K5517,4)="CTAX",LEFT(K5517,2)="W|"),2*N5517*O5517,0)</f>
        <v/>
      </c>
      <c r="Z5517" s="12" t="inlineStr">
        <is>
          <t>VD 1.1 %</t>
        </is>
      </c>
      <c r="AA5517" s="12">
        <f>N5517*O5517</f>
        <v/>
      </c>
    </row>
    <row r="5518">
      <c r="A5518" s="12" t="inlineStr">
        <is>
          <t>I-P-0262</t>
        </is>
      </c>
      <c r="B5518" s="12" t="inlineStr">
        <is>
          <t>I</t>
        </is>
      </c>
      <c r="C5518" s="12" t="inlineStr">
        <is>
          <t>Modular / portable power</t>
        </is>
      </c>
      <c r="D5518" s="12" t="inlineStr">
        <is>
          <t>Motor 1 of 2, 7.5 kW</t>
        </is>
      </c>
      <c r="E5518" s="12" t="inlineStr"/>
      <c r="F5518" s="12" t="inlineStr">
        <is>
          <t>SC-1 PCM + 15 kV GCB</t>
        </is>
      </c>
      <c r="G5518" s="12" t="inlineStr"/>
      <c r="H5518" s="12" t="inlineStr">
        <is>
          <t>SC-1 ammonia flow-control unit</t>
        </is>
      </c>
      <c r="I5518" s="12" t="inlineStr">
        <is>
          <t>LV 600 V</t>
        </is>
      </c>
      <c r="J5518" s="12" t="inlineStr">
        <is>
          <t>Type TC-ER 600 V 3/C Cu XHHW-2 + ground, PVC jacket</t>
        </is>
      </c>
      <c r="K5518" s="12" t="inlineStr">
        <is>
          <t>LV|3/C+G|10</t>
        </is>
      </c>
      <c r="L5518" s="12" t="inlineStr">
        <is>
          <t>3/C+G</t>
        </is>
      </c>
      <c r="M5518" s="12" t="inlineStr">
        <is>
          <t>10</t>
        </is>
      </c>
      <c r="N5518" s="12" t="n">
        <v>1</v>
      </c>
      <c r="O5518" s="12" t="n">
        <v>1</v>
      </c>
      <c r="P5518" s="12" t="n">
        <v>480</v>
      </c>
      <c r="Q5518" s="12" t="n">
        <v>7.5</v>
      </c>
      <c r="R5518" s="12" t="n">
        <v>10.6</v>
      </c>
      <c r="S5518" s="12" t="inlineStr">
        <is>
          <t>Tray</t>
        </is>
      </c>
      <c r="T5518" s="17" t="n">
        <v>0</v>
      </c>
      <c r="U5518" s="17" t="n">
        <v>152</v>
      </c>
      <c r="V5518" s="17">
        <f>ROUNDUP((T5518+U5518+2*'Read Me'!$B$13)*(1+'Read Me'!$B$12),-1)</f>
        <v/>
      </c>
      <c r="W5518" s="17">
        <f>V5518*N5518*O5518</f>
        <v/>
      </c>
      <c r="X5518" s="12">
        <f>IF(LEFT(I5518,2)="MV",2*N5518*IF(L5518="1/C",O5518,1),0)</f>
        <v/>
      </c>
      <c r="Y5518" s="12">
        <f>IF(OR(LEFT(K5518,4)="LVAX",LEFT(K5518,6)="MV15AX",LEFT(K5518,4)="CTAX",LEFT(K5518,2)="W|"),2*N5518*O5518,0)</f>
        <v/>
      </c>
      <c r="Z5518" s="12" t="inlineStr">
        <is>
          <t>VD 0.8 %</t>
        </is>
      </c>
      <c r="AA5518" s="12">
        <f>N5518*O5518</f>
        <v/>
      </c>
    </row>
    <row r="5519">
      <c r="A5519" s="12" t="inlineStr">
        <is>
          <t>I-P-0263</t>
        </is>
      </c>
      <c r="B5519" s="12" t="inlineStr">
        <is>
          <t>I</t>
        </is>
      </c>
      <c r="C5519" s="12" t="inlineStr">
        <is>
          <t>Modular / portable power</t>
        </is>
      </c>
      <c r="D5519" s="12" t="inlineStr">
        <is>
          <t>Motor 2 of 2, 7.5 kW</t>
        </is>
      </c>
      <c r="E5519" s="12" t="inlineStr"/>
      <c r="F5519" s="12" t="inlineStr">
        <is>
          <t>SC-1 PCM + 15 kV GCB</t>
        </is>
      </c>
      <c r="G5519" s="12" t="inlineStr"/>
      <c r="H5519" s="12" t="inlineStr">
        <is>
          <t>SC-1 ammonia flow-control unit</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7.5</v>
      </c>
      <c r="R5519" s="12" t="n">
        <v>10.6</v>
      </c>
      <c r="S5519" s="12" t="inlineStr">
        <is>
          <t>Tray</t>
        </is>
      </c>
      <c r="T5519" s="17" t="n">
        <v>0</v>
      </c>
      <c r="U5519" s="17" t="n">
        <v>152</v>
      </c>
      <c r="V5519" s="17">
        <f>ROUNDUP((T5519+U5519+2*'Read Me'!$B$13)*(1+'Read Me'!$B$12),-1)</f>
        <v/>
      </c>
      <c r="W5519" s="17">
        <f>V5519*N5519*O5519</f>
        <v/>
      </c>
      <c r="X5519" s="12">
        <f>IF(LEFT(I5519,2)="MV",2*N5519*IF(L5519="1/C",O5519,1),0)</f>
        <v/>
      </c>
      <c r="Y5519" s="12">
        <f>IF(OR(LEFT(K5519,4)="LVAX",LEFT(K5519,6)="MV15AX",LEFT(K5519,4)="CTAX",LEFT(K5519,2)="W|"),2*N5519*O5519,0)</f>
        <v/>
      </c>
      <c r="Z5519" s="12" t="inlineStr">
        <is>
          <t>VD 0.8 %</t>
        </is>
      </c>
      <c r="AA5519" s="12">
        <f>N5519*O5519</f>
        <v/>
      </c>
    </row>
    <row r="5520">
      <c r="A5520" s="12" t="inlineStr">
        <is>
          <t>I-P-0264</t>
        </is>
      </c>
      <c r="B5520" s="12" t="inlineStr">
        <is>
          <t>I</t>
        </is>
      </c>
      <c r="C5520" s="12" t="inlineStr">
        <is>
          <t>Modular / portable power</t>
        </is>
      </c>
      <c r="D5520" s="12" t="inlineStr">
        <is>
          <t>SC-1 water-wash tank heater</t>
        </is>
      </c>
      <c r="E5520" s="12" t="inlineStr"/>
      <c r="F5520" s="12" t="inlineStr">
        <is>
          <t>SC-1 PCM + 15 kV GCB</t>
        </is>
      </c>
      <c r="G5520" s="12" t="inlineStr"/>
      <c r="H5520" s="12" t="inlineStr">
        <is>
          <t>SC-1 auxiliary skids: fuel-gas module, water-wash skid</t>
        </is>
      </c>
      <c r="I5520" s="12" t="inlineStr">
        <is>
          <t>LV 600 V</t>
        </is>
      </c>
      <c r="J5520" s="12" t="inlineStr">
        <is>
          <t>ARMOR-X MC-HL 600 V 3/C Cu XHHW-2 + ground, CWA, black PVC (Class I Div 2)</t>
        </is>
      </c>
      <c r="K5520" s="12" t="inlineStr">
        <is>
          <t>LVAX|3/C+G|10</t>
        </is>
      </c>
      <c r="L5520" s="12" t="inlineStr">
        <is>
          <t>3/C+G</t>
        </is>
      </c>
      <c r="M5520" s="12" t="inlineStr">
        <is>
          <t>10</t>
        </is>
      </c>
      <c r="N5520" s="12" t="n">
        <v>1</v>
      </c>
      <c r="O5520" s="12" t="n">
        <v>1</v>
      </c>
      <c r="P5520" s="12" t="n">
        <v>480</v>
      </c>
      <c r="Q5520" s="12" t="n">
        <v>6</v>
      </c>
      <c r="R5520" s="12" t="n">
        <v>7.6</v>
      </c>
      <c r="S5520" s="12" t="inlineStr">
        <is>
          <t>Tray</t>
        </is>
      </c>
      <c r="T5520" s="17" t="n">
        <v>0</v>
      </c>
      <c r="U5520" s="17" t="n">
        <v>77</v>
      </c>
      <c r="V5520" s="17">
        <f>ROUNDUP((T5520+U5520+2*'Read Me'!$B$13)*(1+'Read Me'!$B$12),-1)</f>
        <v/>
      </c>
      <c r="W5520" s="17">
        <f>V5520*N5520*O5520</f>
        <v/>
      </c>
      <c r="X5520" s="12">
        <f>IF(LEFT(I5520,2)="MV",2*N5520*IF(L5520="1/C",O5520,1),0)</f>
        <v/>
      </c>
      <c r="Y5520" s="12">
        <f>IF(OR(LEFT(K5520,4)="LVAX",LEFT(K5520,6)="MV15AX",LEFT(K5520,4)="CTAX",LEFT(K5520,2)="W|"),2*N5520*O5520,0)</f>
        <v/>
      </c>
      <c r="Z5520" s="12" t="inlineStr">
        <is>
          <t>VD 0.3 %</t>
        </is>
      </c>
      <c r="AA5520" s="12">
        <f>N5520*O5520</f>
        <v/>
      </c>
    </row>
    <row r="5521">
      <c r="A5521" s="12" t="inlineStr">
        <is>
          <t>I-P-0265</t>
        </is>
      </c>
      <c r="B5521" s="12" t="inlineStr">
        <is>
          <t>I</t>
        </is>
      </c>
      <c r="C5521" s="12" t="inlineStr">
        <is>
          <t>Modular / portable power</t>
        </is>
      </c>
      <c r="D5521" s="12" t="inlineStr">
        <is>
          <t>Motor 1 of 1, 7.5 kW</t>
        </is>
      </c>
      <c r="E5521" s="12" t="inlineStr"/>
      <c r="F5521" s="12" t="inlineStr">
        <is>
          <t>SC-1 PCM + 15 kV GCB</t>
        </is>
      </c>
      <c r="G5521" s="12" t="inlineStr"/>
      <c r="H5521" s="12" t="inlineStr">
        <is>
          <t>SC-1 auxiliary skids: fuel-gas module, water-wash skid</t>
        </is>
      </c>
      <c r="I5521" s="12" t="inlineStr">
        <is>
          <t>LV 600 V</t>
        </is>
      </c>
      <c r="J5521" s="12" t="inlineStr">
        <is>
          <t>ARMOR-X MC-HL 600 V 3/C Cu XHHW-2 + ground, CWA, black PVC (Class I Div 2)</t>
        </is>
      </c>
      <c r="K5521" s="12" t="inlineStr">
        <is>
          <t>LVAX|3/C+G|10</t>
        </is>
      </c>
      <c r="L5521" s="12" t="inlineStr">
        <is>
          <t>3/C+G</t>
        </is>
      </c>
      <c r="M5521" s="12" t="inlineStr">
        <is>
          <t>10</t>
        </is>
      </c>
      <c r="N5521" s="12" t="n">
        <v>1</v>
      </c>
      <c r="O5521" s="12" t="n">
        <v>1</v>
      </c>
      <c r="P5521" s="12" t="n">
        <v>480</v>
      </c>
      <c r="Q5521" s="12" t="n">
        <v>7.5</v>
      </c>
      <c r="R5521" s="12" t="n">
        <v>10.6</v>
      </c>
      <c r="S5521" s="12" t="inlineStr">
        <is>
          <t>Tray</t>
        </is>
      </c>
      <c r="T5521" s="17" t="n">
        <v>0</v>
      </c>
      <c r="U5521" s="17" t="n">
        <v>77</v>
      </c>
      <c r="V5521" s="17">
        <f>ROUNDUP((T5521+U5521+2*'Read Me'!$B$13)*(1+'Read Me'!$B$12),-1)</f>
        <v/>
      </c>
      <c r="W5521" s="17">
        <f>V5521*N5521*O5521</f>
        <v/>
      </c>
      <c r="X5521" s="12">
        <f>IF(LEFT(I5521,2)="MV",2*N5521*IF(L5521="1/C",O5521,1),0)</f>
        <v/>
      </c>
      <c r="Y5521" s="12">
        <f>IF(OR(LEFT(K5521,4)="LVAX",LEFT(K5521,6)="MV15AX",LEFT(K5521,4)="CTAX",LEFT(K5521,2)="W|"),2*N5521*O5521,0)</f>
        <v/>
      </c>
      <c r="Z5521" s="12" t="inlineStr">
        <is>
          <t>VD 0.4 %</t>
        </is>
      </c>
      <c r="AA5521" s="12">
        <f>N5521*O5521</f>
        <v/>
      </c>
    </row>
    <row r="5522">
      <c r="A5522" s="12" t="inlineStr">
        <is>
          <t>I-P-0266</t>
        </is>
      </c>
      <c r="B5522" s="12" t="inlineStr">
        <is>
          <t>I</t>
        </is>
      </c>
      <c r="C5522" s="12" t="inlineStr">
        <is>
          <t>Modular / portable power</t>
        </is>
      </c>
      <c r="D5522" s="12" t="inlineStr">
        <is>
          <t>Motor 1 of 4, 15 kW</t>
        </is>
      </c>
      <c r="E5522" s="12" t="inlineStr"/>
      <c r="F5522" s="12" t="inlineStr">
        <is>
          <t>SC-1 PCM + 15 kV GCB</t>
        </is>
      </c>
      <c r="G5522" s="12" t="inlineStr"/>
      <c r="H5522" s="12" t="inlineStr">
        <is>
          <t>SC-1 lube-oil fin-fan cooler</t>
        </is>
      </c>
      <c r="I5522" s="12" t="inlineStr">
        <is>
          <t>LV 600 V</t>
        </is>
      </c>
      <c r="J5522" s="12" t="inlineStr">
        <is>
          <t>Type TC-ER 600 V 3/C Cu XHHW-2 + ground, PVC jacket</t>
        </is>
      </c>
      <c r="K5522" s="12" t="inlineStr">
        <is>
          <t>LV|3/C+G|10</t>
        </is>
      </c>
      <c r="L5522" s="12" t="inlineStr">
        <is>
          <t>3/C+G</t>
        </is>
      </c>
      <c r="M5522" s="12" t="inlineStr">
        <is>
          <t>10</t>
        </is>
      </c>
      <c r="N5522" s="12" t="n">
        <v>1</v>
      </c>
      <c r="O5522" s="12" t="n">
        <v>1</v>
      </c>
      <c r="P5522" s="12" t="n">
        <v>480</v>
      </c>
      <c r="Q5522" s="12" t="n">
        <v>15</v>
      </c>
      <c r="R5522" s="12" t="n">
        <v>21.2</v>
      </c>
      <c r="S5522" s="12" t="inlineStr">
        <is>
          <t>Tray</t>
        </is>
      </c>
      <c r="T5522" s="17" t="n">
        <v>0</v>
      </c>
      <c r="U5522" s="17" t="n">
        <v>82</v>
      </c>
      <c r="V5522" s="17">
        <f>ROUNDUP((T5522+U5522+2*'Read Me'!$B$13)*(1+'Read Me'!$B$12),-1)</f>
        <v/>
      </c>
      <c r="W5522" s="17">
        <f>V5522*N5522*O5522</f>
        <v/>
      </c>
      <c r="X5522" s="12">
        <f>IF(LEFT(I5522,2)="MV",2*N5522*IF(L5522="1/C",O5522,1),0)</f>
        <v/>
      </c>
      <c r="Y5522" s="12">
        <f>IF(OR(LEFT(K5522,4)="LVAX",LEFT(K5522,6)="MV15AX",LEFT(K5522,4)="CTAX",LEFT(K5522,2)="W|"),2*N5522*O5522,0)</f>
        <v/>
      </c>
      <c r="Z5522" s="12" t="inlineStr">
        <is>
          <t>VD 0.8 %</t>
        </is>
      </c>
      <c r="AA5522" s="12">
        <f>N5522*O5522</f>
        <v/>
      </c>
    </row>
    <row r="5523">
      <c r="A5523" s="12" t="inlineStr">
        <is>
          <t>I-P-0267</t>
        </is>
      </c>
      <c r="B5523" s="12" t="inlineStr">
        <is>
          <t>I</t>
        </is>
      </c>
      <c r="C5523" s="12" t="inlineStr">
        <is>
          <t>Modular / portable power</t>
        </is>
      </c>
      <c r="D5523" s="12" t="inlineStr">
        <is>
          <t>Motor 2 of 4, 15 kW</t>
        </is>
      </c>
      <c r="E5523" s="12" t="inlineStr"/>
      <c r="F5523" s="12" t="inlineStr">
        <is>
          <t>SC-1 PCM + 15 kV GCB</t>
        </is>
      </c>
      <c r="G5523" s="12" t="inlineStr"/>
      <c r="H5523" s="12" t="inlineStr">
        <is>
          <t>SC-1 lube-oil fin-fan cooler</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15</v>
      </c>
      <c r="R5523" s="12" t="n">
        <v>21.2</v>
      </c>
      <c r="S5523" s="12" t="inlineStr">
        <is>
          <t>Tray</t>
        </is>
      </c>
      <c r="T5523" s="17" t="n">
        <v>0</v>
      </c>
      <c r="U5523" s="17" t="n">
        <v>82</v>
      </c>
      <c r="V5523" s="17">
        <f>ROUNDUP((T5523+U5523+2*'Read Me'!$B$13)*(1+'Read Me'!$B$12),-1)</f>
        <v/>
      </c>
      <c r="W5523" s="17">
        <f>V5523*N5523*O5523</f>
        <v/>
      </c>
      <c r="X5523" s="12">
        <f>IF(LEFT(I5523,2)="MV",2*N5523*IF(L5523="1/C",O5523,1),0)</f>
        <v/>
      </c>
      <c r="Y5523" s="12">
        <f>IF(OR(LEFT(K5523,4)="LVAX",LEFT(K5523,6)="MV15AX",LEFT(K5523,4)="CTAX",LEFT(K5523,2)="W|"),2*N5523*O5523,0)</f>
        <v/>
      </c>
      <c r="Z5523" s="12" t="inlineStr">
        <is>
          <t>VD 0.8 %</t>
        </is>
      </c>
      <c r="AA5523" s="12">
        <f>N5523*O5523</f>
        <v/>
      </c>
    </row>
    <row r="5524">
      <c r="A5524" s="12" t="inlineStr">
        <is>
          <t>I-P-0268</t>
        </is>
      </c>
      <c r="B5524" s="12" t="inlineStr">
        <is>
          <t>I</t>
        </is>
      </c>
      <c r="C5524" s="12" t="inlineStr">
        <is>
          <t>Modular / portable power</t>
        </is>
      </c>
      <c r="D5524" s="12" t="inlineStr">
        <is>
          <t>Motor 3 of 4, 15 kW</t>
        </is>
      </c>
      <c r="E5524" s="12" t="inlineStr"/>
      <c r="F5524" s="12" t="inlineStr">
        <is>
          <t>SC-1 PCM + 15 kV GCB</t>
        </is>
      </c>
      <c r="G5524" s="12" t="inlineStr"/>
      <c r="H5524" s="12" t="inlineStr">
        <is>
          <t>SC-1 lube-oil fin-fan cooler</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15</v>
      </c>
      <c r="R5524" s="12" t="n">
        <v>21.2</v>
      </c>
      <c r="S5524" s="12" t="inlineStr">
        <is>
          <t>Tray</t>
        </is>
      </c>
      <c r="T5524" s="17" t="n">
        <v>0</v>
      </c>
      <c r="U5524" s="17" t="n">
        <v>82</v>
      </c>
      <c r="V5524" s="17">
        <f>ROUNDUP((T5524+U5524+2*'Read Me'!$B$13)*(1+'Read Me'!$B$12),-1)</f>
        <v/>
      </c>
      <c r="W5524" s="17">
        <f>V5524*N5524*O5524</f>
        <v/>
      </c>
      <c r="X5524" s="12">
        <f>IF(LEFT(I5524,2)="MV",2*N5524*IF(L5524="1/C",O5524,1),0)</f>
        <v/>
      </c>
      <c r="Y5524" s="12">
        <f>IF(OR(LEFT(K5524,4)="LVAX",LEFT(K5524,6)="MV15AX",LEFT(K5524,4)="CTAX",LEFT(K5524,2)="W|"),2*N5524*O5524,0)</f>
        <v/>
      </c>
      <c r="Z5524" s="12" t="inlineStr">
        <is>
          <t>VD 0.8 %</t>
        </is>
      </c>
      <c r="AA5524" s="12">
        <f>N5524*O5524</f>
        <v/>
      </c>
    </row>
    <row r="5525">
      <c r="A5525" s="12" t="inlineStr">
        <is>
          <t>I-P-0269</t>
        </is>
      </c>
      <c r="B5525" s="12" t="inlineStr">
        <is>
          <t>I</t>
        </is>
      </c>
      <c r="C5525" s="12" t="inlineStr">
        <is>
          <t>Modular / portable power</t>
        </is>
      </c>
      <c r="D5525" s="12" t="inlineStr">
        <is>
          <t>Motor 4 of 4, 15 kW</t>
        </is>
      </c>
      <c r="E5525" s="12" t="inlineStr"/>
      <c r="F5525" s="12" t="inlineStr">
        <is>
          <t>SC-1 PCM + 15 kV GCB</t>
        </is>
      </c>
      <c r="G5525" s="12" t="inlineStr"/>
      <c r="H5525" s="12" t="inlineStr">
        <is>
          <t>SC-1 lube-oil fin-fan cooler</t>
        </is>
      </c>
      <c r="I5525" s="12" t="inlineStr">
        <is>
          <t>LV 600 V</t>
        </is>
      </c>
      <c r="J5525" s="12" t="inlineStr">
        <is>
          <t>Type TC-ER 600 V 3/C Cu XHHW-2 + ground, PVC jacket</t>
        </is>
      </c>
      <c r="K5525" s="12" t="inlineStr">
        <is>
          <t>LV|3/C+G|10</t>
        </is>
      </c>
      <c r="L5525" s="12" t="inlineStr">
        <is>
          <t>3/C+G</t>
        </is>
      </c>
      <c r="M5525" s="12" t="inlineStr">
        <is>
          <t>10</t>
        </is>
      </c>
      <c r="N5525" s="12" t="n">
        <v>1</v>
      </c>
      <c r="O5525" s="12" t="n">
        <v>1</v>
      </c>
      <c r="P5525" s="12" t="n">
        <v>480</v>
      </c>
      <c r="Q5525" s="12" t="n">
        <v>15</v>
      </c>
      <c r="R5525" s="12" t="n">
        <v>21.2</v>
      </c>
      <c r="S5525" s="12" t="inlineStr">
        <is>
          <t>Tray</t>
        </is>
      </c>
      <c r="T5525" s="17" t="n">
        <v>0</v>
      </c>
      <c r="U5525" s="17" t="n">
        <v>82</v>
      </c>
      <c r="V5525" s="17">
        <f>ROUNDUP((T5525+U5525+2*'Read Me'!$B$13)*(1+'Read Me'!$B$12),-1)</f>
        <v/>
      </c>
      <c r="W5525" s="17">
        <f>V5525*N5525*O5525</f>
        <v/>
      </c>
      <c r="X5525" s="12">
        <f>IF(LEFT(I5525,2)="MV",2*N5525*IF(L5525="1/C",O5525,1),0)</f>
        <v/>
      </c>
      <c r="Y5525" s="12">
        <f>IF(OR(LEFT(K5525,4)="LVAX",LEFT(K5525,6)="MV15AX",LEFT(K5525,4)="CTAX",LEFT(K5525,2)="W|"),2*N5525*O5525,0)</f>
        <v/>
      </c>
      <c r="Z5525" s="12" t="inlineStr">
        <is>
          <t>VD 0.8 %</t>
        </is>
      </c>
      <c r="AA5525" s="12">
        <f>N5525*O5525</f>
        <v/>
      </c>
    </row>
    <row r="5526">
      <c r="A5526" s="12" t="inlineStr">
        <is>
          <t>I-P-0270</t>
        </is>
      </c>
      <c r="B5526" s="12" t="inlineStr">
        <is>
          <t>I</t>
        </is>
      </c>
      <c r="C5526" s="12" t="inlineStr">
        <is>
          <t>Modular / portable power</t>
        </is>
      </c>
      <c r="D5526" s="12" t="inlineStr">
        <is>
          <t>Area / platform lighting circuit 1 (4 fixtures)</t>
        </is>
      </c>
      <c r="E5526" s="12" t="inlineStr"/>
      <c r="F5526" s="12" t="inlineStr">
        <is>
          <t>SC-1 PCM + 15 kV GCB</t>
        </is>
      </c>
      <c r="G5526" s="12" t="inlineStr"/>
      <c r="H5526" s="12" t="inlineStr">
        <is>
          <t>SC-1 stack (80 ft)</t>
        </is>
      </c>
      <c r="I5526" s="12" t="inlineStr">
        <is>
          <t>LV 600 V</t>
        </is>
      </c>
      <c r="J5526" s="12" t="inlineStr">
        <is>
          <t>Type TC-ER 600 V 3/C Cu XHHW-2 + ground, PVC jacket</t>
        </is>
      </c>
      <c r="K5526" s="12" t="inlineStr">
        <is>
          <t>LV|3/C+G|10</t>
        </is>
      </c>
      <c r="L5526" s="12" t="inlineStr">
        <is>
          <t>3/C+G</t>
        </is>
      </c>
      <c r="M5526" s="12" t="inlineStr">
        <is>
          <t>10</t>
        </is>
      </c>
      <c r="N5526" s="12" t="n">
        <v>1</v>
      </c>
      <c r="O5526" s="12" t="n">
        <v>1</v>
      </c>
      <c r="P5526" s="12" t="n">
        <v>480</v>
      </c>
      <c r="Q5526" s="12" t="n">
        <v>3</v>
      </c>
      <c r="R5526" s="12" t="n">
        <v>5</v>
      </c>
      <c r="S5526" s="12" t="inlineStr">
        <is>
          <t>Tray</t>
        </is>
      </c>
      <c r="T5526" s="17" t="n">
        <v>300</v>
      </c>
      <c r="U5526" s="17" t="n">
        <v>208</v>
      </c>
      <c r="V5526" s="17">
        <f>ROUNDUP((T5526+U5526+2*'Read Me'!$B$13)*(1+'Read Me'!$B$12),-1)</f>
        <v/>
      </c>
      <c r="W5526" s="17">
        <f>V5526*N5526*O5526</f>
        <v/>
      </c>
      <c r="X5526" s="12">
        <f>IF(LEFT(I5526,2)="MV",2*N5526*IF(L5526="1/C",O5526,1),0)</f>
        <v/>
      </c>
      <c r="Y5526" s="12">
        <f>IF(OR(LEFT(K5526,4)="LVAX",LEFT(K5526,6)="MV15AX",LEFT(K5526,4)="CTAX",LEFT(K5526,2)="W|"),2*N5526*O5526,0)</f>
        <v/>
      </c>
      <c r="Z5526" s="12" t="inlineStr">
        <is>
          <t>fixture-to-fixture run included</t>
        </is>
      </c>
      <c r="AA5526" s="12">
        <f>N5526*O5526</f>
        <v/>
      </c>
    </row>
    <row r="5527">
      <c r="A5527" s="12" t="inlineStr">
        <is>
          <t>I-P-0271</t>
        </is>
      </c>
      <c r="B5527" s="12" t="inlineStr">
        <is>
          <t>I</t>
        </is>
      </c>
      <c r="C5527" s="12" t="inlineStr">
        <is>
          <t>Modular / portable power</t>
        </is>
      </c>
      <c r="D5527" s="12" t="inlineStr">
        <is>
          <t>Motor 1 of 2, 185 kW</t>
        </is>
      </c>
      <c r="E5527" s="12" t="inlineStr"/>
      <c r="F5527" s="12" t="inlineStr">
        <is>
          <t>SC-1 PCM + 15 kV GCB</t>
        </is>
      </c>
      <c r="G5527" s="12" t="inlineStr"/>
      <c r="H5527" s="12" t="inlineStr">
        <is>
          <t>SC-1 tempering-air fans (2 x 100 %)</t>
        </is>
      </c>
      <c r="I5527" s="12" t="inlineStr">
        <is>
          <t>LV 600 V</t>
        </is>
      </c>
      <c r="J5527" s="12" t="inlineStr">
        <is>
          <t>Type TC-ER 600 V 3/C Cu XHHW-2 + ground, PVC jacket</t>
        </is>
      </c>
      <c r="K5527" s="12" t="inlineStr">
        <is>
          <t>LV|3/C+G|500</t>
        </is>
      </c>
      <c r="L5527" s="12" t="inlineStr">
        <is>
          <t>3/C+G</t>
        </is>
      </c>
      <c r="M5527" s="12" t="inlineStr">
        <is>
          <t>500 kcmil</t>
        </is>
      </c>
      <c r="N5527" s="12" t="n">
        <v>1</v>
      </c>
      <c r="O5527" s="12" t="n">
        <v>1</v>
      </c>
      <c r="P5527" s="12" t="n">
        <v>480</v>
      </c>
      <c r="Q5527" s="12" t="n">
        <v>185</v>
      </c>
      <c r="R5527" s="12" t="n">
        <v>261.8</v>
      </c>
      <c r="S5527" s="12" t="inlineStr">
        <is>
          <t>Tray</t>
        </is>
      </c>
      <c r="T5527" s="17" t="n">
        <v>0</v>
      </c>
      <c r="U5527" s="17" t="n">
        <v>156</v>
      </c>
      <c r="V5527" s="17">
        <f>ROUNDUP((T5527+U5527+2*'Read Me'!$B$13)*(1+'Read Me'!$B$12),-1)</f>
        <v/>
      </c>
      <c r="W5527" s="17">
        <f>V5527*N5527*O5527</f>
        <v/>
      </c>
      <c r="X5527" s="12">
        <f>IF(LEFT(I5527,2)="MV",2*N5527*IF(L5527="1/C",O5527,1),0)</f>
        <v/>
      </c>
      <c r="Y5527" s="12">
        <f>IF(OR(LEFT(K5527,4)="LVAX",LEFT(K5527,6)="MV15AX",LEFT(K5527,4)="CTAX",LEFT(K5527,2)="W|"),2*N5527*O5527,0)</f>
        <v/>
      </c>
      <c r="Z5527" s="12" t="inlineStr">
        <is>
          <t>VD 0.4 %</t>
        </is>
      </c>
      <c r="AA5527" s="12">
        <f>N5527*O5527</f>
        <v/>
      </c>
    </row>
    <row r="5528">
      <c r="A5528" s="12" t="inlineStr">
        <is>
          <t>I-P-0272</t>
        </is>
      </c>
      <c r="B5528" s="12" t="inlineStr">
        <is>
          <t>I</t>
        </is>
      </c>
      <c r="C5528" s="12" t="inlineStr">
        <is>
          <t>Modular / portable power</t>
        </is>
      </c>
      <c r="D5528" s="12" t="inlineStr">
        <is>
          <t>Motor 2 of 2, 185 kW</t>
        </is>
      </c>
      <c r="E5528" s="12" t="inlineStr"/>
      <c r="F5528" s="12" t="inlineStr">
        <is>
          <t>SC-1 PCM + 15 kV GCB</t>
        </is>
      </c>
      <c r="G5528" s="12" t="inlineStr"/>
      <c r="H5528" s="12" t="inlineStr">
        <is>
          <t>SC-1 tempering-air fans (2 x 100 %)</t>
        </is>
      </c>
      <c r="I5528" s="12" t="inlineStr">
        <is>
          <t>LV 600 V</t>
        </is>
      </c>
      <c r="J5528" s="12" t="inlineStr">
        <is>
          <t>Type TC-ER 600 V 3/C Cu XHHW-2 + ground, PVC jacket</t>
        </is>
      </c>
      <c r="K5528" s="12" t="inlineStr">
        <is>
          <t>LV|3/C+G|500</t>
        </is>
      </c>
      <c r="L5528" s="12" t="inlineStr">
        <is>
          <t>3/C+G</t>
        </is>
      </c>
      <c r="M5528" s="12" t="inlineStr">
        <is>
          <t>500 kcmil</t>
        </is>
      </c>
      <c r="N5528" s="12" t="n">
        <v>1</v>
      </c>
      <c r="O5528" s="12" t="n">
        <v>1</v>
      </c>
      <c r="P5528" s="12" t="n">
        <v>480</v>
      </c>
      <c r="Q5528" s="12" t="n">
        <v>185</v>
      </c>
      <c r="R5528" s="12" t="n">
        <v>261.8</v>
      </c>
      <c r="S5528" s="12" t="inlineStr">
        <is>
          <t>Tray</t>
        </is>
      </c>
      <c r="T5528" s="17" t="n">
        <v>0</v>
      </c>
      <c r="U5528" s="17" t="n">
        <v>156</v>
      </c>
      <c r="V5528" s="17">
        <f>ROUNDUP((T5528+U5528+2*'Read Me'!$B$13)*(1+'Read Me'!$B$12),-1)</f>
        <v/>
      </c>
      <c r="W5528" s="17">
        <f>V5528*N5528*O5528</f>
        <v/>
      </c>
      <c r="X5528" s="12">
        <f>IF(LEFT(I5528,2)="MV",2*N5528*IF(L5528="1/C",O5528,1),0)</f>
        <v/>
      </c>
      <c r="Y5528" s="12">
        <f>IF(OR(LEFT(K5528,4)="LVAX",LEFT(K5528,6)="MV15AX",LEFT(K5528,4)="CTAX",LEFT(K5528,2)="W|"),2*N5528*O5528,0)</f>
        <v/>
      </c>
      <c r="Z5528" s="12" t="inlineStr">
        <is>
          <t>VD 0.4 %</t>
        </is>
      </c>
      <c r="AA5528" s="12">
        <f>N5528*O5528</f>
        <v/>
      </c>
    </row>
    <row r="5529">
      <c r="A5529" s="12" t="inlineStr">
        <is>
          <t>I-P-0273</t>
        </is>
      </c>
      <c r="B5529" s="12" t="inlineStr">
        <is>
          <t>I</t>
        </is>
      </c>
      <c r="C5529" s="12" t="inlineStr">
        <is>
          <t>Modular / portable power</t>
        </is>
      </c>
      <c r="D5529" s="12" t="inlineStr">
        <is>
          <t>Area / platform lighting circuit 1 (4 fixtures)</t>
        </is>
      </c>
      <c r="E5529" s="12" t="inlineStr"/>
      <c r="F5529" s="12" t="inlineStr">
        <is>
          <t>SC-1 PCM + 15 kV GCB</t>
        </is>
      </c>
      <c r="G5529" s="12" t="inlineStr"/>
      <c r="H5529" s="12" t="inlineStr">
        <is>
          <t>SC-1 tempering-air fans (2 x 100 %)</t>
        </is>
      </c>
      <c r="I5529" s="12" t="inlineStr">
        <is>
          <t>LV 600 V</t>
        </is>
      </c>
      <c r="J5529" s="12" t="inlineStr">
        <is>
          <t>Type TC-ER 600 V 3/C Cu XHHW-2 + ground, PVC jacket</t>
        </is>
      </c>
      <c r="K5529" s="12" t="inlineStr">
        <is>
          <t>LV|3/C+G|10</t>
        </is>
      </c>
      <c r="L5529" s="12" t="inlineStr">
        <is>
          <t>3/C+G</t>
        </is>
      </c>
      <c r="M5529" s="12" t="inlineStr">
        <is>
          <t>10</t>
        </is>
      </c>
      <c r="N5529" s="12" t="n">
        <v>1</v>
      </c>
      <c r="O5529" s="12" t="n">
        <v>1</v>
      </c>
      <c r="P5529" s="12" t="n">
        <v>480</v>
      </c>
      <c r="Q5529" s="12" t="n">
        <v>3</v>
      </c>
      <c r="R5529" s="12" t="n">
        <v>5</v>
      </c>
      <c r="S5529" s="12" t="inlineStr">
        <is>
          <t>Tray</t>
        </is>
      </c>
      <c r="T5529" s="17" t="n">
        <v>300</v>
      </c>
      <c r="U5529" s="17" t="n">
        <v>156</v>
      </c>
      <c r="V5529" s="17">
        <f>ROUNDUP((T5529+U5529+2*'Read Me'!$B$13)*(1+'Read Me'!$B$12),-1)</f>
        <v/>
      </c>
      <c r="W5529" s="17">
        <f>V5529*N5529*O5529</f>
        <v/>
      </c>
      <c r="X5529" s="12">
        <f>IF(LEFT(I5529,2)="MV",2*N5529*IF(L5529="1/C",O5529,1),0)</f>
        <v/>
      </c>
      <c r="Y5529" s="12">
        <f>IF(OR(LEFT(K5529,4)="LVAX",LEFT(K5529,6)="MV15AX",LEFT(K5529,4)="CTAX",LEFT(K5529,2)="W|"),2*N5529*O5529,0)</f>
        <v/>
      </c>
      <c r="Z5529" s="12" t="inlineStr">
        <is>
          <t>fixture-to-fixture run included</t>
        </is>
      </c>
      <c r="AA5529" s="12">
        <f>N5529*O5529</f>
        <v/>
      </c>
    </row>
    <row r="5530">
      <c r="A5530" s="12" t="inlineStr">
        <is>
          <t>I-P-0274</t>
        </is>
      </c>
      <c r="B5530" s="12" t="inlineStr">
        <is>
          <t>I</t>
        </is>
      </c>
      <c r="C5530" s="12" t="inlineStr">
        <is>
          <t>Modular / portable power</t>
        </is>
      </c>
      <c r="D5530" s="12" t="inlineStr">
        <is>
          <t>SC-1 emergency DC lube-oil pump (125 V DC, coast-down)</t>
        </is>
      </c>
      <c r="E5530" s="12" t="inlineStr"/>
      <c r="F5530" s="12" t="inlineStr">
        <is>
          <t>SC-1 PCM + 15 kV GCB</t>
        </is>
      </c>
      <c r="G5530" s="12" t="inlineStr">
        <is>
          <t>SC-1</t>
        </is>
      </c>
      <c r="H5530" s="12" t="inlineStr">
        <is>
          <t>SC-1: aeroderivative simple-cycle unit (LM6000 class)</t>
        </is>
      </c>
      <c r="I5530" s="12" t="inlineStr">
        <is>
          <t>LV 600 V</t>
        </is>
      </c>
      <c r="J5530" s="12" t="inlineStr">
        <is>
          <t>XHHW-2 600 V 1/C Cu (feeder sets in tray / duct)</t>
        </is>
      </c>
      <c r="K5530" s="12" t="inlineStr">
        <is>
          <t>LV1C|1/C|2</t>
        </is>
      </c>
      <c r="L5530" s="12" t="inlineStr">
        <is>
          <t>1/C</t>
        </is>
      </c>
      <c r="M5530" s="12" t="inlineStr">
        <is>
          <t>2</t>
        </is>
      </c>
      <c r="N5530" s="12" t="n">
        <v>1</v>
      </c>
      <c r="O5530" s="12" t="n">
        <v>2</v>
      </c>
      <c r="P5530" s="12" t="n">
        <v>125</v>
      </c>
      <c r="Q5530" s="12" t="n">
        <v>7.5</v>
      </c>
      <c r="R5530" s="12" t="n">
        <v>65</v>
      </c>
      <c r="S5530" s="12" t="inlineStr">
        <is>
          <t>Tray</t>
        </is>
      </c>
      <c r="T5530" s="17" t="n">
        <v>0</v>
      </c>
      <c r="U5530" s="17" t="n">
        <v>64</v>
      </c>
      <c r="V5530" s="17">
        <f>ROUNDUP((T5530+U5530+2*'Read Me'!$B$13)*(1+'Read Me'!$B$12),-1)</f>
        <v/>
      </c>
      <c r="W5530" s="17">
        <f>V5530*N5530*O5530</f>
        <v/>
      </c>
      <c r="X5530" s="12">
        <f>IF(LEFT(I5530,2)="MV",2*N5530*IF(L5530="1/C",O5530,1),0)</f>
        <v/>
      </c>
      <c r="Y5530" s="12">
        <f>IF(OR(LEFT(K5530,4)="LVAX",LEFT(K5530,6)="MV15AX",LEFT(K5530,4)="CTAX",LEFT(K5530,2)="W|"),2*N5530*O5530,0)</f>
        <v/>
      </c>
      <c r="Z5530" s="12" t="inlineStr">
        <is>
          <t>LM6000 class: DC pump keeps the bearings fed on loss of AC</t>
        </is>
      </c>
      <c r="AA5530" s="12">
        <f>N5530*O5530</f>
        <v/>
      </c>
    </row>
    <row r="5531">
      <c r="A5531" s="12" t="inlineStr">
        <is>
          <t>I-P-0275</t>
        </is>
      </c>
      <c r="B5531" s="12" t="inlineStr">
        <is>
          <t>I</t>
        </is>
      </c>
      <c r="C5531" s="12" t="inlineStr">
        <is>
          <t>Modular / portable power</t>
        </is>
      </c>
      <c r="D5531" s="12" t="inlineStr">
        <is>
          <t>SC-1 120 V AC UPS to the unit control and protection</t>
        </is>
      </c>
      <c r="E5531" s="12" t="inlineStr"/>
      <c r="F5531" s="12" t="inlineStr">
        <is>
          <t>SC-1 PCM + 15 kV GCB</t>
        </is>
      </c>
      <c r="G5531" s="12" t="inlineStr">
        <is>
          <t>SC-1</t>
        </is>
      </c>
      <c r="H5531" s="12" t="inlineStr">
        <is>
          <t>SC-1: aeroderivative simple-cycle unit (LM6000 class)</t>
        </is>
      </c>
      <c r="I5531" s="12" t="inlineStr">
        <is>
          <t>LV 600 V</t>
        </is>
      </c>
      <c r="J5531" s="12" t="inlineStr">
        <is>
          <t>XHHW-2 600 V 1/C Cu (feeder sets in tray / duct)</t>
        </is>
      </c>
      <c r="K5531" s="12" t="inlineStr">
        <is>
          <t>LV1C|1/C|6</t>
        </is>
      </c>
      <c r="L5531" s="12" t="inlineStr">
        <is>
          <t>1/C</t>
        </is>
      </c>
      <c r="M5531" s="12" t="inlineStr">
        <is>
          <t>6</t>
        </is>
      </c>
      <c r="N5531" s="12" t="n">
        <v>1</v>
      </c>
      <c r="O5531" s="12" t="n">
        <v>2</v>
      </c>
      <c r="P5531" s="12" t="n">
        <v>120</v>
      </c>
      <c r="Q5531" s="12" t="n">
        <v>5</v>
      </c>
      <c r="R5531" s="12" t="n"/>
      <c r="S5531" s="12" t="inlineStr">
        <is>
          <t>Tray</t>
        </is>
      </c>
      <c r="T5531" s="17" t="n">
        <v>0</v>
      </c>
      <c r="U5531" s="17" t="n">
        <v>64</v>
      </c>
      <c r="V5531" s="17">
        <f>ROUNDUP((T5531+U5531+2*'Read Me'!$B$13)*(1+'Read Me'!$B$12),-1)</f>
        <v/>
      </c>
      <c r="W5531" s="17">
        <f>V5531*N5531*O5531</f>
        <v/>
      </c>
      <c r="X5531" s="12">
        <f>IF(LEFT(I5531,2)="MV",2*N5531*IF(L5531="1/C",O5531,1),0)</f>
        <v/>
      </c>
      <c r="Y5531" s="12">
        <f>IF(OR(LEFT(K5531,4)="LVAX",LEFT(K5531,6)="MV15AX",LEFT(K5531,4)="CTAX",LEFT(K5531,2)="W|"),2*N5531*O5531,0)</f>
        <v/>
      </c>
      <c r="Z5531" s="12" t="inlineStr"/>
      <c r="AA5531" s="12">
        <f>N5531*O5531</f>
        <v/>
      </c>
    </row>
    <row r="5532">
      <c r="A5532" s="12" t="inlineStr">
        <is>
          <t>I-P-0276</t>
        </is>
      </c>
      <c r="B5532" s="12" t="inlineStr">
        <is>
          <t>I</t>
        </is>
      </c>
      <c r="C5532" s="12" t="inlineStr">
        <is>
          <t>Modular / portable power</t>
        </is>
      </c>
      <c r="D5532" s="12" t="inlineStr">
        <is>
          <t>SC-1 hydraulic starter pump motor (start sequence only)</t>
        </is>
      </c>
      <c r="E5532" s="12" t="inlineStr"/>
      <c r="F5532" s="12" t="inlineStr">
        <is>
          <t>SC-1 PCM + 15 kV GCB</t>
        </is>
      </c>
      <c r="G5532" s="12" t="inlineStr">
        <is>
          <t>SC-1</t>
        </is>
      </c>
      <c r="H5532" s="12" t="inlineStr">
        <is>
          <t>SC-1: aeroderivative simple-cycle unit (LM6000 class)</t>
        </is>
      </c>
      <c r="I5532" s="12" t="inlineStr">
        <is>
          <t>LV 600 V</t>
        </is>
      </c>
      <c r="J5532" s="12" t="inlineStr">
        <is>
          <t>Type TC-ER 600 V 3/C Cu XHHW-2 + ground, PVC jacket</t>
        </is>
      </c>
      <c r="K5532" s="12" t="inlineStr">
        <is>
          <t>LV|3/C+G|3/0</t>
        </is>
      </c>
      <c r="L5532" s="12" t="inlineStr">
        <is>
          <t>3/C+G</t>
        </is>
      </c>
      <c r="M5532" s="12" t="inlineStr">
        <is>
          <t>3/0</t>
        </is>
      </c>
      <c r="N5532" s="12" t="n">
        <v>2</v>
      </c>
      <c r="O5532" s="12" t="n">
        <v>1</v>
      </c>
      <c r="P5532" s="12" t="n">
        <v>480</v>
      </c>
      <c r="Q5532" s="12" t="n">
        <v>225</v>
      </c>
      <c r="R5532" s="12" t="n">
        <v>318.4</v>
      </c>
      <c r="S5532" s="12" t="inlineStr">
        <is>
          <t>Tray</t>
        </is>
      </c>
      <c r="T5532" s="17" t="n">
        <v>0</v>
      </c>
      <c r="U5532" s="17" t="n">
        <v>64</v>
      </c>
      <c r="V5532" s="17">
        <f>ROUNDUP((T5532+U5532+2*'Read Me'!$B$13)*(1+'Read Me'!$B$12),-1)</f>
        <v/>
      </c>
      <c r="W5532" s="17">
        <f>V5532*N5532*O5532</f>
        <v/>
      </c>
      <c r="X5532" s="12">
        <f>IF(LEFT(I5532,2)="MV",2*N5532*IF(L5532="1/C",O5532,1),0)</f>
        <v/>
      </c>
      <c r="Y5532" s="12">
        <f>IF(OR(LEFT(K5532,4)="LVAX",LEFT(K5532,6)="MV15AX",LEFT(K5532,4)="CTAX",LEFT(K5532,2)="W|"),2*N5532*O5532,0)</f>
        <v/>
      </c>
      <c r="Z5532" s="12" t="inlineStr">
        <is>
          <t>typical LM6000 hydraulic start; verify starter type / rating with the OEM</t>
        </is>
      </c>
      <c r="AA5532" s="12">
        <f>N5532*O5532</f>
        <v/>
      </c>
    </row>
    <row r="5533">
      <c r="A5533" s="12" t="inlineStr">
        <is>
          <t>I-P-0277</t>
        </is>
      </c>
      <c r="B5533" s="12" t="inlineStr">
        <is>
          <t>I</t>
        </is>
      </c>
      <c r="C5533" s="12" t="inlineStr">
        <is>
          <t>Modular / portable power</t>
        </is>
      </c>
      <c r="D5533" s="12" t="inlineStr">
        <is>
          <t>SC-1 480 V welding receptacle 1</t>
        </is>
      </c>
      <c r="E5533" s="12" t="inlineStr"/>
      <c r="F5533" s="12" t="inlineStr">
        <is>
          <t>SC-1 PCM + 15 kV GCB</t>
        </is>
      </c>
      <c r="G5533" s="12" t="inlineStr">
        <is>
          <t>SC-1</t>
        </is>
      </c>
      <c r="H5533" s="12" t="inlineStr">
        <is>
          <t>SC-1: aeroderivative simple-cycle unit (LM6000 class)</t>
        </is>
      </c>
      <c r="I5533" s="12" t="inlineStr">
        <is>
          <t>LV 600 V</t>
        </is>
      </c>
      <c r="J5533" s="12" t="inlineStr">
        <is>
          <t>Type TC-ER 600 V 3/C Cu XHHW-2 + ground, PVC jacket</t>
        </is>
      </c>
      <c r="K5533" s="12" t="inlineStr">
        <is>
          <t>LV|3/C+G|2</t>
        </is>
      </c>
      <c r="L5533" s="12" t="inlineStr">
        <is>
          <t>3/C+G</t>
        </is>
      </c>
      <c r="M5533" s="12" t="inlineStr">
        <is>
          <t>2</t>
        </is>
      </c>
      <c r="N5533" s="12" t="n">
        <v>1</v>
      </c>
      <c r="O5533" s="12" t="n">
        <v>1</v>
      </c>
      <c r="P5533" s="12" t="n">
        <v>480</v>
      </c>
      <c r="Q5533" s="12" t="n">
        <v>60</v>
      </c>
      <c r="R5533" s="12" t="n">
        <v>76</v>
      </c>
      <c r="S5533" s="12" t="inlineStr">
        <is>
          <t>Tray</t>
        </is>
      </c>
      <c r="T5533" s="17" t="n">
        <v>0</v>
      </c>
      <c r="U5533" s="17" t="n">
        <v>64</v>
      </c>
      <c r="V5533" s="17">
        <f>ROUNDUP((T5533+U5533+2*'Read Me'!$B$13)*(1+'Read Me'!$B$12),-1)</f>
        <v/>
      </c>
      <c r="W5533" s="17">
        <f>V5533*N5533*O5533</f>
        <v/>
      </c>
      <c r="X5533" s="12">
        <f>IF(LEFT(I5533,2)="MV",2*N5533*IF(L5533="1/C",O5533,1),0)</f>
        <v/>
      </c>
      <c r="Y5533" s="12">
        <f>IF(OR(LEFT(K5533,4)="LVAX",LEFT(K5533,6)="MV15AX",LEFT(K5533,4)="CTAX",LEFT(K5533,2)="W|"),2*N5533*O5533,0)</f>
        <v/>
      </c>
      <c r="Z5533" s="12" t="inlineStr">
        <is>
          <t>VD 0.4 %</t>
        </is>
      </c>
      <c r="AA5533" s="12">
        <f>N5533*O5533</f>
        <v/>
      </c>
    </row>
    <row r="5534">
      <c r="A5534" s="12" t="inlineStr">
        <is>
          <t>I-P-0278</t>
        </is>
      </c>
      <c r="B5534" s="12" t="inlineStr">
        <is>
          <t>I</t>
        </is>
      </c>
      <c r="C5534" s="12" t="inlineStr">
        <is>
          <t>Modular / portable power</t>
        </is>
      </c>
      <c r="D5534" s="12" t="inlineStr">
        <is>
          <t>SC-1 480 V welding receptacle 2</t>
        </is>
      </c>
      <c r="E5534" s="12" t="inlineStr"/>
      <c r="F5534" s="12" t="inlineStr">
        <is>
          <t>SC-1 PCM + 15 kV GCB</t>
        </is>
      </c>
      <c r="G5534" s="12" t="inlineStr">
        <is>
          <t>SC-1</t>
        </is>
      </c>
      <c r="H5534" s="12" t="inlineStr">
        <is>
          <t>SC-1: aeroderivative simple-cycle unit (LM6000 class)</t>
        </is>
      </c>
      <c r="I5534" s="12" t="inlineStr">
        <is>
          <t>LV 600 V</t>
        </is>
      </c>
      <c r="J5534" s="12" t="inlineStr">
        <is>
          <t>Type TC-ER 600 V 3/C Cu XHHW-2 + ground, PVC jacket</t>
        </is>
      </c>
      <c r="K5534" s="12" t="inlineStr">
        <is>
          <t>LV|3/C+G|2</t>
        </is>
      </c>
      <c r="L5534" s="12" t="inlineStr">
        <is>
          <t>3/C+G</t>
        </is>
      </c>
      <c r="M5534" s="12" t="inlineStr">
        <is>
          <t>2</t>
        </is>
      </c>
      <c r="N5534" s="12" t="n">
        <v>1</v>
      </c>
      <c r="O5534" s="12" t="n">
        <v>1</v>
      </c>
      <c r="P5534" s="12" t="n">
        <v>480</v>
      </c>
      <c r="Q5534" s="12" t="n">
        <v>60</v>
      </c>
      <c r="R5534" s="12" t="n">
        <v>76</v>
      </c>
      <c r="S5534" s="12" t="inlineStr">
        <is>
          <t>Tray</t>
        </is>
      </c>
      <c r="T5534" s="17" t="n">
        <v>0</v>
      </c>
      <c r="U5534" s="17" t="n">
        <v>64</v>
      </c>
      <c r="V5534" s="17">
        <f>ROUNDUP((T5534+U5534+2*'Read Me'!$B$13)*(1+'Read Me'!$B$12),-1)</f>
        <v/>
      </c>
      <c r="W5534" s="17">
        <f>V5534*N5534*O5534</f>
        <v/>
      </c>
      <c r="X5534" s="12">
        <f>IF(LEFT(I5534,2)="MV",2*N5534*IF(L5534="1/C",O5534,1),0)</f>
        <v/>
      </c>
      <c r="Y5534" s="12">
        <f>IF(OR(LEFT(K5534,4)="LVAX",LEFT(K5534,6)="MV15AX",LEFT(K5534,4)="CTAX",LEFT(K5534,2)="W|"),2*N5534*O5534,0)</f>
        <v/>
      </c>
      <c r="Z5534" s="12" t="inlineStr">
        <is>
          <t>VD 0.4 %</t>
        </is>
      </c>
      <c r="AA5534" s="12">
        <f>N5534*O5534</f>
        <v/>
      </c>
    </row>
    <row r="5535">
      <c r="A5535" s="12" t="inlineStr">
        <is>
          <t>I-P-0279</t>
        </is>
      </c>
      <c r="B5535" s="12" t="inlineStr">
        <is>
          <t>I</t>
        </is>
      </c>
      <c r="C5535" s="12" t="inlineStr">
        <is>
          <t>Modular / portable power</t>
        </is>
      </c>
      <c r="D5535" s="12" t="inlineStr">
        <is>
          <t>Motor 1 of 10, 30 kW</t>
        </is>
      </c>
      <c r="E5535" s="12" t="inlineStr"/>
      <c r="F5535" s="12" t="inlineStr">
        <is>
          <t>SC-1 PCM + 15 kV GCB</t>
        </is>
      </c>
      <c r="G5535" s="12" t="inlineStr">
        <is>
          <t>SC-1</t>
        </is>
      </c>
      <c r="H5535" s="12" t="inlineStr">
        <is>
          <t>SC-1: aeroderivative simple-cycle unit (LM6000 class)</t>
        </is>
      </c>
      <c r="I5535" s="12" t="inlineStr">
        <is>
          <t>LV 600 V</t>
        </is>
      </c>
      <c r="J5535" s="12" t="inlineStr">
        <is>
          <t>Type TC-ER 600 V 3/C Cu XHHW-2 + ground, PVC jacket</t>
        </is>
      </c>
      <c r="K5535" s="12" t="inlineStr">
        <is>
          <t>LV|3/C+G|6</t>
        </is>
      </c>
      <c r="L5535" s="12" t="inlineStr">
        <is>
          <t>3/C+G</t>
        </is>
      </c>
      <c r="M5535" s="12" t="inlineStr">
        <is>
          <t>6</t>
        </is>
      </c>
      <c r="N5535" s="12" t="n">
        <v>1</v>
      </c>
      <c r="O5535" s="12" t="n">
        <v>1</v>
      </c>
      <c r="P5535" s="12" t="n">
        <v>480</v>
      </c>
      <c r="Q5535" s="12" t="n">
        <v>30</v>
      </c>
      <c r="R5535" s="12" t="n">
        <v>42.5</v>
      </c>
      <c r="S5535" s="12" t="inlineStr">
        <is>
          <t>Tray</t>
        </is>
      </c>
      <c r="T5535" s="17" t="n">
        <v>0</v>
      </c>
      <c r="U5535" s="17" t="n">
        <v>64</v>
      </c>
      <c r="V5535" s="17">
        <f>ROUNDUP((T5535+U5535+2*'Read Me'!$B$13)*(1+'Read Me'!$B$12),-1)</f>
        <v/>
      </c>
      <c r="W5535" s="17">
        <f>V5535*N5535*O5535</f>
        <v/>
      </c>
      <c r="X5535" s="12">
        <f>IF(LEFT(I5535,2)="MV",2*N5535*IF(L5535="1/C",O5535,1),0)</f>
        <v/>
      </c>
      <c r="Y5535" s="12">
        <f>IF(OR(LEFT(K5535,4)="LVAX",LEFT(K5535,6)="MV15AX",LEFT(K5535,4)="CTAX",LEFT(K5535,2)="W|"),2*N5535*O5535,0)</f>
        <v/>
      </c>
      <c r="Z5535" s="12" t="inlineStr">
        <is>
          <t>VD 0.5 %</t>
        </is>
      </c>
      <c r="AA5535" s="12">
        <f>N5535*O5535</f>
        <v/>
      </c>
    </row>
    <row r="5536">
      <c r="A5536" s="12" t="inlineStr">
        <is>
          <t>I-P-0280</t>
        </is>
      </c>
      <c r="B5536" s="12" t="inlineStr">
        <is>
          <t>I</t>
        </is>
      </c>
      <c r="C5536" s="12" t="inlineStr">
        <is>
          <t>Modular / portable power</t>
        </is>
      </c>
      <c r="D5536" s="12" t="inlineStr">
        <is>
          <t>Motor 2 of 10, 30 kW</t>
        </is>
      </c>
      <c r="E5536" s="12" t="inlineStr"/>
      <c r="F5536" s="12" t="inlineStr">
        <is>
          <t>SC-1 PCM + 15 kV GCB</t>
        </is>
      </c>
      <c r="G5536" s="12" t="inlineStr">
        <is>
          <t>SC-1</t>
        </is>
      </c>
      <c r="H5536" s="12" t="inlineStr">
        <is>
          <t>SC-1: aeroderivative simple-cycle unit (LM6000 class)</t>
        </is>
      </c>
      <c r="I5536" s="12" t="inlineStr">
        <is>
          <t>LV 600 V</t>
        </is>
      </c>
      <c r="J5536" s="12" t="inlineStr">
        <is>
          <t>Type TC-ER 600 V 3/C Cu XHHW-2 + ground, PVC jacket</t>
        </is>
      </c>
      <c r="K5536" s="12" t="inlineStr">
        <is>
          <t>LV|3/C+G|6</t>
        </is>
      </c>
      <c r="L5536" s="12" t="inlineStr">
        <is>
          <t>3/C+G</t>
        </is>
      </c>
      <c r="M5536" s="12" t="inlineStr">
        <is>
          <t>6</t>
        </is>
      </c>
      <c r="N5536" s="12" t="n">
        <v>1</v>
      </c>
      <c r="O5536" s="12" t="n">
        <v>1</v>
      </c>
      <c r="P5536" s="12" t="n">
        <v>480</v>
      </c>
      <c r="Q5536" s="12" t="n">
        <v>30</v>
      </c>
      <c r="R5536" s="12" t="n">
        <v>42.5</v>
      </c>
      <c r="S5536" s="12" t="inlineStr">
        <is>
          <t>Tray</t>
        </is>
      </c>
      <c r="T5536" s="17" t="n">
        <v>0</v>
      </c>
      <c r="U5536" s="17" t="n">
        <v>64</v>
      </c>
      <c r="V5536" s="17">
        <f>ROUNDUP((T5536+U5536+2*'Read Me'!$B$13)*(1+'Read Me'!$B$12),-1)</f>
        <v/>
      </c>
      <c r="W5536" s="17">
        <f>V5536*N5536*O5536</f>
        <v/>
      </c>
      <c r="X5536" s="12">
        <f>IF(LEFT(I5536,2)="MV",2*N5536*IF(L5536="1/C",O5536,1),0)</f>
        <v/>
      </c>
      <c r="Y5536" s="12">
        <f>IF(OR(LEFT(K5536,4)="LVAX",LEFT(K5536,6)="MV15AX",LEFT(K5536,4)="CTAX",LEFT(K5536,2)="W|"),2*N5536*O5536,0)</f>
        <v/>
      </c>
      <c r="Z5536" s="12" t="inlineStr">
        <is>
          <t>VD 0.5 %</t>
        </is>
      </c>
      <c r="AA5536" s="12">
        <f>N5536*O5536</f>
        <v/>
      </c>
    </row>
    <row r="5537">
      <c r="A5537" s="12" t="inlineStr">
        <is>
          <t>I-P-0281</t>
        </is>
      </c>
      <c r="B5537" s="12" t="inlineStr">
        <is>
          <t>I</t>
        </is>
      </c>
      <c r="C5537" s="12" t="inlineStr">
        <is>
          <t>Modular / portable power</t>
        </is>
      </c>
      <c r="D5537" s="12" t="inlineStr">
        <is>
          <t>Motor 3 of 10, 30 kW</t>
        </is>
      </c>
      <c r="E5537" s="12" t="inlineStr"/>
      <c r="F5537" s="12" t="inlineStr">
        <is>
          <t>SC-1 PCM + 15 kV GCB</t>
        </is>
      </c>
      <c r="G5537" s="12" t="inlineStr">
        <is>
          <t>SC-1</t>
        </is>
      </c>
      <c r="H5537" s="12" t="inlineStr">
        <is>
          <t>SC-1: aeroderivative simple-cycle unit (LM6000 class)</t>
        </is>
      </c>
      <c r="I5537" s="12" t="inlineStr">
        <is>
          <t>LV 600 V</t>
        </is>
      </c>
      <c r="J5537" s="12" t="inlineStr">
        <is>
          <t>Type TC-ER 600 V 3/C Cu XHHW-2 + ground, PVC jacket</t>
        </is>
      </c>
      <c r="K5537" s="12" t="inlineStr">
        <is>
          <t>LV|3/C+G|6</t>
        </is>
      </c>
      <c r="L5537" s="12" t="inlineStr">
        <is>
          <t>3/C+G</t>
        </is>
      </c>
      <c r="M5537" s="12" t="inlineStr">
        <is>
          <t>6</t>
        </is>
      </c>
      <c r="N5537" s="12" t="n">
        <v>1</v>
      </c>
      <c r="O5537" s="12" t="n">
        <v>1</v>
      </c>
      <c r="P5537" s="12" t="n">
        <v>480</v>
      </c>
      <c r="Q5537" s="12" t="n">
        <v>30</v>
      </c>
      <c r="R5537" s="12" t="n">
        <v>42.5</v>
      </c>
      <c r="S5537" s="12" t="inlineStr">
        <is>
          <t>Tray</t>
        </is>
      </c>
      <c r="T5537" s="17" t="n">
        <v>0</v>
      </c>
      <c r="U5537" s="17" t="n">
        <v>64</v>
      </c>
      <c r="V5537" s="17">
        <f>ROUNDUP((T5537+U5537+2*'Read Me'!$B$13)*(1+'Read Me'!$B$12),-1)</f>
        <v/>
      </c>
      <c r="W5537" s="17">
        <f>V5537*N5537*O5537</f>
        <v/>
      </c>
      <c r="X5537" s="12">
        <f>IF(LEFT(I5537,2)="MV",2*N5537*IF(L5537="1/C",O5537,1),0)</f>
        <v/>
      </c>
      <c r="Y5537" s="12">
        <f>IF(OR(LEFT(K5537,4)="LVAX",LEFT(K5537,6)="MV15AX",LEFT(K5537,4)="CTAX",LEFT(K5537,2)="W|"),2*N5537*O5537,0)</f>
        <v/>
      </c>
      <c r="Z5537" s="12" t="inlineStr">
        <is>
          <t>VD 0.5 %</t>
        </is>
      </c>
      <c r="AA5537" s="12">
        <f>N5537*O5537</f>
        <v/>
      </c>
    </row>
    <row r="5538">
      <c r="A5538" s="12" t="inlineStr">
        <is>
          <t>I-P-0282</t>
        </is>
      </c>
      <c r="B5538" s="12" t="inlineStr">
        <is>
          <t>I</t>
        </is>
      </c>
      <c r="C5538" s="12" t="inlineStr">
        <is>
          <t>Modular / portable power</t>
        </is>
      </c>
      <c r="D5538" s="12" t="inlineStr">
        <is>
          <t>Motor 4 of 10, 30 kW</t>
        </is>
      </c>
      <c r="E5538" s="12" t="inlineStr"/>
      <c r="F5538" s="12" t="inlineStr">
        <is>
          <t>SC-1 PCM + 15 kV GCB</t>
        </is>
      </c>
      <c r="G5538" s="12" t="inlineStr">
        <is>
          <t>SC-1</t>
        </is>
      </c>
      <c r="H5538" s="12" t="inlineStr">
        <is>
          <t>SC-1: aeroderivative simple-cycle unit (LM6000 class)</t>
        </is>
      </c>
      <c r="I5538" s="12" t="inlineStr">
        <is>
          <t>LV 600 V</t>
        </is>
      </c>
      <c r="J5538" s="12" t="inlineStr">
        <is>
          <t>Type TC-ER 600 V 3/C Cu XHHW-2 + ground, PVC jacket</t>
        </is>
      </c>
      <c r="K5538" s="12" t="inlineStr">
        <is>
          <t>LV|3/C+G|6</t>
        </is>
      </c>
      <c r="L5538" s="12" t="inlineStr">
        <is>
          <t>3/C+G</t>
        </is>
      </c>
      <c r="M5538" s="12" t="inlineStr">
        <is>
          <t>6</t>
        </is>
      </c>
      <c r="N5538" s="12" t="n">
        <v>1</v>
      </c>
      <c r="O5538" s="12" t="n">
        <v>1</v>
      </c>
      <c r="P5538" s="12" t="n">
        <v>480</v>
      </c>
      <c r="Q5538" s="12" t="n">
        <v>30</v>
      </c>
      <c r="R5538" s="12" t="n">
        <v>42.5</v>
      </c>
      <c r="S5538" s="12" t="inlineStr">
        <is>
          <t>Tray</t>
        </is>
      </c>
      <c r="T5538" s="17" t="n">
        <v>0</v>
      </c>
      <c r="U5538" s="17" t="n">
        <v>64</v>
      </c>
      <c r="V5538" s="17">
        <f>ROUNDUP((T5538+U5538+2*'Read Me'!$B$13)*(1+'Read Me'!$B$12),-1)</f>
        <v/>
      </c>
      <c r="W5538" s="17">
        <f>V5538*N5538*O5538</f>
        <v/>
      </c>
      <c r="X5538" s="12">
        <f>IF(LEFT(I5538,2)="MV",2*N5538*IF(L5538="1/C",O5538,1),0)</f>
        <v/>
      </c>
      <c r="Y5538" s="12">
        <f>IF(OR(LEFT(K5538,4)="LVAX",LEFT(K5538,6)="MV15AX",LEFT(K5538,4)="CTAX",LEFT(K5538,2)="W|"),2*N5538*O5538,0)</f>
        <v/>
      </c>
      <c r="Z5538" s="12" t="inlineStr">
        <is>
          <t>VD 0.5 %</t>
        </is>
      </c>
      <c r="AA5538" s="12">
        <f>N5538*O5538</f>
        <v/>
      </c>
    </row>
    <row r="5539">
      <c r="A5539" s="12" t="inlineStr">
        <is>
          <t>I-P-0283</t>
        </is>
      </c>
      <c r="B5539" s="12" t="inlineStr">
        <is>
          <t>I</t>
        </is>
      </c>
      <c r="C5539" s="12" t="inlineStr">
        <is>
          <t>Modular / portable power</t>
        </is>
      </c>
      <c r="D5539" s="12" t="inlineStr">
        <is>
          <t>Motor 5 of 10, 30 kW</t>
        </is>
      </c>
      <c r="E5539" s="12" t="inlineStr"/>
      <c r="F5539" s="12" t="inlineStr">
        <is>
          <t>SC-1 PCM + 15 kV GCB</t>
        </is>
      </c>
      <c r="G5539" s="12" t="inlineStr">
        <is>
          <t>SC-1</t>
        </is>
      </c>
      <c r="H5539" s="12" t="inlineStr">
        <is>
          <t>SC-1: aeroderivative simple-cycle unit (LM6000 class)</t>
        </is>
      </c>
      <c r="I5539" s="12" t="inlineStr">
        <is>
          <t>LV 600 V</t>
        </is>
      </c>
      <c r="J5539" s="12" t="inlineStr">
        <is>
          <t>Type TC-ER 600 V 3/C Cu XHHW-2 + ground, PVC jacket</t>
        </is>
      </c>
      <c r="K5539" s="12" t="inlineStr">
        <is>
          <t>LV|3/C+G|6</t>
        </is>
      </c>
      <c r="L5539" s="12" t="inlineStr">
        <is>
          <t>3/C+G</t>
        </is>
      </c>
      <c r="M5539" s="12" t="inlineStr">
        <is>
          <t>6</t>
        </is>
      </c>
      <c r="N5539" s="12" t="n">
        <v>1</v>
      </c>
      <c r="O5539" s="12" t="n">
        <v>1</v>
      </c>
      <c r="P5539" s="12" t="n">
        <v>480</v>
      </c>
      <c r="Q5539" s="12" t="n">
        <v>30</v>
      </c>
      <c r="R5539" s="12" t="n">
        <v>42.5</v>
      </c>
      <c r="S5539" s="12" t="inlineStr">
        <is>
          <t>Tray</t>
        </is>
      </c>
      <c r="T5539" s="17" t="n">
        <v>0</v>
      </c>
      <c r="U5539" s="17" t="n">
        <v>64</v>
      </c>
      <c r="V5539" s="17">
        <f>ROUNDUP((T5539+U5539+2*'Read Me'!$B$13)*(1+'Read Me'!$B$12),-1)</f>
        <v/>
      </c>
      <c r="W5539" s="17">
        <f>V5539*N5539*O5539</f>
        <v/>
      </c>
      <c r="X5539" s="12">
        <f>IF(LEFT(I5539,2)="MV",2*N5539*IF(L5539="1/C",O5539,1),0)</f>
        <v/>
      </c>
      <c r="Y5539" s="12">
        <f>IF(OR(LEFT(K5539,4)="LVAX",LEFT(K5539,6)="MV15AX",LEFT(K5539,4)="CTAX",LEFT(K5539,2)="W|"),2*N5539*O5539,0)</f>
        <v/>
      </c>
      <c r="Z5539" s="12" t="inlineStr">
        <is>
          <t>VD 0.5 %</t>
        </is>
      </c>
      <c r="AA5539" s="12">
        <f>N5539*O5539</f>
        <v/>
      </c>
    </row>
    <row r="5540">
      <c r="A5540" s="12" t="inlineStr">
        <is>
          <t>I-P-0284</t>
        </is>
      </c>
      <c r="B5540" s="12" t="inlineStr">
        <is>
          <t>I</t>
        </is>
      </c>
      <c r="C5540" s="12" t="inlineStr">
        <is>
          <t>Modular / portable power</t>
        </is>
      </c>
      <c r="D5540" s="12" t="inlineStr">
        <is>
          <t>Motor 6 of 10, 30 kW</t>
        </is>
      </c>
      <c r="E5540" s="12" t="inlineStr"/>
      <c r="F5540" s="12" t="inlineStr">
        <is>
          <t>SC-1 PCM + 15 kV GCB</t>
        </is>
      </c>
      <c r="G5540" s="12" t="inlineStr">
        <is>
          <t>SC-1</t>
        </is>
      </c>
      <c r="H5540" s="12" t="inlineStr">
        <is>
          <t>SC-1: aeroderivative simple-cycle unit (LM6000 class)</t>
        </is>
      </c>
      <c r="I5540" s="12" t="inlineStr">
        <is>
          <t>LV 600 V</t>
        </is>
      </c>
      <c r="J5540" s="12" t="inlineStr">
        <is>
          <t>Type TC-ER 600 V 3/C Cu XHHW-2 + ground, PVC jacket</t>
        </is>
      </c>
      <c r="K5540" s="12" t="inlineStr">
        <is>
          <t>LV|3/C+G|6</t>
        </is>
      </c>
      <c r="L5540" s="12" t="inlineStr">
        <is>
          <t>3/C+G</t>
        </is>
      </c>
      <c r="M5540" s="12" t="inlineStr">
        <is>
          <t>6</t>
        </is>
      </c>
      <c r="N5540" s="12" t="n">
        <v>1</v>
      </c>
      <c r="O5540" s="12" t="n">
        <v>1</v>
      </c>
      <c r="P5540" s="12" t="n">
        <v>480</v>
      </c>
      <c r="Q5540" s="12" t="n">
        <v>30</v>
      </c>
      <c r="R5540" s="12" t="n">
        <v>42.5</v>
      </c>
      <c r="S5540" s="12" t="inlineStr">
        <is>
          <t>Tray</t>
        </is>
      </c>
      <c r="T5540" s="17" t="n">
        <v>0</v>
      </c>
      <c r="U5540" s="17" t="n">
        <v>64</v>
      </c>
      <c r="V5540" s="17">
        <f>ROUNDUP((T5540+U5540+2*'Read Me'!$B$13)*(1+'Read Me'!$B$12),-1)</f>
        <v/>
      </c>
      <c r="W5540" s="17">
        <f>V5540*N5540*O5540</f>
        <v/>
      </c>
      <c r="X5540" s="12">
        <f>IF(LEFT(I5540,2)="MV",2*N5540*IF(L5540="1/C",O5540,1),0)</f>
        <v/>
      </c>
      <c r="Y5540" s="12">
        <f>IF(OR(LEFT(K5540,4)="LVAX",LEFT(K5540,6)="MV15AX",LEFT(K5540,4)="CTAX",LEFT(K5540,2)="W|"),2*N5540*O5540,0)</f>
        <v/>
      </c>
      <c r="Z5540" s="12" t="inlineStr">
        <is>
          <t>VD 0.5 %</t>
        </is>
      </c>
      <c r="AA5540" s="12">
        <f>N5540*O5540</f>
        <v/>
      </c>
    </row>
    <row r="5541">
      <c r="A5541" s="12" t="inlineStr">
        <is>
          <t>I-P-0285</t>
        </is>
      </c>
      <c r="B5541" s="12" t="inlineStr">
        <is>
          <t>I</t>
        </is>
      </c>
      <c r="C5541" s="12" t="inlineStr">
        <is>
          <t>Modular / portable power</t>
        </is>
      </c>
      <c r="D5541" s="12" t="inlineStr">
        <is>
          <t>Motor 7 of 10, 30 kW</t>
        </is>
      </c>
      <c r="E5541" s="12" t="inlineStr"/>
      <c r="F5541" s="12" t="inlineStr">
        <is>
          <t>SC-1 PCM + 15 kV GCB</t>
        </is>
      </c>
      <c r="G5541" s="12" t="inlineStr">
        <is>
          <t>SC-1</t>
        </is>
      </c>
      <c r="H5541" s="12" t="inlineStr">
        <is>
          <t>SC-1: aeroderivative simple-cycle unit (LM6000 class)</t>
        </is>
      </c>
      <c r="I5541" s="12" t="inlineStr">
        <is>
          <t>LV 600 V</t>
        </is>
      </c>
      <c r="J5541" s="12" t="inlineStr">
        <is>
          <t>Type TC-ER 600 V 3/C Cu XHHW-2 + ground, PVC jacket</t>
        </is>
      </c>
      <c r="K5541" s="12" t="inlineStr">
        <is>
          <t>LV|3/C+G|6</t>
        </is>
      </c>
      <c r="L5541" s="12" t="inlineStr">
        <is>
          <t>3/C+G</t>
        </is>
      </c>
      <c r="M5541" s="12" t="inlineStr">
        <is>
          <t>6</t>
        </is>
      </c>
      <c r="N5541" s="12" t="n">
        <v>1</v>
      </c>
      <c r="O5541" s="12" t="n">
        <v>1</v>
      </c>
      <c r="P5541" s="12" t="n">
        <v>480</v>
      </c>
      <c r="Q5541" s="12" t="n">
        <v>30</v>
      </c>
      <c r="R5541" s="12" t="n">
        <v>42.5</v>
      </c>
      <c r="S5541" s="12" t="inlineStr">
        <is>
          <t>Tray</t>
        </is>
      </c>
      <c r="T5541" s="17" t="n">
        <v>0</v>
      </c>
      <c r="U5541" s="17" t="n">
        <v>64</v>
      </c>
      <c r="V5541" s="17">
        <f>ROUNDUP((T5541+U5541+2*'Read Me'!$B$13)*(1+'Read Me'!$B$12),-1)</f>
        <v/>
      </c>
      <c r="W5541" s="17">
        <f>V5541*N5541*O5541</f>
        <v/>
      </c>
      <c r="X5541" s="12">
        <f>IF(LEFT(I5541,2)="MV",2*N5541*IF(L5541="1/C",O5541,1),0)</f>
        <v/>
      </c>
      <c r="Y5541" s="12">
        <f>IF(OR(LEFT(K5541,4)="LVAX",LEFT(K5541,6)="MV15AX",LEFT(K5541,4)="CTAX",LEFT(K5541,2)="W|"),2*N5541*O5541,0)</f>
        <v/>
      </c>
      <c r="Z5541" s="12" t="inlineStr">
        <is>
          <t>VD 0.5 %</t>
        </is>
      </c>
      <c r="AA5541" s="12">
        <f>N5541*O5541</f>
        <v/>
      </c>
    </row>
    <row r="5542">
      <c r="A5542" s="12" t="inlineStr">
        <is>
          <t>I-P-0286</t>
        </is>
      </c>
      <c r="B5542" s="12" t="inlineStr">
        <is>
          <t>I</t>
        </is>
      </c>
      <c r="C5542" s="12" t="inlineStr">
        <is>
          <t>Modular / portable power</t>
        </is>
      </c>
      <c r="D5542" s="12" t="inlineStr">
        <is>
          <t>Motor 8 of 10, 30 kW</t>
        </is>
      </c>
      <c r="E5542" s="12" t="inlineStr"/>
      <c r="F5542" s="12" t="inlineStr">
        <is>
          <t>SC-1 PCM + 15 kV GCB</t>
        </is>
      </c>
      <c r="G5542" s="12" t="inlineStr">
        <is>
          <t>SC-1</t>
        </is>
      </c>
      <c r="H5542" s="12" t="inlineStr">
        <is>
          <t>SC-1: aeroderivative simple-cycle unit (LM6000 class)</t>
        </is>
      </c>
      <c r="I5542" s="12" t="inlineStr">
        <is>
          <t>LV 600 V</t>
        </is>
      </c>
      <c r="J5542" s="12" t="inlineStr">
        <is>
          <t>Type TC-ER 600 V 3/C Cu XHHW-2 + ground, PVC jacket</t>
        </is>
      </c>
      <c r="K5542" s="12" t="inlineStr">
        <is>
          <t>LV|3/C+G|6</t>
        </is>
      </c>
      <c r="L5542" s="12" t="inlineStr">
        <is>
          <t>3/C+G</t>
        </is>
      </c>
      <c r="M5542" s="12" t="inlineStr">
        <is>
          <t>6</t>
        </is>
      </c>
      <c r="N5542" s="12" t="n">
        <v>1</v>
      </c>
      <c r="O5542" s="12" t="n">
        <v>1</v>
      </c>
      <c r="P5542" s="12" t="n">
        <v>480</v>
      </c>
      <c r="Q5542" s="12" t="n">
        <v>30</v>
      </c>
      <c r="R5542" s="12" t="n">
        <v>42.5</v>
      </c>
      <c r="S5542" s="12" t="inlineStr">
        <is>
          <t>Tray</t>
        </is>
      </c>
      <c r="T5542" s="17" t="n">
        <v>0</v>
      </c>
      <c r="U5542" s="17" t="n">
        <v>64</v>
      </c>
      <c r="V5542" s="17">
        <f>ROUNDUP((T5542+U5542+2*'Read Me'!$B$13)*(1+'Read Me'!$B$12),-1)</f>
        <v/>
      </c>
      <c r="W5542" s="17">
        <f>V5542*N5542*O5542</f>
        <v/>
      </c>
      <c r="X5542" s="12">
        <f>IF(LEFT(I5542,2)="MV",2*N5542*IF(L5542="1/C",O5542,1),0)</f>
        <v/>
      </c>
      <c r="Y5542" s="12">
        <f>IF(OR(LEFT(K5542,4)="LVAX",LEFT(K5542,6)="MV15AX",LEFT(K5542,4)="CTAX",LEFT(K5542,2)="W|"),2*N5542*O5542,0)</f>
        <v/>
      </c>
      <c r="Z5542" s="12" t="inlineStr">
        <is>
          <t>VD 0.5 %</t>
        </is>
      </c>
      <c r="AA5542" s="12">
        <f>N5542*O5542</f>
        <v/>
      </c>
    </row>
    <row r="5543">
      <c r="A5543" s="12" t="inlineStr">
        <is>
          <t>I-P-0287</t>
        </is>
      </c>
      <c r="B5543" s="12" t="inlineStr">
        <is>
          <t>I</t>
        </is>
      </c>
      <c r="C5543" s="12" t="inlineStr">
        <is>
          <t>Modular / portable power</t>
        </is>
      </c>
      <c r="D5543" s="12" t="inlineStr">
        <is>
          <t>Motor 9 of 10, 30 kW</t>
        </is>
      </c>
      <c r="E5543" s="12" t="inlineStr"/>
      <c r="F5543" s="12" t="inlineStr">
        <is>
          <t>SC-1 PCM + 15 kV GCB</t>
        </is>
      </c>
      <c r="G5543" s="12" t="inlineStr">
        <is>
          <t>SC-1</t>
        </is>
      </c>
      <c r="H5543" s="12" t="inlineStr">
        <is>
          <t>SC-1: aeroderivative simple-cycle unit (LM6000 class)</t>
        </is>
      </c>
      <c r="I5543" s="12" t="inlineStr">
        <is>
          <t>LV 600 V</t>
        </is>
      </c>
      <c r="J5543" s="12" t="inlineStr">
        <is>
          <t>Type TC-ER 600 V 3/C Cu XHHW-2 + ground, PVC jacket</t>
        </is>
      </c>
      <c r="K5543" s="12" t="inlineStr">
        <is>
          <t>LV|3/C+G|6</t>
        </is>
      </c>
      <c r="L5543" s="12" t="inlineStr">
        <is>
          <t>3/C+G</t>
        </is>
      </c>
      <c r="M5543" s="12" t="inlineStr">
        <is>
          <t>6</t>
        </is>
      </c>
      <c r="N5543" s="12" t="n">
        <v>1</v>
      </c>
      <c r="O5543" s="12" t="n">
        <v>1</v>
      </c>
      <c r="P5543" s="12" t="n">
        <v>480</v>
      </c>
      <c r="Q5543" s="12" t="n">
        <v>30</v>
      </c>
      <c r="R5543" s="12" t="n">
        <v>42.5</v>
      </c>
      <c r="S5543" s="12" t="inlineStr">
        <is>
          <t>Tray</t>
        </is>
      </c>
      <c r="T5543" s="17" t="n">
        <v>0</v>
      </c>
      <c r="U5543" s="17" t="n">
        <v>64</v>
      </c>
      <c r="V5543" s="17">
        <f>ROUNDUP((T5543+U5543+2*'Read Me'!$B$13)*(1+'Read Me'!$B$12),-1)</f>
        <v/>
      </c>
      <c r="W5543" s="17">
        <f>V5543*N5543*O5543</f>
        <v/>
      </c>
      <c r="X5543" s="12">
        <f>IF(LEFT(I5543,2)="MV",2*N5543*IF(L5543="1/C",O5543,1),0)</f>
        <v/>
      </c>
      <c r="Y5543" s="12">
        <f>IF(OR(LEFT(K5543,4)="LVAX",LEFT(K5543,6)="MV15AX",LEFT(K5543,4)="CTAX",LEFT(K5543,2)="W|"),2*N5543*O5543,0)</f>
        <v/>
      </c>
      <c r="Z5543" s="12" t="inlineStr">
        <is>
          <t>VD 0.5 %</t>
        </is>
      </c>
      <c r="AA5543" s="12">
        <f>N5543*O5543</f>
        <v/>
      </c>
    </row>
    <row r="5544">
      <c r="A5544" s="12" t="inlineStr">
        <is>
          <t>I-P-0288</t>
        </is>
      </c>
      <c r="B5544" s="12" t="inlineStr">
        <is>
          <t>I</t>
        </is>
      </c>
      <c r="C5544" s="12" t="inlineStr">
        <is>
          <t>Modular / portable power</t>
        </is>
      </c>
      <c r="D5544" s="12" t="inlineStr">
        <is>
          <t>Motor 10 of 10, 30 kW</t>
        </is>
      </c>
      <c r="E5544" s="12" t="inlineStr"/>
      <c r="F5544" s="12" t="inlineStr">
        <is>
          <t>SC-1 PCM + 15 kV GCB</t>
        </is>
      </c>
      <c r="G5544" s="12" t="inlineStr">
        <is>
          <t>SC-1</t>
        </is>
      </c>
      <c r="H5544" s="12" t="inlineStr">
        <is>
          <t>SC-1: aeroderivative simple-cycle unit (LM6000 class)</t>
        </is>
      </c>
      <c r="I5544" s="12" t="inlineStr">
        <is>
          <t>LV 600 V</t>
        </is>
      </c>
      <c r="J5544" s="12" t="inlineStr">
        <is>
          <t>Type TC-ER 600 V 3/C Cu XHHW-2 + ground, PVC jacket</t>
        </is>
      </c>
      <c r="K5544" s="12" t="inlineStr">
        <is>
          <t>LV|3/C+G|6</t>
        </is>
      </c>
      <c r="L5544" s="12" t="inlineStr">
        <is>
          <t>3/C+G</t>
        </is>
      </c>
      <c r="M5544" s="12" t="inlineStr">
        <is>
          <t>6</t>
        </is>
      </c>
      <c r="N5544" s="12" t="n">
        <v>1</v>
      </c>
      <c r="O5544" s="12" t="n">
        <v>1</v>
      </c>
      <c r="P5544" s="12" t="n">
        <v>480</v>
      </c>
      <c r="Q5544" s="12" t="n">
        <v>30</v>
      </c>
      <c r="R5544" s="12" t="n">
        <v>42.5</v>
      </c>
      <c r="S5544" s="12" t="inlineStr">
        <is>
          <t>Tray</t>
        </is>
      </c>
      <c r="T5544" s="17" t="n">
        <v>0</v>
      </c>
      <c r="U5544" s="17" t="n">
        <v>64</v>
      </c>
      <c r="V5544" s="17">
        <f>ROUNDUP((T5544+U5544+2*'Read Me'!$B$13)*(1+'Read Me'!$B$12),-1)</f>
        <v/>
      </c>
      <c r="W5544" s="17">
        <f>V5544*N5544*O5544</f>
        <v/>
      </c>
      <c r="X5544" s="12">
        <f>IF(LEFT(I5544,2)="MV",2*N5544*IF(L5544="1/C",O5544,1),0)</f>
        <v/>
      </c>
      <c r="Y5544" s="12">
        <f>IF(OR(LEFT(K5544,4)="LVAX",LEFT(K5544,6)="MV15AX",LEFT(K5544,4)="CTAX",LEFT(K5544,2)="W|"),2*N5544*O5544,0)</f>
        <v/>
      </c>
      <c r="Z5544" s="12" t="inlineStr">
        <is>
          <t>VD 0.5 %</t>
        </is>
      </c>
      <c r="AA5544" s="12">
        <f>N5544*O5544</f>
        <v/>
      </c>
    </row>
    <row r="5545">
      <c r="A5545" s="12" t="inlineStr">
        <is>
          <t>I-P-0289</t>
        </is>
      </c>
      <c r="B5545" s="12" t="inlineStr">
        <is>
          <t>I</t>
        </is>
      </c>
      <c r="C5545" s="12" t="inlineStr">
        <is>
          <t>Modular / portable power</t>
        </is>
      </c>
      <c r="D5545" s="12" t="inlineStr">
        <is>
          <t>Area / platform lighting circuit 1 (8 fixtures)</t>
        </is>
      </c>
      <c r="E5545" s="12" t="inlineStr"/>
      <c r="F5545" s="12" t="inlineStr">
        <is>
          <t>SC-1 PCM + 15 kV GCB</t>
        </is>
      </c>
      <c r="G5545" s="12" t="inlineStr">
        <is>
          <t>SC-1</t>
        </is>
      </c>
      <c r="H5545" s="12" t="inlineStr">
        <is>
          <t>SC-1: aeroderivative simple-cycle unit (LM6000 class)</t>
        </is>
      </c>
      <c r="I5545" s="12" t="inlineStr">
        <is>
          <t>LV 600 V</t>
        </is>
      </c>
      <c r="J5545" s="12" t="inlineStr">
        <is>
          <t>Type TC-ER 600 V 3/C Cu XHHW-2 + ground, PVC jacket</t>
        </is>
      </c>
      <c r="K5545" s="12" t="inlineStr">
        <is>
          <t>LV|3/C+G|10</t>
        </is>
      </c>
      <c r="L5545" s="12" t="inlineStr">
        <is>
          <t>3/C+G</t>
        </is>
      </c>
      <c r="M5545" s="12" t="inlineStr">
        <is>
          <t>10</t>
        </is>
      </c>
      <c r="N5545" s="12" t="n">
        <v>1</v>
      </c>
      <c r="O5545" s="12" t="n">
        <v>1</v>
      </c>
      <c r="P5545" s="12" t="n">
        <v>480</v>
      </c>
      <c r="Q5545" s="12" t="n">
        <v>3</v>
      </c>
      <c r="R5545" s="12" t="n">
        <v>5</v>
      </c>
      <c r="S5545" s="12" t="inlineStr">
        <is>
          <t>Tray</t>
        </is>
      </c>
      <c r="T5545" s="17" t="n">
        <v>300</v>
      </c>
      <c r="U5545" s="17" t="n">
        <v>64</v>
      </c>
      <c r="V5545" s="17">
        <f>ROUNDUP((T5545+U5545+2*'Read Me'!$B$13)*(1+'Read Me'!$B$12),-1)</f>
        <v/>
      </c>
      <c r="W5545" s="17">
        <f>V5545*N5545*O5545</f>
        <v/>
      </c>
      <c r="X5545" s="12">
        <f>IF(LEFT(I5545,2)="MV",2*N5545*IF(L5545="1/C",O5545,1),0)</f>
        <v/>
      </c>
      <c r="Y5545" s="12">
        <f>IF(OR(LEFT(K5545,4)="LVAX",LEFT(K5545,6)="MV15AX",LEFT(K5545,4)="CTAX",LEFT(K5545,2)="W|"),2*N5545*O5545,0)</f>
        <v/>
      </c>
      <c r="Z5545" s="12" t="inlineStr">
        <is>
          <t>fixture-to-fixture run included</t>
        </is>
      </c>
      <c r="AA5545" s="12">
        <f>N5545*O5545</f>
        <v/>
      </c>
    </row>
    <row r="5546">
      <c r="A5546" s="12" t="inlineStr">
        <is>
          <t>I-P-0290</t>
        </is>
      </c>
      <c r="B5546" s="12" t="inlineStr">
        <is>
          <t>I</t>
        </is>
      </c>
      <c r="C5546" s="12" t="inlineStr">
        <is>
          <t>Modular / portable power</t>
        </is>
      </c>
      <c r="D5546" s="12" t="inlineStr">
        <is>
          <t>SC-2 CEMS shelter panel: analysers, heated sample line, lighting</t>
        </is>
      </c>
      <c r="E5546" s="12" t="inlineStr"/>
      <c r="F5546" s="12" t="inlineStr">
        <is>
          <t>SC-2 PCM + 15 kV GCB</t>
        </is>
      </c>
      <c r="G5546" s="12" t="inlineStr"/>
      <c r="H5546" s="12" t="inlineStr">
        <is>
          <t>SC-2 CEMS shelter</t>
        </is>
      </c>
      <c r="I5546" s="12" t="inlineStr">
        <is>
          <t>LV 600 V</t>
        </is>
      </c>
      <c r="J5546" s="12" t="inlineStr">
        <is>
          <t>Type TC-ER 600 V 3/C Cu XHHW-2 + ground, PVC jacket</t>
        </is>
      </c>
      <c r="K5546" s="12" t="inlineStr">
        <is>
          <t>LV|3/C+G|10</t>
        </is>
      </c>
      <c r="L5546" s="12" t="inlineStr">
        <is>
          <t>3/C+G</t>
        </is>
      </c>
      <c r="M5546" s="12" t="inlineStr">
        <is>
          <t>10</t>
        </is>
      </c>
      <c r="N5546" s="12" t="n">
        <v>1</v>
      </c>
      <c r="O5546" s="12" t="n">
        <v>1</v>
      </c>
      <c r="P5546" s="12" t="n">
        <v>480</v>
      </c>
      <c r="Q5546" s="12" t="n">
        <v>15</v>
      </c>
      <c r="R5546" s="12" t="n">
        <v>19</v>
      </c>
      <c r="S5546" s="12" t="inlineStr">
        <is>
          <t>Duct bank</t>
        </is>
      </c>
      <c r="T5546" s="17" t="n">
        <v>25</v>
      </c>
      <c r="U5546" s="17" t="n">
        <v>197</v>
      </c>
      <c r="V5546" s="17">
        <f>ROUNDUP((T5546+U5546+2*'Read Me'!$B$13)*(1+'Read Me'!$B$12),-1)</f>
        <v/>
      </c>
      <c r="W5546" s="17">
        <f>V5546*N5546*O5546</f>
        <v/>
      </c>
      <c r="X5546" s="12">
        <f>IF(LEFT(I5546,2)="MV",2*N5546*IF(L5546="1/C",O5546,1),0)</f>
        <v/>
      </c>
      <c r="Y5546" s="12">
        <f>IF(OR(LEFT(K5546,4)="LVAX",LEFT(K5546,6)="MV15AX",LEFT(K5546,4)="CTAX",LEFT(K5546,2)="W|"),2*N5546*O5546,0)</f>
        <v/>
      </c>
      <c r="Z5546" s="12" t="inlineStr">
        <is>
          <t>VD 2.0 %</t>
        </is>
      </c>
      <c r="AA5546" s="12">
        <f>N5546*O5546</f>
        <v/>
      </c>
    </row>
    <row r="5547">
      <c r="A5547" s="12" t="inlineStr">
        <is>
          <t>I-P-0291</t>
        </is>
      </c>
      <c r="B5547" s="12" t="inlineStr">
        <is>
          <t>I</t>
        </is>
      </c>
      <c r="C5547" s="12" t="inlineStr">
        <is>
          <t>Modular / portable power</t>
        </is>
      </c>
      <c r="D5547" s="12" t="inlineStr">
        <is>
          <t>Motor 1 of 2, 5 kW</t>
        </is>
      </c>
      <c r="E5547" s="12" t="inlineStr"/>
      <c r="F5547" s="12" t="inlineStr">
        <is>
          <t>SC-2 PCM + 15 kV GCB</t>
        </is>
      </c>
      <c r="G5547" s="12" t="inlineStr"/>
      <c r="H5547" s="12" t="inlineStr">
        <is>
          <t>SC-2 CEMS shelter</t>
        </is>
      </c>
      <c r="I5547" s="12" t="inlineStr">
        <is>
          <t>LV 600 V</t>
        </is>
      </c>
      <c r="J5547" s="12" t="inlineStr">
        <is>
          <t>Type TC-ER 600 V 3/C Cu XHHW-2 + ground, PVC jacket</t>
        </is>
      </c>
      <c r="K5547" s="12" t="inlineStr">
        <is>
          <t>LV|3/C+G|10</t>
        </is>
      </c>
      <c r="L5547" s="12" t="inlineStr">
        <is>
          <t>3/C+G</t>
        </is>
      </c>
      <c r="M5547" s="12" t="inlineStr">
        <is>
          <t>10</t>
        </is>
      </c>
      <c r="N5547" s="12" t="n">
        <v>1</v>
      </c>
      <c r="O5547" s="12" t="n">
        <v>1</v>
      </c>
      <c r="P5547" s="12" t="n">
        <v>480</v>
      </c>
      <c r="Q5547" s="12" t="n">
        <v>5</v>
      </c>
      <c r="R5547" s="12" t="n">
        <v>7.1</v>
      </c>
      <c r="S5547" s="12" t="inlineStr">
        <is>
          <t>Duct bank</t>
        </is>
      </c>
      <c r="T5547" s="17" t="n">
        <v>25</v>
      </c>
      <c r="U5547" s="17" t="n">
        <v>197</v>
      </c>
      <c r="V5547" s="17">
        <f>ROUNDUP((T5547+U5547+2*'Read Me'!$B$13)*(1+'Read Me'!$B$12),-1)</f>
        <v/>
      </c>
      <c r="W5547" s="17">
        <f>V5547*N5547*O5547</f>
        <v/>
      </c>
      <c r="X5547" s="12">
        <f>IF(LEFT(I5547,2)="MV",2*N5547*IF(L5547="1/C",O5547,1),0)</f>
        <v/>
      </c>
      <c r="Y5547" s="12">
        <f>IF(OR(LEFT(K5547,4)="LVAX",LEFT(K5547,6)="MV15AX",LEFT(K5547,4)="CTAX",LEFT(K5547,2)="W|"),2*N5547*O5547,0)</f>
        <v/>
      </c>
      <c r="Z5547" s="12" t="inlineStr">
        <is>
          <t>VD 0.8 %</t>
        </is>
      </c>
      <c r="AA5547" s="12">
        <f>N5547*O5547</f>
        <v/>
      </c>
    </row>
    <row r="5548">
      <c r="A5548" s="12" t="inlineStr">
        <is>
          <t>I-P-0292</t>
        </is>
      </c>
      <c r="B5548" s="12" t="inlineStr">
        <is>
          <t>I</t>
        </is>
      </c>
      <c r="C5548" s="12" t="inlineStr">
        <is>
          <t>Modular / portable power</t>
        </is>
      </c>
      <c r="D5548" s="12" t="inlineStr">
        <is>
          <t>Motor 2 of 2, 5 kW</t>
        </is>
      </c>
      <c r="E5548" s="12" t="inlineStr"/>
      <c r="F5548" s="12" t="inlineStr">
        <is>
          <t>SC-2 PCM + 15 kV GCB</t>
        </is>
      </c>
      <c r="G5548" s="12" t="inlineStr"/>
      <c r="H5548" s="12" t="inlineStr">
        <is>
          <t>SC-2 CEMS shelter</t>
        </is>
      </c>
      <c r="I5548" s="12" t="inlineStr">
        <is>
          <t>LV 600 V</t>
        </is>
      </c>
      <c r="J5548" s="12" t="inlineStr">
        <is>
          <t>Type TC-ER 600 V 3/C Cu XHHW-2 + ground, PVC jacket</t>
        </is>
      </c>
      <c r="K5548" s="12" t="inlineStr">
        <is>
          <t>LV|3/C+G|10</t>
        </is>
      </c>
      <c r="L5548" s="12" t="inlineStr">
        <is>
          <t>3/C+G</t>
        </is>
      </c>
      <c r="M5548" s="12" t="inlineStr">
        <is>
          <t>10</t>
        </is>
      </c>
      <c r="N5548" s="12" t="n">
        <v>1</v>
      </c>
      <c r="O5548" s="12" t="n">
        <v>1</v>
      </c>
      <c r="P5548" s="12" t="n">
        <v>480</v>
      </c>
      <c r="Q5548" s="12" t="n">
        <v>5</v>
      </c>
      <c r="R5548" s="12" t="n">
        <v>7.1</v>
      </c>
      <c r="S5548" s="12" t="inlineStr">
        <is>
          <t>Duct bank</t>
        </is>
      </c>
      <c r="T5548" s="17" t="n">
        <v>25</v>
      </c>
      <c r="U5548" s="17" t="n">
        <v>197</v>
      </c>
      <c r="V5548" s="17">
        <f>ROUNDUP((T5548+U5548+2*'Read Me'!$B$13)*(1+'Read Me'!$B$12),-1)</f>
        <v/>
      </c>
      <c r="W5548" s="17">
        <f>V5548*N5548*O5548</f>
        <v/>
      </c>
      <c r="X5548" s="12">
        <f>IF(LEFT(I5548,2)="MV",2*N5548*IF(L5548="1/C",O5548,1),0)</f>
        <v/>
      </c>
      <c r="Y5548" s="12">
        <f>IF(OR(LEFT(K5548,4)="LVAX",LEFT(K5548,6)="MV15AX",LEFT(K5548,4)="CTAX",LEFT(K5548,2)="W|"),2*N5548*O5548,0)</f>
        <v/>
      </c>
      <c r="Z5548" s="12" t="inlineStr">
        <is>
          <t>VD 0.8 %</t>
        </is>
      </c>
      <c r="AA5548" s="12">
        <f>N5548*O5548</f>
        <v/>
      </c>
    </row>
    <row r="5549">
      <c r="A5549" s="12" t="inlineStr">
        <is>
          <t>I-P-0293</t>
        </is>
      </c>
      <c r="B5549" s="12" t="inlineStr">
        <is>
          <t>I</t>
        </is>
      </c>
      <c r="C5549" s="12" t="inlineStr">
        <is>
          <t>Modular / portable power</t>
        </is>
      </c>
      <c r="D5549" s="12" t="inlineStr">
        <is>
          <t>SC-2 125 V DC battery to charger / DC panel</t>
        </is>
      </c>
      <c r="E5549" s="12" t="inlineStr"/>
      <c r="F5549" s="12" t="inlineStr">
        <is>
          <t>SC-2 PCM + 15 kV GCB</t>
        </is>
      </c>
      <c r="G5549" s="12" t="inlineStr"/>
      <c r="H5549" s="12" t="inlineStr">
        <is>
          <t>SC-2 PCM + 15 kV GCB</t>
        </is>
      </c>
      <c r="I5549" s="12" t="inlineStr">
        <is>
          <t>LV 600 V</t>
        </is>
      </c>
      <c r="J5549" s="12" t="inlineStr">
        <is>
          <t>XHHW-2 600 V 1/C Cu (feeder sets in tray / duct)</t>
        </is>
      </c>
      <c r="K5549" s="12" t="inlineStr">
        <is>
          <t>LV1C|1/C|4/0</t>
        </is>
      </c>
      <c r="L5549" s="12" t="inlineStr">
        <is>
          <t>1/C</t>
        </is>
      </c>
      <c r="M5549" s="12" t="inlineStr">
        <is>
          <t>4/0</t>
        </is>
      </c>
      <c r="N5549" s="12" t="n">
        <v>1</v>
      </c>
      <c r="O5549" s="12" t="n">
        <v>2</v>
      </c>
      <c r="P5549" s="12" t="n">
        <v>125</v>
      </c>
      <c r="Q5549" s="12" t="n"/>
      <c r="R5549" s="12" t="n"/>
      <c r="S5549" s="12" t="inlineStr">
        <is>
          <t>Tray</t>
        </is>
      </c>
      <c r="T5549" s="17" t="n">
        <v>15</v>
      </c>
      <c r="U5549" s="17" t="n">
        <v>5</v>
      </c>
      <c r="V5549" s="17">
        <f>ROUNDUP((T5549+U5549+2*'Read Me'!$B$13)*(1+'Read Me'!$B$12),-1)</f>
        <v/>
      </c>
      <c r="W5549" s="17">
        <f>V5549*N5549*O5549</f>
        <v/>
      </c>
      <c r="X5549" s="12">
        <f>IF(LEFT(I5549,2)="MV",2*N5549*IF(L5549="1/C",O5549,1),0)</f>
        <v/>
      </c>
      <c r="Y5549" s="12">
        <f>IF(OR(LEFT(K5549,4)="LVAX",LEFT(K5549,6)="MV15AX",LEFT(K5549,4)="CTAX",LEFT(K5549,2)="W|"),2*N5549*O5549,0)</f>
        <v/>
      </c>
      <c r="Z5549" s="12" t="inlineStr">
        <is>
          <t>battery rack inside the PCM</t>
        </is>
      </c>
      <c r="AA5549" s="12">
        <f>N5549*O5549</f>
        <v/>
      </c>
    </row>
    <row r="5550">
      <c r="A5550" s="12" t="inlineStr">
        <is>
          <t>I-P-0294</t>
        </is>
      </c>
      <c r="B5550" s="12" t="inlineStr">
        <is>
          <t>I</t>
        </is>
      </c>
      <c r="C5550" s="12" t="inlineStr">
        <is>
          <t>Modular / portable power</t>
        </is>
      </c>
      <c r="D5550" s="12" t="inlineStr">
        <is>
          <t>SC-2 PCM lighting, receptacles and HVAC (from its own 480 V board)</t>
        </is>
      </c>
      <c r="E5550" s="12" t="inlineStr"/>
      <c r="F5550" s="12" t="inlineStr">
        <is>
          <t>SC-2 PCM + 15 kV GCB</t>
        </is>
      </c>
      <c r="G5550" s="12" t="inlineStr"/>
      <c r="H5550" s="12" t="inlineStr">
        <is>
          <t>SC-2 PCM + 15 kV GCB</t>
        </is>
      </c>
      <c r="I5550" s="12" t="inlineStr">
        <is>
          <t>LV 600 V</t>
        </is>
      </c>
      <c r="J5550" s="12" t="inlineStr">
        <is>
          <t>Type TC-ER 600 V 3/C Cu XHHW-2 + ground, PVC jacket</t>
        </is>
      </c>
      <c r="K5550" s="12" t="inlineStr">
        <is>
          <t>LV|3/C+G|2</t>
        </is>
      </c>
      <c r="L5550" s="12" t="inlineStr">
        <is>
          <t>3/C+G</t>
        </is>
      </c>
      <c r="M5550" s="12" t="inlineStr">
        <is>
          <t>2</t>
        </is>
      </c>
      <c r="N5550" s="12" t="n">
        <v>1</v>
      </c>
      <c r="O5550" s="12" t="n">
        <v>1</v>
      </c>
      <c r="P5550" s="12" t="n">
        <v>480</v>
      </c>
      <c r="Q5550" s="12" t="n">
        <v>40</v>
      </c>
      <c r="R5550" s="12" t="n"/>
      <c r="S5550" s="12" t="inlineStr">
        <is>
          <t>Tray</t>
        </is>
      </c>
      <c r="T5550" s="17" t="n">
        <v>80</v>
      </c>
      <c r="U5550" s="17" t="n">
        <v>10</v>
      </c>
      <c r="V5550" s="17">
        <f>ROUNDUP((T5550+U5550+2*'Read Me'!$B$13)*(1+'Read Me'!$B$12),-1)</f>
        <v/>
      </c>
      <c r="W5550" s="17">
        <f>V5550*N5550*O5550</f>
        <v/>
      </c>
      <c r="X5550" s="12">
        <f>IF(LEFT(I5550,2)="MV",2*N5550*IF(L5550="1/C",O5550,1),0)</f>
        <v/>
      </c>
      <c r="Y5550" s="12">
        <f>IF(OR(LEFT(K5550,4)="LVAX",LEFT(K5550,6)="MV15AX",LEFT(K5550,4)="CTAX",LEFT(K5550,2)="W|"),2*N5550*O5550,0)</f>
        <v/>
      </c>
      <c r="Z5550" s="12" t="inlineStr">
        <is>
          <t>internal to the PCM; aux transformer 13.8 kV / 480 V inside</t>
        </is>
      </c>
      <c r="AA5550" s="12">
        <f>N5550*O5550</f>
        <v/>
      </c>
    </row>
    <row r="5551">
      <c r="A5551" s="12" t="inlineStr">
        <is>
          <t>I-P-0295</t>
        </is>
      </c>
      <c r="B5551" s="12" t="inlineStr">
        <is>
          <t>I</t>
        </is>
      </c>
      <c r="C5551" s="12" t="inlineStr">
        <is>
          <t>Modular / portable power</t>
        </is>
      </c>
      <c r="D5551" s="12" t="inlineStr">
        <is>
          <t>Area / platform lighting circuit 1 (10 fixtures)</t>
        </is>
      </c>
      <c r="E5551" s="12" t="inlineStr"/>
      <c r="F5551" s="12" t="inlineStr">
        <is>
          <t>SC-2 PCM + 15 kV GCB</t>
        </is>
      </c>
      <c r="G5551" s="12" t="inlineStr"/>
      <c r="H5551" s="12" t="inlineStr">
        <is>
          <t>SC-2 SCR / CO catalyst</t>
        </is>
      </c>
      <c r="I5551" s="12" t="inlineStr">
        <is>
          <t>LV 600 V</t>
        </is>
      </c>
      <c r="J5551" s="12" t="inlineStr">
        <is>
          <t>Type TC-ER 600 V 3/C Cu XHHW-2 + ground, PVC jacket</t>
        </is>
      </c>
      <c r="K5551" s="12" t="inlineStr">
        <is>
          <t>LV|3/C+G|10</t>
        </is>
      </c>
      <c r="L5551" s="12" t="inlineStr">
        <is>
          <t>3/C+G</t>
        </is>
      </c>
      <c r="M5551" s="12" t="inlineStr">
        <is>
          <t>10</t>
        </is>
      </c>
      <c r="N5551" s="12" t="n">
        <v>1</v>
      </c>
      <c r="O5551" s="12" t="n">
        <v>1</v>
      </c>
      <c r="P5551" s="12" t="n">
        <v>480</v>
      </c>
      <c r="Q5551" s="12" t="n">
        <v>3</v>
      </c>
      <c r="R5551" s="12" t="n">
        <v>5</v>
      </c>
      <c r="S5551" s="12" t="inlineStr">
        <is>
          <t>Duct bank</t>
        </is>
      </c>
      <c r="T5551" s="17" t="n">
        <v>325</v>
      </c>
      <c r="U5551" s="17" t="n">
        <v>122</v>
      </c>
      <c r="V5551" s="17">
        <f>ROUNDUP((T5551+U5551+2*'Read Me'!$B$13)*(1+'Read Me'!$B$12),-1)</f>
        <v/>
      </c>
      <c r="W5551" s="17">
        <f>V5551*N5551*O5551</f>
        <v/>
      </c>
      <c r="X5551" s="12">
        <f>IF(LEFT(I5551,2)="MV",2*N5551*IF(L5551="1/C",O5551,1),0)</f>
        <v/>
      </c>
      <c r="Y5551" s="12">
        <f>IF(OR(LEFT(K5551,4)="LVAX",LEFT(K5551,6)="MV15AX",LEFT(K5551,4)="CTAX",LEFT(K5551,2)="W|"),2*N5551*O5551,0)</f>
        <v/>
      </c>
      <c r="Z5551" s="12" t="inlineStr">
        <is>
          <t>fixture-to-fixture run included</t>
        </is>
      </c>
      <c r="AA5551" s="12">
        <f>N5551*O5551</f>
        <v/>
      </c>
    </row>
    <row r="5552">
      <c r="A5552" s="12" t="inlineStr">
        <is>
          <t>I-P-0296</t>
        </is>
      </c>
      <c r="B5552" s="12" t="inlineStr">
        <is>
          <t>I</t>
        </is>
      </c>
      <c r="C5552" s="12" t="inlineStr">
        <is>
          <t>Modular / portable power</t>
        </is>
      </c>
      <c r="D5552" s="12" t="inlineStr">
        <is>
          <t>SC-2 ammonia vaporiser electric heater</t>
        </is>
      </c>
      <c r="E5552" s="12" t="inlineStr"/>
      <c r="F5552" s="12" t="inlineStr">
        <is>
          <t>SC-2 PCM + 15 kV GCB</t>
        </is>
      </c>
      <c r="G5552" s="12" t="inlineStr"/>
      <c r="H5552" s="12" t="inlineStr">
        <is>
          <t>SC-2 ammonia flow-control unit</t>
        </is>
      </c>
      <c r="I5552" s="12" t="inlineStr">
        <is>
          <t>LV 600 V</t>
        </is>
      </c>
      <c r="J5552" s="12" t="inlineStr">
        <is>
          <t>Type TC-ER 600 V 3/C Cu XHHW-2 + ground, PVC jacket</t>
        </is>
      </c>
      <c r="K5552" s="12" t="inlineStr">
        <is>
          <t>LV|3/C+G|4</t>
        </is>
      </c>
      <c r="L5552" s="12" t="inlineStr">
        <is>
          <t>3/C+G</t>
        </is>
      </c>
      <c r="M5552" s="12" t="inlineStr">
        <is>
          <t>4</t>
        </is>
      </c>
      <c r="N5552" s="12" t="n">
        <v>1</v>
      </c>
      <c r="O5552" s="12" t="n">
        <v>1</v>
      </c>
      <c r="P5552" s="12" t="n">
        <v>480</v>
      </c>
      <c r="Q5552" s="12" t="n">
        <v>45</v>
      </c>
      <c r="R5552" s="12" t="n">
        <v>57</v>
      </c>
      <c r="S5552" s="12" t="inlineStr">
        <is>
          <t>Tray</t>
        </is>
      </c>
      <c r="T5552" s="17" t="n">
        <v>0</v>
      </c>
      <c r="U5552" s="17" t="n">
        <v>152</v>
      </c>
      <c r="V5552" s="17">
        <f>ROUNDUP((T5552+U5552+2*'Read Me'!$B$13)*(1+'Read Me'!$B$12),-1)</f>
        <v/>
      </c>
      <c r="W5552" s="17">
        <f>V5552*N5552*O5552</f>
        <v/>
      </c>
      <c r="X5552" s="12">
        <f>IF(LEFT(I5552,2)="MV",2*N5552*IF(L5552="1/C",O5552,1),0)</f>
        <v/>
      </c>
      <c r="Y5552" s="12">
        <f>IF(OR(LEFT(K5552,4)="LVAX",LEFT(K5552,6)="MV15AX",LEFT(K5552,4)="CTAX",LEFT(K5552,2)="W|"),2*N5552*O5552,0)</f>
        <v/>
      </c>
      <c r="Z5552" s="12" t="inlineStr">
        <is>
          <t>VD 1.1 %</t>
        </is>
      </c>
      <c r="AA5552" s="12">
        <f>N5552*O5552</f>
        <v/>
      </c>
    </row>
    <row r="5553">
      <c r="A5553" s="12" t="inlineStr">
        <is>
          <t>I-P-0297</t>
        </is>
      </c>
      <c r="B5553" s="12" t="inlineStr">
        <is>
          <t>I</t>
        </is>
      </c>
      <c r="C5553" s="12" t="inlineStr">
        <is>
          <t>Modular / portable power</t>
        </is>
      </c>
      <c r="D5553" s="12" t="inlineStr">
        <is>
          <t>Motor 1 of 2, 7.5 kW</t>
        </is>
      </c>
      <c r="E5553" s="12" t="inlineStr"/>
      <c r="F5553" s="12" t="inlineStr">
        <is>
          <t>SC-2 PCM + 15 kV GCB</t>
        </is>
      </c>
      <c r="G5553" s="12" t="inlineStr"/>
      <c r="H5553" s="12" t="inlineStr">
        <is>
          <t>SC-2 ammonia flow-control unit</t>
        </is>
      </c>
      <c r="I5553" s="12" t="inlineStr">
        <is>
          <t>LV 600 V</t>
        </is>
      </c>
      <c r="J5553" s="12" t="inlineStr">
        <is>
          <t>Type TC-ER 600 V 3/C Cu XHHW-2 + ground, PVC jacket</t>
        </is>
      </c>
      <c r="K5553" s="12" t="inlineStr">
        <is>
          <t>LV|3/C+G|10</t>
        </is>
      </c>
      <c r="L5553" s="12" t="inlineStr">
        <is>
          <t>3/C+G</t>
        </is>
      </c>
      <c r="M5553" s="12" t="inlineStr">
        <is>
          <t>10</t>
        </is>
      </c>
      <c r="N5553" s="12" t="n">
        <v>1</v>
      </c>
      <c r="O5553" s="12" t="n">
        <v>1</v>
      </c>
      <c r="P5553" s="12" t="n">
        <v>480</v>
      </c>
      <c r="Q5553" s="12" t="n">
        <v>7.5</v>
      </c>
      <c r="R5553" s="12" t="n">
        <v>10.6</v>
      </c>
      <c r="S5553" s="12" t="inlineStr">
        <is>
          <t>Tray</t>
        </is>
      </c>
      <c r="T5553" s="17" t="n">
        <v>0</v>
      </c>
      <c r="U5553" s="17" t="n">
        <v>152</v>
      </c>
      <c r="V5553" s="17">
        <f>ROUNDUP((T5553+U5553+2*'Read Me'!$B$13)*(1+'Read Me'!$B$12),-1)</f>
        <v/>
      </c>
      <c r="W5553" s="17">
        <f>V5553*N5553*O5553</f>
        <v/>
      </c>
      <c r="X5553" s="12">
        <f>IF(LEFT(I5553,2)="MV",2*N5553*IF(L5553="1/C",O5553,1),0)</f>
        <v/>
      </c>
      <c r="Y5553" s="12">
        <f>IF(OR(LEFT(K5553,4)="LVAX",LEFT(K5553,6)="MV15AX",LEFT(K5553,4)="CTAX",LEFT(K5553,2)="W|"),2*N5553*O5553,0)</f>
        <v/>
      </c>
      <c r="Z5553" s="12" t="inlineStr">
        <is>
          <t>VD 0.8 %</t>
        </is>
      </c>
      <c r="AA5553" s="12">
        <f>N5553*O5553</f>
        <v/>
      </c>
    </row>
    <row r="5554">
      <c r="A5554" s="12" t="inlineStr">
        <is>
          <t>I-P-0298</t>
        </is>
      </c>
      <c r="B5554" s="12" t="inlineStr">
        <is>
          <t>I</t>
        </is>
      </c>
      <c r="C5554" s="12" t="inlineStr">
        <is>
          <t>Modular / portable power</t>
        </is>
      </c>
      <c r="D5554" s="12" t="inlineStr">
        <is>
          <t>Motor 2 of 2, 7.5 kW</t>
        </is>
      </c>
      <c r="E5554" s="12" t="inlineStr"/>
      <c r="F5554" s="12" t="inlineStr">
        <is>
          <t>SC-2 PCM + 15 kV GCB</t>
        </is>
      </c>
      <c r="G5554" s="12" t="inlineStr"/>
      <c r="H5554" s="12" t="inlineStr">
        <is>
          <t>SC-2 ammonia flow-control unit</t>
        </is>
      </c>
      <c r="I5554" s="12" t="inlineStr">
        <is>
          <t>LV 600 V</t>
        </is>
      </c>
      <c r="J5554" s="12" t="inlineStr">
        <is>
          <t>Type TC-ER 600 V 3/C Cu XHHW-2 + ground, PVC jacket</t>
        </is>
      </c>
      <c r="K5554" s="12" t="inlineStr">
        <is>
          <t>LV|3/C+G|10</t>
        </is>
      </c>
      <c r="L5554" s="12" t="inlineStr">
        <is>
          <t>3/C+G</t>
        </is>
      </c>
      <c r="M5554" s="12" t="inlineStr">
        <is>
          <t>10</t>
        </is>
      </c>
      <c r="N5554" s="12" t="n">
        <v>1</v>
      </c>
      <c r="O5554" s="12" t="n">
        <v>1</v>
      </c>
      <c r="P5554" s="12" t="n">
        <v>480</v>
      </c>
      <c r="Q5554" s="12" t="n">
        <v>7.5</v>
      </c>
      <c r="R5554" s="12" t="n">
        <v>10.6</v>
      </c>
      <c r="S5554" s="12" t="inlineStr">
        <is>
          <t>Tray</t>
        </is>
      </c>
      <c r="T5554" s="17" t="n">
        <v>0</v>
      </c>
      <c r="U5554" s="17" t="n">
        <v>152</v>
      </c>
      <c r="V5554" s="17">
        <f>ROUNDUP((T5554+U5554+2*'Read Me'!$B$13)*(1+'Read Me'!$B$12),-1)</f>
        <v/>
      </c>
      <c r="W5554" s="17">
        <f>V5554*N5554*O5554</f>
        <v/>
      </c>
      <c r="X5554" s="12">
        <f>IF(LEFT(I5554,2)="MV",2*N5554*IF(L5554="1/C",O5554,1),0)</f>
        <v/>
      </c>
      <c r="Y5554" s="12">
        <f>IF(OR(LEFT(K5554,4)="LVAX",LEFT(K5554,6)="MV15AX",LEFT(K5554,4)="CTAX",LEFT(K5554,2)="W|"),2*N5554*O5554,0)</f>
        <v/>
      </c>
      <c r="Z5554" s="12" t="inlineStr">
        <is>
          <t>VD 0.8 %</t>
        </is>
      </c>
      <c r="AA5554" s="12">
        <f>N5554*O5554</f>
        <v/>
      </c>
    </row>
    <row r="5555">
      <c r="A5555" s="12" t="inlineStr">
        <is>
          <t>I-P-0299</t>
        </is>
      </c>
      <c r="B5555" s="12" t="inlineStr">
        <is>
          <t>I</t>
        </is>
      </c>
      <c r="C5555" s="12" t="inlineStr">
        <is>
          <t>Modular / portable power</t>
        </is>
      </c>
      <c r="D5555" s="12" t="inlineStr">
        <is>
          <t>SC-2 water-wash tank heater</t>
        </is>
      </c>
      <c r="E5555" s="12" t="inlineStr"/>
      <c r="F5555" s="12" t="inlineStr">
        <is>
          <t>SC-2 PCM + 15 kV GCB</t>
        </is>
      </c>
      <c r="G5555" s="12" t="inlineStr"/>
      <c r="H5555" s="12" t="inlineStr">
        <is>
          <t>SC-2 auxiliary skids: fuel-gas module, water-wash skid</t>
        </is>
      </c>
      <c r="I5555" s="12" t="inlineStr">
        <is>
          <t>LV 600 V</t>
        </is>
      </c>
      <c r="J5555" s="12" t="inlineStr">
        <is>
          <t>ARMOR-X MC-HL 600 V 3/C Cu XHHW-2 + ground, CWA, black PVC (Class I Div 2)</t>
        </is>
      </c>
      <c r="K5555" s="12" t="inlineStr">
        <is>
          <t>LVAX|3/C+G|10</t>
        </is>
      </c>
      <c r="L5555" s="12" t="inlineStr">
        <is>
          <t>3/C+G</t>
        </is>
      </c>
      <c r="M5555" s="12" t="inlineStr">
        <is>
          <t>10</t>
        </is>
      </c>
      <c r="N5555" s="12" t="n">
        <v>1</v>
      </c>
      <c r="O5555" s="12" t="n">
        <v>1</v>
      </c>
      <c r="P5555" s="12" t="n">
        <v>480</v>
      </c>
      <c r="Q5555" s="12" t="n">
        <v>6</v>
      </c>
      <c r="R5555" s="12" t="n">
        <v>7.6</v>
      </c>
      <c r="S5555" s="12" t="inlineStr">
        <is>
          <t>Tray</t>
        </is>
      </c>
      <c r="T5555" s="17" t="n">
        <v>0</v>
      </c>
      <c r="U5555" s="17" t="n">
        <v>77</v>
      </c>
      <c r="V5555" s="17">
        <f>ROUNDUP((T5555+U5555+2*'Read Me'!$B$13)*(1+'Read Me'!$B$12),-1)</f>
        <v/>
      </c>
      <c r="W5555" s="17">
        <f>V5555*N5555*O5555</f>
        <v/>
      </c>
      <c r="X5555" s="12">
        <f>IF(LEFT(I5555,2)="MV",2*N5555*IF(L5555="1/C",O5555,1),0)</f>
        <v/>
      </c>
      <c r="Y5555" s="12">
        <f>IF(OR(LEFT(K5555,4)="LVAX",LEFT(K5555,6)="MV15AX",LEFT(K5555,4)="CTAX",LEFT(K5555,2)="W|"),2*N5555*O5555,0)</f>
        <v/>
      </c>
      <c r="Z5555" s="12" t="inlineStr">
        <is>
          <t>VD 0.3 %</t>
        </is>
      </c>
      <c r="AA5555" s="12">
        <f>N5555*O5555</f>
        <v/>
      </c>
    </row>
    <row r="5556">
      <c r="A5556" s="12" t="inlineStr">
        <is>
          <t>I-P-0300</t>
        </is>
      </c>
      <c r="B5556" s="12" t="inlineStr">
        <is>
          <t>I</t>
        </is>
      </c>
      <c r="C5556" s="12" t="inlineStr">
        <is>
          <t>Modular / portable power</t>
        </is>
      </c>
      <c r="D5556" s="12" t="inlineStr">
        <is>
          <t>Motor 1 of 1, 7.5 kW</t>
        </is>
      </c>
      <c r="E5556" s="12" t="inlineStr"/>
      <c r="F5556" s="12" t="inlineStr">
        <is>
          <t>SC-2 PCM + 15 kV GCB</t>
        </is>
      </c>
      <c r="G5556" s="12" t="inlineStr"/>
      <c r="H5556" s="12" t="inlineStr">
        <is>
          <t>SC-2 auxiliary skids: fuel-gas module, water-wash skid</t>
        </is>
      </c>
      <c r="I5556" s="12" t="inlineStr">
        <is>
          <t>LV 600 V</t>
        </is>
      </c>
      <c r="J5556" s="12" t="inlineStr">
        <is>
          <t>ARMOR-X MC-HL 600 V 3/C Cu XHHW-2 + ground, CWA, black PVC (Class I Div 2)</t>
        </is>
      </c>
      <c r="K5556" s="12" t="inlineStr">
        <is>
          <t>LVAX|3/C+G|10</t>
        </is>
      </c>
      <c r="L5556" s="12" t="inlineStr">
        <is>
          <t>3/C+G</t>
        </is>
      </c>
      <c r="M5556" s="12" t="inlineStr">
        <is>
          <t>10</t>
        </is>
      </c>
      <c r="N5556" s="12" t="n">
        <v>1</v>
      </c>
      <c r="O5556" s="12" t="n">
        <v>1</v>
      </c>
      <c r="P5556" s="12" t="n">
        <v>480</v>
      </c>
      <c r="Q5556" s="12" t="n">
        <v>7.5</v>
      </c>
      <c r="R5556" s="12" t="n">
        <v>10.6</v>
      </c>
      <c r="S5556" s="12" t="inlineStr">
        <is>
          <t>Tray</t>
        </is>
      </c>
      <c r="T5556" s="17" t="n">
        <v>0</v>
      </c>
      <c r="U5556" s="17" t="n">
        <v>77</v>
      </c>
      <c r="V5556" s="17">
        <f>ROUNDUP((T5556+U5556+2*'Read Me'!$B$13)*(1+'Read Me'!$B$12),-1)</f>
        <v/>
      </c>
      <c r="W5556" s="17">
        <f>V5556*N5556*O5556</f>
        <v/>
      </c>
      <c r="X5556" s="12">
        <f>IF(LEFT(I5556,2)="MV",2*N5556*IF(L5556="1/C",O5556,1),0)</f>
        <v/>
      </c>
      <c r="Y5556" s="12">
        <f>IF(OR(LEFT(K5556,4)="LVAX",LEFT(K5556,6)="MV15AX",LEFT(K5556,4)="CTAX",LEFT(K5556,2)="W|"),2*N5556*O5556,0)</f>
        <v/>
      </c>
      <c r="Z5556" s="12" t="inlineStr">
        <is>
          <t>VD 0.4 %</t>
        </is>
      </c>
      <c r="AA5556" s="12">
        <f>N5556*O5556</f>
        <v/>
      </c>
    </row>
    <row r="5557">
      <c r="A5557" s="12" t="inlineStr">
        <is>
          <t>I-P-0301</t>
        </is>
      </c>
      <c r="B5557" s="12" t="inlineStr">
        <is>
          <t>I</t>
        </is>
      </c>
      <c r="C5557" s="12" t="inlineStr">
        <is>
          <t>Modular / portable power</t>
        </is>
      </c>
      <c r="D5557" s="12" t="inlineStr">
        <is>
          <t>Motor 1 of 4, 15 kW</t>
        </is>
      </c>
      <c r="E5557" s="12" t="inlineStr"/>
      <c r="F5557" s="12" t="inlineStr">
        <is>
          <t>SC-2 PCM + 15 kV GCB</t>
        </is>
      </c>
      <c r="G5557" s="12" t="inlineStr"/>
      <c r="H5557" s="12" t="inlineStr">
        <is>
          <t>SC-2 lube-oil fin-fan cooler</t>
        </is>
      </c>
      <c r="I5557" s="12" t="inlineStr">
        <is>
          <t>LV 600 V</t>
        </is>
      </c>
      <c r="J5557" s="12" t="inlineStr">
        <is>
          <t>Type TC-ER 600 V 3/C Cu XHHW-2 + ground, PVC jacket</t>
        </is>
      </c>
      <c r="K5557" s="12" t="inlineStr">
        <is>
          <t>LV|3/C+G|10</t>
        </is>
      </c>
      <c r="L5557" s="12" t="inlineStr">
        <is>
          <t>3/C+G</t>
        </is>
      </c>
      <c r="M5557" s="12" t="inlineStr">
        <is>
          <t>10</t>
        </is>
      </c>
      <c r="N5557" s="12" t="n">
        <v>1</v>
      </c>
      <c r="O5557" s="12" t="n">
        <v>1</v>
      </c>
      <c r="P5557" s="12" t="n">
        <v>480</v>
      </c>
      <c r="Q5557" s="12" t="n">
        <v>15</v>
      </c>
      <c r="R5557" s="12" t="n">
        <v>21.2</v>
      </c>
      <c r="S5557" s="12" t="inlineStr">
        <is>
          <t>Tray</t>
        </is>
      </c>
      <c r="T5557" s="17" t="n">
        <v>0</v>
      </c>
      <c r="U5557" s="17" t="n">
        <v>82</v>
      </c>
      <c r="V5557" s="17">
        <f>ROUNDUP((T5557+U5557+2*'Read Me'!$B$13)*(1+'Read Me'!$B$12),-1)</f>
        <v/>
      </c>
      <c r="W5557" s="17">
        <f>V5557*N5557*O5557</f>
        <v/>
      </c>
      <c r="X5557" s="12">
        <f>IF(LEFT(I5557,2)="MV",2*N5557*IF(L5557="1/C",O5557,1),0)</f>
        <v/>
      </c>
      <c r="Y5557" s="12">
        <f>IF(OR(LEFT(K5557,4)="LVAX",LEFT(K5557,6)="MV15AX",LEFT(K5557,4)="CTAX",LEFT(K5557,2)="W|"),2*N5557*O5557,0)</f>
        <v/>
      </c>
      <c r="Z5557" s="12" t="inlineStr">
        <is>
          <t>VD 0.8 %</t>
        </is>
      </c>
      <c r="AA5557" s="12">
        <f>N5557*O5557</f>
        <v/>
      </c>
    </row>
    <row r="5558">
      <c r="A5558" s="12" t="inlineStr">
        <is>
          <t>I-P-0302</t>
        </is>
      </c>
      <c r="B5558" s="12" t="inlineStr">
        <is>
          <t>I</t>
        </is>
      </c>
      <c r="C5558" s="12" t="inlineStr">
        <is>
          <t>Modular / portable power</t>
        </is>
      </c>
      <c r="D5558" s="12" t="inlineStr">
        <is>
          <t>Motor 2 of 4, 15 kW</t>
        </is>
      </c>
      <c r="E5558" s="12" t="inlineStr"/>
      <c r="F5558" s="12" t="inlineStr">
        <is>
          <t>SC-2 PCM + 15 kV GCB</t>
        </is>
      </c>
      <c r="G5558" s="12" t="inlineStr"/>
      <c r="H5558" s="12" t="inlineStr">
        <is>
          <t>SC-2 lube-oil fin-fan cooler</t>
        </is>
      </c>
      <c r="I5558" s="12" t="inlineStr">
        <is>
          <t>LV 600 V</t>
        </is>
      </c>
      <c r="J5558" s="12" t="inlineStr">
        <is>
          <t>Type TC-ER 600 V 3/C Cu XHHW-2 + ground, PVC jacket</t>
        </is>
      </c>
      <c r="K5558" s="12" t="inlineStr">
        <is>
          <t>LV|3/C+G|10</t>
        </is>
      </c>
      <c r="L5558" s="12" t="inlineStr">
        <is>
          <t>3/C+G</t>
        </is>
      </c>
      <c r="M5558" s="12" t="inlineStr">
        <is>
          <t>10</t>
        </is>
      </c>
      <c r="N5558" s="12" t="n">
        <v>1</v>
      </c>
      <c r="O5558" s="12" t="n">
        <v>1</v>
      </c>
      <c r="P5558" s="12" t="n">
        <v>480</v>
      </c>
      <c r="Q5558" s="12" t="n">
        <v>15</v>
      </c>
      <c r="R5558" s="12" t="n">
        <v>21.2</v>
      </c>
      <c r="S5558" s="12" t="inlineStr">
        <is>
          <t>Tray</t>
        </is>
      </c>
      <c r="T5558" s="17" t="n">
        <v>0</v>
      </c>
      <c r="U5558" s="17" t="n">
        <v>82</v>
      </c>
      <c r="V5558" s="17">
        <f>ROUNDUP((T5558+U5558+2*'Read Me'!$B$13)*(1+'Read Me'!$B$12),-1)</f>
        <v/>
      </c>
      <c r="W5558" s="17">
        <f>V5558*N5558*O5558</f>
        <v/>
      </c>
      <c r="X5558" s="12">
        <f>IF(LEFT(I5558,2)="MV",2*N5558*IF(L5558="1/C",O5558,1),0)</f>
        <v/>
      </c>
      <c r="Y5558" s="12">
        <f>IF(OR(LEFT(K5558,4)="LVAX",LEFT(K5558,6)="MV15AX",LEFT(K5558,4)="CTAX",LEFT(K5558,2)="W|"),2*N5558*O5558,0)</f>
        <v/>
      </c>
      <c r="Z5558" s="12" t="inlineStr">
        <is>
          <t>VD 0.8 %</t>
        </is>
      </c>
      <c r="AA5558" s="12">
        <f>N5558*O5558</f>
        <v/>
      </c>
    </row>
    <row r="5559">
      <c r="A5559" s="12" t="inlineStr">
        <is>
          <t>I-P-0303</t>
        </is>
      </c>
      <c r="B5559" s="12" t="inlineStr">
        <is>
          <t>I</t>
        </is>
      </c>
      <c r="C5559" s="12" t="inlineStr">
        <is>
          <t>Modular / portable power</t>
        </is>
      </c>
      <c r="D5559" s="12" t="inlineStr">
        <is>
          <t>Motor 3 of 4, 15 kW</t>
        </is>
      </c>
      <c r="E5559" s="12" t="inlineStr"/>
      <c r="F5559" s="12" t="inlineStr">
        <is>
          <t>SC-2 PCM + 15 kV GCB</t>
        </is>
      </c>
      <c r="G5559" s="12" t="inlineStr"/>
      <c r="H5559" s="12" t="inlineStr">
        <is>
          <t>SC-2 lube-oil fin-fan cooler</t>
        </is>
      </c>
      <c r="I5559" s="12" t="inlineStr">
        <is>
          <t>LV 600 V</t>
        </is>
      </c>
      <c r="J5559" s="12" t="inlineStr">
        <is>
          <t>Type TC-ER 600 V 3/C Cu XHHW-2 + ground, PVC jacket</t>
        </is>
      </c>
      <c r="K5559" s="12" t="inlineStr">
        <is>
          <t>LV|3/C+G|10</t>
        </is>
      </c>
      <c r="L5559" s="12" t="inlineStr">
        <is>
          <t>3/C+G</t>
        </is>
      </c>
      <c r="M5559" s="12" t="inlineStr">
        <is>
          <t>10</t>
        </is>
      </c>
      <c r="N5559" s="12" t="n">
        <v>1</v>
      </c>
      <c r="O5559" s="12" t="n">
        <v>1</v>
      </c>
      <c r="P5559" s="12" t="n">
        <v>480</v>
      </c>
      <c r="Q5559" s="12" t="n">
        <v>15</v>
      </c>
      <c r="R5559" s="12" t="n">
        <v>21.2</v>
      </c>
      <c r="S5559" s="12" t="inlineStr">
        <is>
          <t>Tray</t>
        </is>
      </c>
      <c r="T5559" s="17" t="n">
        <v>0</v>
      </c>
      <c r="U5559" s="17" t="n">
        <v>82</v>
      </c>
      <c r="V5559" s="17">
        <f>ROUNDUP((T5559+U5559+2*'Read Me'!$B$13)*(1+'Read Me'!$B$12),-1)</f>
        <v/>
      </c>
      <c r="W5559" s="17">
        <f>V5559*N5559*O5559</f>
        <v/>
      </c>
      <c r="X5559" s="12">
        <f>IF(LEFT(I5559,2)="MV",2*N5559*IF(L5559="1/C",O5559,1),0)</f>
        <v/>
      </c>
      <c r="Y5559" s="12">
        <f>IF(OR(LEFT(K5559,4)="LVAX",LEFT(K5559,6)="MV15AX",LEFT(K5559,4)="CTAX",LEFT(K5559,2)="W|"),2*N5559*O5559,0)</f>
        <v/>
      </c>
      <c r="Z5559" s="12" t="inlineStr">
        <is>
          <t>VD 0.8 %</t>
        </is>
      </c>
      <c r="AA5559" s="12">
        <f>N5559*O5559</f>
        <v/>
      </c>
    </row>
    <row r="5560">
      <c r="A5560" s="12" t="inlineStr">
        <is>
          <t>I-P-0304</t>
        </is>
      </c>
      <c r="B5560" s="12" t="inlineStr">
        <is>
          <t>I</t>
        </is>
      </c>
      <c r="C5560" s="12" t="inlineStr">
        <is>
          <t>Modular / portable power</t>
        </is>
      </c>
      <c r="D5560" s="12" t="inlineStr">
        <is>
          <t>Motor 4 of 4, 15 kW</t>
        </is>
      </c>
      <c r="E5560" s="12" t="inlineStr"/>
      <c r="F5560" s="12" t="inlineStr">
        <is>
          <t>SC-2 PCM + 15 kV GCB</t>
        </is>
      </c>
      <c r="G5560" s="12" t="inlineStr"/>
      <c r="H5560" s="12" t="inlineStr">
        <is>
          <t>SC-2 lube-oil fin-fan cooler</t>
        </is>
      </c>
      <c r="I5560" s="12" t="inlineStr">
        <is>
          <t>LV 600 V</t>
        </is>
      </c>
      <c r="J5560" s="12" t="inlineStr">
        <is>
          <t>Type TC-ER 600 V 3/C Cu XHHW-2 + ground, PVC jacket</t>
        </is>
      </c>
      <c r="K5560" s="12" t="inlineStr">
        <is>
          <t>LV|3/C+G|10</t>
        </is>
      </c>
      <c r="L5560" s="12" t="inlineStr">
        <is>
          <t>3/C+G</t>
        </is>
      </c>
      <c r="M5560" s="12" t="inlineStr">
        <is>
          <t>10</t>
        </is>
      </c>
      <c r="N5560" s="12" t="n">
        <v>1</v>
      </c>
      <c r="O5560" s="12" t="n">
        <v>1</v>
      </c>
      <c r="P5560" s="12" t="n">
        <v>480</v>
      </c>
      <c r="Q5560" s="12" t="n">
        <v>15</v>
      </c>
      <c r="R5560" s="12" t="n">
        <v>21.2</v>
      </c>
      <c r="S5560" s="12" t="inlineStr">
        <is>
          <t>Tray</t>
        </is>
      </c>
      <c r="T5560" s="17" t="n">
        <v>0</v>
      </c>
      <c r="U5560" s="17" t="n">
        <v>82</v>
      </c>
      <c r="V5560" s="17">
        <f>ROUNDUP((T5560+U5560+2*'Read Me'!$B$13)*(1+'Read Me'!$B$12),-1)</f>
        <v/>
      </c>
      <c r="W5560" s="17">
        <f>V5560*N5560*O5560</f>
        <v/>
      </c>
      <c r="X5560" s="12">
        <f>IF(LEFT(I5560,2)="MV",2*N5560*IF(L5560="1/C",O5560,1),0)</f>
        <v/>
      </c>
      <c r="Y5560" s="12">
        <f>IF(OR(LEFT(K5560,4)="LVAX",LEFT(K5560,6)="MV15AX",LEFT(K5560,4)="CTAX",LEFT(K5560,2)="W|"),2*N5560*O5560,0)</f>
        <v/>
      </c>
      <c r="Z5560" s="12" t="inlineStr">
        <is>
          <t>VD 0.8 %</t>
        </is>
      </c>
      <c r="AA5560" s="12">
        <f>N5560*O5560</f>
        <v/>
      </c>
    </row>
    <row r="5561">
      <c r="A5561" s="12" t="inlineStr">
        <is>
          <t>I-P-0305</t>
        </is>
      </c>
      <c r="B5561" s="12" t="inlineStr">
        <is>
          <t>I</t>
        </is>
      </c>
      <c r="C5561" s="12" t="inlineStr">
        <is>
          <t>Modular / portable power</t>
        </is>
      </c>
      <c r="D5561" s="12" t="inlineStr">
        <is>
          <t>Area / platform lighting circuit 1 (4 fixtures)</t>
        </is>
      </c>
      <c r="E5561" s="12" t="inlineStr"/>
      <c r="F5561" s="12" t="inlineStr">
        <is>
          <t>SC-2 PCM + 15 kV GCB</t>
        </is>
      </c>
      <c r="G5561" s="12" t="inlineStr"/>
      <c r="H5561" s="12" t="inlineStr">
        <is>
          <t>SC-2 stack (80 ft)</t>
        </is>
      </c>
      <c r="I5561" s="12" t="inlineStr">
        <is>
          <t>LV 600 V</t>
        </is>
      </c>
      <c r="J5561" s="12" t="inlineStr">
        <is>
          <t>Type TC-ER 600 V 3/C Cu XHHW-2 + ground, PVC jacket</t>
        </is>
      </c>
      <c r="K5561" s="12" t="inlineStr">
        <is>
          <t>LV|3/C+G|10</t>
        </is>
      </c>
      <c r="L5561" s="12" t="inlineStr">
        <is>
          <t>3/C+G</t>
        </is>
      </c>
      <c r="M5561" s="12" t="inlineStr">
        <is>
          <t>10</t>
        </is>
      </c>
      <c r="N5561" s="12" t="n">
        <v>1</v>
      </c>
      <c r="O5561" s="12" t="n">
        <v>1</v>
      </c>
      <c r="P5561" s="12" t="n">
        <v>480</v>
      </c>
      <c r="Q5561" s="12" t="n">
        <v>3</v>
      </c>
      <c r="R5561" s="12" t="n">
        <v>5</v>
      </c>
      <c r="S5561" s="12" t="inlineStr">
        <is>
          <t>Duct bank</t>
        </is>
      </c>
      <c r="T5561" s="17" t="n">
        <v>325</v>
      </c>
      <c r="U5561" s="17" t="n">
        <v>176</v>
      </c>
      <c r="V5561" s="17">
        <f>ROUNDUP((T5561+U5561+2*'Read Me'!$B$13)*(1+'Read Me'!$B$12),-1)</f>
        <v/>
      </c>
      <c r="W5561" s="17">
        <f>V5561*N5561*O5561</f>
        <v/>
      </c>
      <c r="X5561" s="12">
        <f>IF(LEFT(I5561,2)="MV",2*N5561*IF(L5561="1/C",O5561,1),0)</f>
        <v/>
      </c>
      <c r="Y5561" s="12">
        <f>IF(OR(LEFT(K5561,4)="LVAX",LEFT(K5561,6)="MV15AX",LEFT(K5561,4)="CTAX",LEFT(K5561,2)="W|"),2*N5561*O5561,0)</f>
        <v/>
      </c>
      <c r="Z5561" s="12" t="inlineStr">
        <is>
          <t>fixture-to-fixture run included</t>
        </is>
      </c>
      <c r="AA5561" s="12">
        <f>N5561*O5561</f>
        <v/>
      </c>
    </row>
    <row r="5562">
      <c r="A5562" s="12" t="inlineStr">
        <is>
          <t>I-P-0306</t>
        </is>
      </c>
      <c r="B5562" s="12" t="inlineStr">
        <is>
          <t>I</t>
        </is>
      </c>
      <c r="C5562" s="12" t="inlineStr">
        <is>
          <t>Modular / portable power</t>
        </is>
      </c>
      <c r="D5562" s="12" t="inlineStr">
        <is>
          <t>Motor 1 of 2, 185 kW</t>
        </is>
      </c>
      <c r="E5562" s="12" t="inlineStr"/>
      <c r="F5562" s="12" t="inlineStr">
        <is>
          <t>SC-2 PCM + 15 kV GCB</t>
        </is>
      </c>
      <c r="G5562" s="12" t="inlineStr"/>
      <c r="H5562" s="12" t="inlineStr">
        <is>
          <t>SC-2 tempering-air fans (2 x 100 %)</t>
        </is>
      </c>
      <c r="I5562" s="12" t="inlineStr">
        <is>
          <t>LV 600 V</t>
        </is>
      </c>
      <c r="J5562" s="12" t="inlineStr">
        <is>
          <t>Type TC-ER 600 V 3/C Cu XHHW-2 + ground, PVC jacket</t>
        </is>
      </c>
      <c r="K5562" s="12" t="inlineStr">
        <is>
          <t>LV|3/C+G|500</t>
        </is>
      </c>
      <c r="L5562" s="12" t="inlineStr">
        <is>
          <t>3/C+G</t>
        </is>
      </c>
      <c r="M5562" s="12" t="inlineStr">
        <is>
          <t>500 kcmil</t>
        </is>
      </c>
      <c r="N5562" s="12" t="n">
        <v>1</v>
      </c>
      <c r="O5562" s="12" t="n">
        <v>1</v>
      </c>
      <c r="P5562" s="12" t="n">
        <v>480</v>
      </c>
      <c r="Q5562" s="12" t="n">
        <v>185</v>
      </c>
      <c r="R5562" s="12" t="n">
        <v>261.8</v>
      </c>
      <c r="S5562" s="12" t="inlineStr">
        <is>
          <t>Duct bank</t>
        </is>
      </c>
      <c r="T5562" s="17" t="n">
        <v>25</v>
      </c>
      <c r="U5562" s="17" t="n">
        <v>124</v>
      </c>
      <c r="V5562" s="17">
        <f>ROUNDUP((T5562+U5562+2*'Read Me'!$B$13)*(1+'Read Me'!$B$12),-1)</f>
        <v/>
      </c>
      <c r="W5562" s="17">
        <f>V5562*N5562*O5562</f>
        <v/>
      </c>
      <c r="X5562" s="12">
        <f>IF(LEFT(I5562,2)="MV",2*N5562*IF(L5562="1/C",O5562,1),0)</f>
        <v/>
      </c>
      <c r="Y5562" s="12">
        <f>IF(OR(LEFT(K5562,4)="LVAX",LEFT(K5562,6)="MV15AX",LEFT(K5562,4)="CTAX",LEFT(K5562,2)="W|"),2*N5562*O5562,0)</f>
        <v/>
      </c>
      <c r="Z5562" s="12" t="inlineStr">
        <is>
          <t>VD 0.4 %</t>
        </is>
      </c>
      <c r="AA5562" s="12">
        <f>N5562*O5562</f>
        <v/>
      </c>
    </row>
    <row r="5563">
      <c r="A5563" s="12" t="inlineStr">
        <is>
          <t>I-P-0307</t>
        </is>
      </c>
      <c r="B5563" s="12" t="inlineStr">
        <is>
          <t>I</t>
        </is>
      </c>
      <c r="C5563" s="12" t="inlineStr">
        <is>
          <t>Modular / portable power</t>
        </is>
      </c>
      <c r="D5563" s="12" t="inlineStr">
        <is>
          <t>Motor 2 of 2, 185 kW</t>
        </is>
      </c>
      <c r="E5563" s="12" t="inlineStr"/>
      <c r="F5563" s="12" t="inlineStr">
        <is>
          <t>SC-2 PCM + 15 kV GCB</t>
        </is>
      </c>
      <c r="G5563" s="12" t="inlineStr"/>
      <c r="H5563" s="12" t="inlineStr">
        <is>
          <t>SC-2 tempering-air fans (2 x 100 %)</t>
        </is>
      </c>
      <c r="I5563" s="12" t="inlineStr">
        <is>
          <t>LV 600 V</t>
        </is>
      </c>
      <c r="J5563" s="12" t="inlineStr">
        <is>
          <t>Type TC-ER 600 V 3/C Cu XHHW-2 + ground, PVC jacket</t>
        </is>
      </c>
      <c r="K5563" s="12" t="inlineStr">
        <is>
          <t>LV|3/C+G|500</t>
        </is>
      </c>
      <c r="L5563" s="12" t="inlineStr">
        <is>
          <t>3/C+G</t>
        </is>
      </c>
      <c r="M5563" s="12" t="inlineStr">
        <is>
          <t>500 kcmil</t>
        </is>
      </c>
      <c r="N5563" s="12" t="n">
        <v>1</v>
      </c>
      <c r="O5563" s="12" t="n">
        <v>1</v>
      </c>
      <c r="P5563" s="12" t="n">
        <v>480</v>
      </c>
      <c r="Q5563" s="12" t="n">
        <v>185</v>
      </c>
      <c r="R5563" s="12" t="n">
        <v>261.8</v>
      </c>
      <c r="S5563" s="12" t="inlineStr">
        <is>
          <t>Duct bank</t>
        </is>
      </c>
      <c r="T5563" s="17" t="n">
        <v>25</v>
      </c>
      <c r="U5563" s="17" t="n">
        <v>124</v>
      </c>
      <c r="V5563" s="17">
        <f>ROUNDUP((T5563+U5563+2*'Read Me'!$B$13)*(1+'Read Me'!$B$12),-1)</f>
        <v/>
      </c>
      <c r="W5563" s="17">
        <f>V5563*N5563*O5563</f>
        <v/>
      </c>
      <c r="X5563" s="12">
        <f>IF(LEFT(I5563,2)="MV",2*N5563*IF(L5563="1/C",O5563,1),0)</f>
        <v/>
      </c>
      <c r="Y5563" s="12">
        <f>IF(OR(LEFT(K5563,4)="LVAX",LEFT(K5563,6)="MV15AX",LEFT(K5563,4)="CTAX",LEFT(K5563,2)="W|"),2*N5563*O5563,0)</f>
        <v/>
      </c>
      <c r="Z5563" s="12" t="inlineStr">
        <is>
          <t>VD 0.4 %</t>
        </is>
      </c>
      <c r="AA5563" s="12">
        <f>N5563*O5563</f>
        <v/>
      </c>
    </row>
    <row r="5564">
      <c r="A5564" s="12" t="inlineStr">
        <is>
          <t>I-P-0308</t>
        </is>
      </c>
      <c r="B5564" s="12" t="inlineStr">
        <is>
          <t>I</t>
        </is>
      </c>
      <c r="C5564" s="12" t="inlineStr">
        <is>
          <t>Modular / portable power</t>
        </is>
      </c>
      <c r="D5564" s="12" t="inlineStr">
        <is>
          <t>Area / platform lighting circuit 1 (4 fixtures)</t>
        </is>
      </c>
      <c r="E5564" s="12" t="inlineStr"/>
      <c r="F5564" s="12" t="inlineStr">
        <is>
          <t>SC-2 PCM + 15 kV GCB</t>
        </is>
      </c>
      <c r="G5564" s="12" t="inlineStr"/>
      <c r="H5564" s="12" t="inlineStr">
        <is>
          <t>SC-2 tempering-air fans (2 x 100 %)</t>
        </is>
      </c>
      <c r="I5564" s="12" t="inlineStr">
        <is>
          <t>LV 600 V</t>
        </is>
      </c>
      <c r="J5564" s="12" t="inlineStr">
        <is>
          <t>Type TC-ER 600 V 3/C Cu XHHW-2 + ground, PVC jacket</t>
        </is>
      </c>
      <c r="K5564" s="12" t="inlineStr">
        <is>
          <t>LV|3/C+G|10</t>
        </is>
      </c>
      <c r="L5564" s="12" t="inlineStr">
        <is>
          <t>3/C+G</t>
        </is>
      </c>
      <c r="M5564" s="12" t="inlineStr">
        <is>
          <t>10</t>
        </is>
      </c>
      <c r="N5564" s="12" t="n">
        <v>1</v>
      </c>
      <c r="O5564" s="12" t="n">
        <v>1</v>
      </c>
      <c r="P5564" s="12" t="n">
        <v>480</v>
      </c>
      <c r="Q5564" s="12" t="n">
        <v>3</v>
      </c>
      <c r="R5564" s="12" t="n">
        <v>5</v>
      </c>
      <c r="S5564" s="12" t="inlineStr">
        <is>
          <t>Duct bank</t>
        </is>
      </c>
      <c r="T5564" s="17" t="n">
        <v>325</v>
      </c>
      <c r="U5564" s="17" t="n">
        <v>124</v>
      </c>
      <c r="V5564" s="17">
        <f>ROUNDUP((T5564+U5564+2*'Read Me'!$B$13)*(1+'Read Me'!$B$12),-1)</f>
        <v/>
      </c>
      <c r="W5564" s="17">
        <f>V5564*N5564*O5564</f>
        <v/>
      </c>
      <c r="X5564" s="12">
        <f>IF(LEFT(I5564,2)="MV",2*N5564*IF(L5564="1/C",O5564,1),0)</f>
        <v/>
      </c>
      <c r="Y5564" s="12">
        <f>IF(OR(LEFT(K5564,4)="LVAX",LEFT(K5564,6)="MV15AX",LEFT(K5564,4)="CTAX",LEFT(K5564,2)="W|"),2*N5564*O5564,0)</f>
        <v/>
      </c>
      <c r="Z5564" s="12" t="inlineStr">
        <is>
          <t>fixture-to-fixture run included</t>
        </is>
      </c>
      <c r="AA5564" s="12">
        <f>N5564*O5564</f>
        <v/>
      </c>
    </row>
    <row r="5565">
      <c r="A5565" s="12" t="inlineStr">
        <is>
          <t>I-P-0309</t>
        </is>
      </c>
      <c r="B5565" s="12" t="inlineStr">
        <is>
          <t>I</t>
        </is>
      </c>
      <c r="C5565" s="12" t="inlineStr">
        <is>
          <t>Modular / portable power</t>
        </is>
      </c>
      <c r="D5565" s="12" t="inlineStr">
        <is>
          <t>SC-2 emergency DC lube-oil pump (125 V DC, coast-down)</t>
        </is>
      </c>
      <c r="E5565" s="12" t="inlineStr"/>
      <c r="F5565" s="12" t="inlineStr">
        <is>
          <t>SC-2 PCM + 15 kV GCB</t>
        </is>
      </c>
      <c r="G5565" s="12" t="inlineStr">
        <is>
          <t>SC-2</t>
        </is>
      </c>
      <c r="H5565" s="12" t="inlineStr">
        <is>
          <t>SC-2: aeroderivative simple-cycle unit (LM6000 class)</t>
        </is>
      </c>
      <c r="I5565" s="12" t="inlineStr">
        <is>
          <t>LV 600 V</t>
        </is>
      </c>
      <c r="J5565" s="12" t="inlineStr">
        <is>
          <t>XHHW-2 600 V 1/C Cu (feeder sets in tray / duct)</t>
        </is>
      </c>
      <c r="K5565" s="12" t="inlineStr">
        <is>
          <t>LV1C|1/C|2</t>
        </is>
      </c>
      <c r="L5565" s="12" t="inlineStr">
        <is>
          <t>1/C</t>
        </is>
      </c>
      <c r="M5565" s="12" t="inlineStr">
        <is>
          <t>2</t>
        </is>
      </c>
      <c r="N5565" s="12" t="n">
        <v>1</v>
      </c>
      <c r="O5565" s="12" t="n">
        <v>2</v>
      </c>
      <c r="P5565" s="12" t="n">
        <v>125</v>
      </c>
      <c r="Q5565" s="12" t="n">
        <v>7.5</v>
      </c>
      <c r="R5565" s="12" t="n">
        <v>65</v>
      </c>
      <c r="S5565" s="12" t="inlineStr">
        <is>
          <t>Duct bank</t>
        </is>
      </c>
      <c r="T5565" s="17" t="n">
        <v>25</v>
      </c>
      <c r="U5565" s="17" t="n">
        <v>32</v>
      </c>
      <c r="V5565" s="17">
        <f>ROUNDUP((T5565+U5565+2*'Read Me'!$B$13)*(1+'Read Me'!$B$12),-1)</f>
        <v/>
      </c>
      <c r="W5565" s="17">
        <f>V5565*N5565*O5565</f>
        <v/>
      </c>
      <c r="X5565" s="12">
        <f>IF(LEFT(I5565,2)="MV",2*N5565*IF(L5565="1/C",O5565,1),0)</f>
        <v/>
      </c>
      <c r="Y5565" s="12">
        <f>IF(OR(LEFT(K5565,4)="LVAX",LEFT(K5565,6)="MV15AX",LEFT(K5565,4)="CTAX",LEFT(K5565,2)="W|"),2*N5565*O5565,0)</f>
        <v/>
      </c>
      <c r="Z5565" s="12" t="inlineStr">
        <is>
          <t>LM6000 class: DC pump keeps the bearings fed on loss of AC</t>
        </is>
      </c>
      <c r="AA5565" s="12">
        <f>N5565*O5565</f>
        <v/>
      </c>
    </row>
    <row r="5566">
      <c r="A5566" s="12" t="inlineStr">
        <is>
          <t>I-P-0310</t>
        </is>
      </c>
      <c r="B5566" s="12" t="inlineStr">
        <is>
          <t>I</t>
        </is>
      </c>
      <c r="C5566" s="12" t="inlineStr">
        <is>
          <t>Modular / portable power</t>
        </is>
      </c>
      <c r="D5566" s="12" t="inlineStr">
        <is>
          <t>SC-2 120 V AC UPS to the unit control and protection</t>
        </is>
      </c>
      <c r="E5566" s="12" t="inlineStr"/>
      <c r="F5566" s="12" t="inlineStr">
        <is>
          <t>SC-2 PCM + 15 kV GCB</t>
        </is>
      </c>
      <c r="G5566" s="12" t="inlineStr">
        <is>
          <t>SC-2</t>
        </is>
      </c>
      <c r="H5566" s="12" t="inlineStr">
        <is>
          <t>SC-2: aeroderivative simple-cycle unit (LM6000 class)</t>
        </is>
      </c>
      <c r="I5566" s="12" t="inlineStr">
        <is>
          <t>LV 600 V</t>
        </is>
      </c>
      <c r="J5566" s="12" t="inlineStr">
        <is>
          <t>XHHW-2 600 V 1/C Cu (feeder sets in tray / duct)</t>
        </is>
      </c>
      <c r="K5566" s="12" t="inlineStr">
        <is>
          <t>LV1C|1/C|6</t>
        </is>
      </c>
      <c r="L5566" s="12" t="inlineStr">
        <is>
          <t>1/C</t>
        </is>
      </c>
      <c r="M5566" s="12" t="inlineStr">
        <is>
          <t>6</t>
        </is>
      </c>
      <c r="N5566" s="12" t="n">
        <v>1</v>
      </c>
      <c r="O5566" s="12" t="n">
        <v>2</v>
      </c>
      <c r="P5566" s="12" t="n">
        <v>120</v>
      </c>
      <c r="Q5566" s="12" t="n">
        <v>5</v>
      </c>
      <c r="R5566" s="12" t="n"/>
      <c r="S5566" s="12" t="inlineStr">
        <is>
          <t>Duct bank</t>
        </is>
      </c>
      <c r="T5566" s="17" t="n">
        <v>25</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I-P-0311</t>
        </is>
      </c>
      <c r="B5567" s="12" t="inlineStr">
        <is>
          <t>I</t>
        </is>
      </c>
      <c r="C5567" s="12" t="inlineStr">
        <is>
          <t>Modular / portable power</t>
        </is>
      </c>
      <c r="D5567" s="12" t="inlineStr">
        <is>
          <t>SC-2 hydraulic starter pump motor (start sequence only)</t>
        </is>
      </c>
      <c r="E5567" s="12" t="inlineStr"/>
      <c r="F5567" s="12" t="inlineStr">
        <is>
          <t>SC-2 PCM + 15 kV GCB</t>
        </is>
      </c>
      <c r="G5567" s="12" t="inlineStr">
        <is>
          <t>SC-2</t>
        </is>
      </c>
      <c r="H5567" s="12" t="inlineStr">
        <is>
          <t>SC-2: aeroderivative simple-cycle unit (LM6000 class)</t>
        </is>
      </c>
      <c r="I5567" s="12" t="inlineStr">
        <is>
          <t>LV 600 V</t>
        </is>
      </c>
      <c r="J5567" s="12" t="inlineStr">
        <is>
          <t>Type TC-ER 600 V 3/C Cu XHHW-2 + ground, PVC jacket</t>
        </is>
      </c>
      <c r="K5567" s="12" t="inlineStr">
        <is>
          <t>LV|3/C+G|3/0</t>
        </is>
      </c>
      <c r="L5567" s="12" t="inlineStr">
        <is>
          <t>3/C+G</t>
        </is>
      </c>
      <c r="M5567" s="12" t="inlineStr">
        <is>
          <t>3/0</t>
        </is>
      </c>
      <c r="N5567" s="12" t="n">
        <v>2</v>
      </c>
      <c r="O5567" s="12" t="n">
        <v>1</v>
      </c>
      <c r="P5567" s="12" t="n">
        <v>480</v>
      </c>
      <c r="Q5567" s="12" t="n">
        <v>225</v>
      </c>
      <c r="R5567" s="12" t="n">
        <v>318.4</v>
      </c>
      <c r="S5567" s="12" t="inlineStr">
        <is>
          <t>Duct bank</t>
        </is>
      </c>
      <c r="T5567" s="17" t="n">
        <v>25</v>
      </c>
      <c r="U5567" s="17" t="n">
        <v>32</v>
      </c>
      <c r="V5567" s="17">
        <f>ROUNDUP((T5567+U5567+2*'Read Me'!$B$13)*(1+'Read Me'!$B$12),-1)</f>
        <v/>
      </c>
      <c r="W5567" s="17">
        <f>V5567*N5567*O5567</f>
        <v/>
      </c>
      <c r="X5567" s="12">
        <f>IF(LEFT(I5567,2)="MV",2*N5567*IF(L5567="1/C",O5567,1),0)</f>
        <v/>
      </c>
      <c r="Y5567" s="12">
        <f>IF(OR(LEFT(K5567,4)="LVAX",LEFT(K5567,6)="MV15AX",LEFT(K5567,4)="CTAX",LEFT(K5567,2)="W|"),2*N5567*O5567,0)</f>
        <v/>
      </c>
      <c r="Z5567" s="12" t="inlineStr">
        <is>
          <t>typical LM6000 hydraulic start; verify starter type / rating with the OEM</t>
        </is>
      </c>
      <c r="AA5567" s="12">
        <f>N5567*O5567</f>
        <v/>
      </c>
    </row>
    <row r="5568">
      <c r="A5568" s="12" t="inlineStr">
        <is>
          <t>I-P-0312</t>
        </is>
      </c>
      <c r="B5568" s="12" t="inlineStr">
        <is>
          <t>I</t>
        </is>
      </c>
      <c r="C5568" s="12" t="inlineStr">
        <is>
          <t>Modular / portable power</t>
        </is>
      </c>
      <c r="D5568" s="12" t="inlineStr">
        <is>
          <t>SC-2 480 V welding receptacle 1</t>
        </is>
      </c>
      <c r="E5568" s="12" t="inlineStr"/>
      <c r="F5568" s="12" t="inlineStr">
        <is>
          <t>SC-2 PCM + 15 kV GCB</t>
        </is>
      </c>
      <c r="G5568" s="12" t="inlineStr">
        <is>
          <t>SC-2</t>
        </is>
      </c>
      <c r="H5568" s="12" t="inlineStr">
        <is>
          <t>SC-2: aeroderivative simple-cycle unit (LM6000 class)</t>
        </is>
      </c>
      <c r="I5568" s="12" t="inlineStr">
        <is>
          <t>LV 600 V</t>
        </is>
      </c>
      <c r="J5568" s="12" t="inlineStr">
        <is>
          <t>Type TC-ER 600 V 3/C Cu XHHW-2 + ground, PVC jacket</t>
        </is>
      </c>
      <c r="K5568" s="12" t="inlineStr">
        <is>
          <t>LV|3/C+G|2</t>
        </is>
      </c>
      <c r="L5568" s="12" t="inlineStr">
        <is>
          <t>3/C+G</t>
        </is>
      </c>
      <c r="M5568" s="12" t="inlineStr">
        <is>
          <t>2</t>
        </is>
      </c>
      <c r="N5568" s="12" t="n">
        <v>1</v>
      </c>
      <c r="O5568" s="12" t="n">
        <v>1</v>
      </c>
      <c r="P5568" s="12" t="n">
        <v>480</v>
      </c>
      <c r="Q5568" s="12" t="n">
        <v>60</v>
      </c>
      <c r="R5568" s="12" t="n">
        <v>76</v>
      </c>
      <c r="S5568" s="12" t="inlineStr">
        <is>
          <t>Duct bank</t>
        </is>
      </c>
      <c r="T5568" s="17" t="n">
        <v>25</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is>
          <t>VD 0.3 %</t>
        </is>
      </c>
      <c r="AA5568" s="12">
        <f>N5568*O5568</f>
        <v/>
      </c>
    </row>
    <row r="5569">
      <c r="A5569" s="12" t="inlineStr">
        <is>
          <t>I-P-0313</t>
        </is>
      </c>
      <c r="B5569" s="12" t="inlineStr">
        <is>
          <t>I</t>
        </is>
      </c>
      <c r="C5569" s="12" t="inlineStr">
        <is>
          <t>Modular / portable power</t>
        </is>
      </c>
      <c r="D5569" s="12" t="inlineStr">
        <is>
          <t>SC-2 480 V welding receptacle 2</t>
        </is>
      </c>
      <c r="E5569" s="12" t="inlineStr"/>
      <c r="F5569" s="12" t="inlineStr">
        <is>
          <t>SC-2 PCM + 15 kV GCB</t>
        </is>
      </c>
      <c r="G5569" s="12" t="inlineStr">
        <is>
          <t>SC-2</t>
        </is>
      </c>
      <c r="H5569" s="12" t="inlineStr">
        <is>
          <t>SC-2: aeroderivative simple-cycle unit (LM6000 class)</t>
        </is>
      </c>
      <c r="I5569" s="12" t="inlineStr">
        <is>
          <t>LV 600 V</t>
        </is>
      </c>
      <c r="J5569" s="12" t="inlineStr">
        <is>
          <t>Type TC-ER 600 V 3/C Cu XHHW-2 + ground, PVC jacket</t>
        </is>
      </c>
      <c r="K5569" s="12" t="inlineStr">
        <is>
          <t>LV|3/C+G|2</t>
        </is>
      </c>
      <c r="L5569" s="12" t="inlineStr">
        <is>
          <t>3/C+G</t>
        </is>
      </c>
      <c r="M5569" s="12" t="inlineStr">
        <is>
          <t>2</t>
        </is>
      </c>
      <c r="N5569" s="12" t="n">
        <v>1</v>
      </c>
      <c r="O5569" s="12" t="n">
        <v>1</v>
      </c>
      <c r="P5569" s="12" t="n">
        <v>480</v>
      </c>
      <c r="Q5569" s="12" t="n">
        <v>60</v>
      </c>
      <c r="R5569" s="12" t="n">
        <v>76</v>
      </c>
      <c r="S5569" s="12" t="inlineStr">
        <is>
          <t>Duct bank</t>
        </is>
      </c>
      <c r="T5569" s="17" t="n">
        <v>25</v>
      </c>
      <c r="U5569" s="17" t="n">
        <v>32</v>
      </c>
      <c r="V5569" s="17">
        <f>ROUNDUP((T5569+U5569+2*'Read Me'!$B$13)*(1+'Read Me'!$B$12),-1)</f>
        <v/>
      </c>
      <c r="W5569" s="17">
        <f>V5569*N5569*O5569</f>
        <v/>
      </c>
      <c r="X5569" s="12">
        <f>IF(LEFT(I5569,2)="MV",2*N5569*IF(L5569="1/C",O5569,1),0)</f>
        <v/>
      </c>
      <c r="Y5569" s="12">
        <f>IF(OR(LEFT(K5569,4)="LVAX",LEFT(K5569,6)="MV15AX",LEFT(K5569,4)="CTAX",LEFT(K5569,2)="W|"),2*N5569*O5569,0)</f>
        <v/>
      </c>
      <c r="Z5569" s="12" t="inlineStr">
        <is>
          <t>VD 0.3 %</t>
        </is>
      </c>
      <c r="AA5569" s="12">
        <f>N5569*O5569</f>
        <v/>
      </c>
    </row>
    <row r="5570">
      <c r="A5570" s="12" t="inlineStr">
        <is>
          <t>I-P-0314</t>
        </is>
      </c>
      <c r="B5570" s="12" t="inlineStr">
        <is>
          <t>I</t>
        </is>
      </c>
      <c r="C5570" s="12" t="inlineStr">
        <is>
          <t>Modular / portable power</t>
        </is>
      </c>
      <c r="D5570" s="12" t="inlineStr">
        <is>
          <t>Motor 1 of 10, 30 kW</t>
        </is>
      </c>
      <c r="E5570" s="12" t="inlineStr"/>
      <c r="F5570" s="12" t="inlineStr">
        <is>
          <t>SC-2 PCM + 15 kV GCB</t>
        </is>
      </c>
      <c r="G5570" s="12" t="inlineStr">
        <is>
          <t>SC-2</t>
        </is>
      </c>
      <c r="H5570" s="12" t="inlineStr">
        <is>
          <t>SC-2: aeroderivative simple-cycle unit (LM6000 class)</t>
        </is>
      </c>
      <c r="I5570" s="12" t="inlineStr">
        <is>
          <t>LV 600 V</t>
        </is>
      </c>
      <c r="J5570" s="12" t="inlineStr">
        <is>
          <t>Type TC-ER 600 V 3/C Cu XHHW-2 + ground, PVC jacket</t>
        </is>
      </c>
      <c r="K5570" s="12" t="inlineStr">
        <is>
          <t>LV|3/C+G|6</t>
        </is>
      </c>
      <c r="L5570" s="12" t="inlineStr">
        <is>
          <t>3/C+G</t>
        </is>
      </c>
      <c r="M5570" s="12" t="inlineStr">
        <is>
          <t>6</t>
        </is>
      </c>
      <c r="N5570" s="12" t="n">
        <v>1</v>
      </c>
      <c r="O5570" s="12" t="n">
        <v>1</v>
      </c>
      <c r="P5570" s="12" t="n">
        <v>480</v>
      </c>
      <c r="Q5570" s="12" t="n">
        <v>30</v>
      </c>
      <c r="R5570" s="12" t="n">
        <v>42.5</v>
      </c>
      <c r="S5570" s="12" t="inlineStr">
        <is>
          <t>Duct bank</t>
        </is>
      </c>
      <c r="T5570" s="17" t="n">
        <v>25</v>
      </c>
      <c r="U5570" s="17" t="n">
        <v>32</v>
      </c>
      <c r="V5570" s="17">
        <f>ROUNDUP((T5570+U5570+2*'Read Me'!$B$13)*(1+'Read Me'!$B$12),-1)</f>
        <v/>
      </c>
      <c r="W5570" s="17">
        <f>V5570*N5570*O5570</f>
        <v/>
      </c>
      <c r="X5570" s="12">
        <f>IF(LEFT(I5570,2)="MV",2*N5570*IF(L5570="1/C",O5570,1),0)</f>
        <v/>
      </c>
      <c r="Y5570" s="12">
        <f>IF(OR(LEFT(K5570,4)="LVAX",LEFT(K5570,6)="MV15AX",LEFT(K5570,4)="CTAX",LEFT(K5570,2)="W|"),2*N5570*O5570,0)</f>
        <v/>
      </c>
      <c r="Z5570" s="12" t="inlineStr">
        <is>
          <t>VD 0.5 %</t>
        </is>
      </c>
      <c r="AA5570" s="12">
        <f>N5570*O5570</f>
        <v/>
      </c>
    </row>
    <row r="5571">
      <c r="A5571" s="12" t="inlineStr">
        <is>
          <t>I-P-0315</t>
        </is>
      </c>
      <c r="B5571" s="12" t="inlineStr">
        <is>
          <t>I</t>
        </is>
      </c>
      <c r="C5571" s="12" t="inlineStr">
        <is>
          <t>Modular / portable power</t>
        </is>
      </c>
      <c r="D5571" s="12" t="inlineStr">
        <is>
          <t>Motor 2 of 10, 30 kW</t>
        </is>
      </c>
      <c r="E5571" s="12" t="inlineStr"/>
      <c r="F5571" s="12" t="inlineStr">
        <is>
          <t>SC-2 PCM + 15 kV GCB</t>
        </is>
      </c>
      <c r="G5571" s="12" t="inlineStr">
        <is>
          <t>SC-2</t>
        </is>
      </c>
      <c r="H5571" s="12" t="inlineStr">
        <is>
          <t>SC-2: aeroderivative simple-cycle unit (LM6000 class)</t>
        </is>
      </c>
      <c r="I5571" s="12" t="inlineStr">
        <is>
          <t>LV 600 V</t>
        </is>
      </c>
      <c r="J5571" s="12" t="inlineStr">
        <is>
          <t>Type TC-ER 600 V 3/C Cu XHHW-2 + ground, PVC jacket</t>
        </is>
      </c>
      <c r="K5571" s="12" t="inlineStr">
        <is>
          <t>LV|3/C+G|6</t>
        </is>
      </c>
      <c r="L5571" s="12" t="inlineStr">
        <is>
          <t>3/C+G</t>
        </is>
      </c>
      <c r="M5571" s="12" t="inlineStr">
        <is>
          <t>6</t>
        </is>
      </c>
      <c r="N5571" s="12" t="n">
        <v>1</v>
      </c>
      <c r="O5571" s="12" t="n">
        <v>1</v>
      </c>
      <c r="P5571" s="12" t="n">
        <v>480</v>
      </c>
      <c r="Q5571" s="12" t="n">
        <v>30</v>
      </c>
      <c r="R5571" s="12" t="n">
        <v>42.5</v>
      </c>
      <c r="S5571" s="12" t="inlineStr">
        <is>
          <t>Duct bank</t>
        </is>
      </c>
      <c r="T5571" s="17" t="n">
        <v>25</v>
      </c>
      <c r="U5571" s="17" t="n">
        <v>32</v>
      </c>
      <c r="V5571" s="17">
        <f>ROUNDUP((T5571+U5571+2*'Read Me'!$B$13)*(1+'Read Me'!$B$12),-1)</f>
        <v/>
      </c>
      <c r="W5571" s="17">
        <f>V5571*N5571*O5571</f>
        <v/>
      </c>
      <c r="X5571" s="12">
        <f>IF(LEFT(I5571,2)="MV",2*N5571*IF(L5571="1/C",O5571,1),0)</f>
        <v/>
      </c>
      <c r="Y5571" s="12">
        <f>IF(OR(LEFT(K5571,4)="LVAX",LEFT(K5571,6)="MV15AX",LEFT(K5571,4)="CTAX",LEFT(K5571,2)="W|"),2*N5571*O5571,0)</f>
        <v/>
      </c>
      <c r="Z5571" s="12" t="inlineStr">
        <is>
          <t>VD 0.5 %</t>
        </is>
      </c>
      <c r="AA5571" s="12">
        <f>N5571*O5571</f>
        <v/>
      </c>
    </row>
    <row r="5572">
      <c r="A5572" s="12" t="inlineStr">
        <is>
          <t>I-P-0316</t>
        </is>
      </c>
      <c r="B5572" s="12" t="inlineStr">
        <is>
          <t>I</t>
        </is>
      </c>
      <c r="C5572" s="12" t="inlineStr">
        <is>
          <t>Modular / portable power</t>
        </is>
      </c>
      <c r="D5572" s="12" t="inlineStr">
        <is>
          <t>Motor 3 of 10, 30 kW</t>
        </is>
      </c>
      <c r="E5572" s="12" t="inlineStr"/>
      <c r="F5572" s="12" t="inlineStr">
        <is>
          <t>SC-2 PCM + 15 kV GCB</t>
        </is>
      </c>
      <c r="G5572" s="12" t="inlineStr">
        <is>
          <t>SC-2</t>
        </is>
      </c>
      <c r="H5572" s="12" t="inlineStr">
        <is>
          <t>SC-2: aeroderivative simple-cycle unit (LM6000 class)</t>
        </is>
      </c>
      <c r="I5572" s="12" t="inlineStr">
        <is>
          <t>LV 600 V</t>
        </is>
      </c>
      <c r="J5572" s="12" t="inlineStr">
        <is>
          <t>Type TC-ER 600 V 3/C Cu XHHW-2 + ground, PVC jacket</t>
        </is>
      </c>
      <c r="K5572" s="12" t="inlineStr">
        <is>
          <t>LV|3/C+G|6</t>
        </is>
      </c>
      <c r="L5572" s="12" t="inlineStr">
        <is>
          <t>3/C+G</t>
        </is>
      </c>
      <c r="M5572" s="12" t="inlineStr">
        <is>
          <t>6</t>
        </is>
      </c>
      <c r="N5572" s="12" t="n">
        <v>1</v>
      </c>
      <c r="O5572" s="12" t="n">
        <v>1</v>
      </c>
      <c r="P5572" s="12" t="n">
        <v>480</v>
      </c>
      <c r="Q5572" s="12" t="n">
        <v>30</v>
      </c>
      <c r="R5572" s="12" t="n">
        <v>42.5</v>
      </c>
      <c r="S5572" s="12" t="inlineStr">
        <is>
          <t>Duct bank</t>
        </is>
      </c>
      <c r="T5572" s="17" t="n">
        <v>25</v>
      </c>
      <c r="U5572" s="17" t="n">
        <v>32</v>
      </c>
      <c r="V5572" s="17">
        <f>ROUNDUP((T5572+U5572+2*'Read Me'!$B$13)*(1+'Read Me'!$B$12),-1)</f>
        <v/>
      </c>
      <c r="W5572" s="17">
        <f>V5572*N5572*O5572</f>
        <v/>
      </c>
      <c r="X5572" s="12">
        <f>IF(LEFT(I5572,2)="MV",2*N5572*IF(L5572="1/C",O5572,1),0)</f>
        <v/>
      </c>
      <c r="Y5572" s="12">
        <f>IF(OR(LEFT(K5572,4)="LVAX",LEFT(K5572,6)="MV15AX",LEFT(K5572,4)="CTAX",LEFT(K5572,2)="W|"),2*N5572*O5572,0)</f>
        <v/>
      </c>
      <c r="Z5572" s="12" t="inlineStr">
        <is>
          <t>VD 0.5 %</t>
        </is>
      </c>
      <c r="AA5572" s="12">
        <f>N5572*O5572</f>
        <v/>
      </c>
    </row>
    <row r="5573">
      <c r="A5573" s="12" t="inlineStr">
        <is>
          <t>I-P-0317</t>
        </is>
      </c>
      <c r="B5573" s="12" t="inlineStr">
        <is>
          <t>I</t>
        </is>
      </c>
      <c r="C5573" s="12" t="inlineStr">
        <is>
          <t>Modular / portable power</t>
        </is>
      </c>
      <c r="D5573" s="12" t="inlineStr">
        <is>
          <t>Motor 4 of 10, 30 kW</t>
        </is>
      </c>
      <c r="E5573" s="12" t="inlineStr"/>
      <c r="F5573" s="12" t="inlineStr">
        <is>
          <t>SC-2 PCM + 15 kV GCB</t>
        </is>
      </c>
      <c r="G5573" s="12" t="inlineStr">
        <is>
          <t>SC-2</t>
        </is>
      </c>
      <c r="H5573" s="12" t="inlineStr">
        <is>
          <t>SC-2: aeroderivative simple-cycle unit (LM6000 class)</t>
        </is>
      </c>
      <c r="I5573" s="12" t="inlineStr">
        <is>
          <t>LV 600 V</t>
        </is>
      </c>
      <c r="J5573" s="12" t="inlineStr">
        <is>
          <t>Type TC-ER 600 V 3/C Cu XHHW-2 + ground, PVC jacket</t>
        </is>
      </c>
      <c r="K5573" s="12" t="inlineStr">
        <is>
          <t>LV|3/C+G|6</t>
        </is>
      </c>
      <c r="L5573" s="12" t="inlineStr">
        <is>
          <t>3/C+G</t>
        </is>
      </c>
      <c r="M5573" s="12" t="inlineStr">
        <is>
          <t>6</t>
        </is>
      </c>
      <c r="N5573" s="12" t="n">
        <v>1</v>
      </c>
      <c r="O5573" s="12" t="n">
        <v>1</v>
      </c>
      <c r="P5573" s="12" t="n">
        <v>480</v>
      </c>
      <c r="Q5573" s="12" t="n">
        <v>30</v>
      </c>
      <c r="R5573" s="12" t="n">
        <v>42.5</v>
      </c>
      <c r="S5573" s="12" t="inlineStr">
        <is>
          <t>Duct bank</t>
        </is>
      </c>
      <c r="T5573" s="17" t="n">
        <v>25</v>
      </c>
      <c r="U5573" s="17" t="n">
        <v>32</v>
      </c>
      <c r="V5573" s="17">
        <f>ROUNDUP((T5573+U5573+2*'Read Me'!$B$13)*(1+'Read Me'!$B$12),-1)</f>
        <v/>
      </c>
      <c r="W5573" s="17">
        <f>V5573*N5573*O5573</f>
        <v/>
      </c>
      <c r="X5573" s="12">
        <f>IF(LEFT(I5573,2)="MV",2*N5573*IF(L5573="1/C",O5573,1),0)</f>
        <v/>
      </c>
      <c r="Y5573" s="12">
        <f>IF(OR(LEFT(K5573,4)="LVAX",LEFT(K5573,6)="MV15AX",LEFT(K5573,4)="CTAX",LEFT(K5573,2)="W|"),2*N5573*O5573,0)</f>
        <v/>
      </c>
      <c r="Z5573" s="12" t="inlineStr">
        <is>
          <t>VD 0.5 %</t>
        </is>
      </c>
      <c r="AA5573" s="12">
        <f>N5573*O5573</f>
        <v/>
      </c>
    </row>
    <row r="5574">
      <c r="A5574" s="12" t="inlineStr">
        <is>
          <t>I-P-0318</t>
        </is>
      </c>
      <c r="B5574" s="12" t="inlineStr">
        <is>
          <t>I</t>
        </is>
      </c>
      <c r="C5574" s="12" t="inlineStr">
        <is>
          <t>Modular / portable power</t>
        </is>
      </c>
      <c r="D5574" s="12" t="inlineStr">
        <is>
          <t>Motor 5 of 10, 30 kW</t>
        </is>
      </c>
      <c r="E5574" s="12" t="inlineStr"/>
      <c r="F5574" s="12" t="inlineStr">
        <is>
          <t>SC-2 PCM + 15 kV GCB</t>
        </is>
      </c>
      <c r="G5574" s="12" t="inlineStr">
        <is>
          <t>SC-2</t>
        </is>
      </c>
      <c r="H5574" s="12" t="inlineStr">
        <is>
          <t>SC-2: aeroderivative simple-cycle unit (LM6000 class)</t>
        </is>
      </c>
      <c r="I5574" s="12" t="inlineStr">
        <is>
          <t>LV 600 V</t>
        </is>
      </c>
      <c r="J5574" s="12" t="inlineStr">
        <is>
          <t>Type TC-ER 600 V 3/C Cu XHHW-2 + ground, PVC jacket</t>
        </is>
      </c>
      <c r="K5574" s="12" t="inlineStr">
        <is>
          <t>LV|3/C+G|6</t>
        </is>
      </c>
      <c r="L5574" s="12" t="inlineStr">
        <is>
          <t>3/C+G</t>
        </is>
      </c>
      <c r="M5574" s="12" t="inlineStr">
        <is>
          <t>6</t>
        </is>
      </c>
      <c r="N5574" s="12" t="n">
        <v>1</v>
      </c>
      <c r="O5574" s="12" t="n">
        <v>1</v>
      </c>
      <c r="P5574" s="12" t="n">
        <v>480</v>
      </c>
      <c r="Q5574" s="12" t="n">
        <v>30</v>
      </c>
      <c r="R5574" s="12" t="n">
        <v>42.5</v>
      </c>
      <c r="S5574" s="12" t="inlineStr">
        <is>
          <t>Duct bank</t>
        </is>
      </c>
      <c r="T5574" s="17" t="n">
        <v>25</v>
      </c>
      <c r="U5574" s="17" t="n">
        <v>32</v>
      </c>
      <c r="V5574" s="17">
        <f>ROUNDUP((T5574+U5574+2*'Read Me'!$B$13)*(1+'Read Me'!$B$12),-1)</f>
        <v/>
      </c>
      <c r="W5574" s="17">
        <f>V5574*N5574*O5574</f>
        <v/>
      </c>
      <c r="X5574" s="12">
        <f>IF(LEFT(I5574,2)="MV",2*N5574*IF(L5574="1/C",O5574,1),0)</f>
        <v/>
      </c>
      <c r="Y5574" s="12">
        <f>IF(OR(LEFT(K5574,4)="LVAX",LEFT(K5574,6)="MV15AX",LEFT(K5574,4)="CTAX",LEFT(K5574,2)="W|"),2*N5574*O5574,0)</f>
        <v/>
      </c>
      <c r="Z5574" s="12" t="inlineStr">
        <is>
          <t>VD 0.5 %</t>
        </is>
      </c>
      <c r="AA5574" s="12">
        <f>N5574*O5574</f>
        <v/>
      </c>
    </row>
    <row r="5575">
      <c r="A5575" s="12" t="inlineStr">
        <is>
          <t>I-P-0319</t>
        </is>
      </c>
      <c r="B5575" s="12" t="inlineStr">
        <is>
          <t>I</t>
        </is>
      </c>
      <c r="C5575" s="12" t="inlineStr">
        <is>
          <t>Modular / portable power</t>
        </is>
      </c>
      <c r="D5575" s="12" t="inlineStr">
        <is>
          <t>Motor 6 of 10, 30 kW</t>
        </is>
      </c>
      <c r="E5575" s="12" t="inlineStr"/>
      <c r="F5575" s="12" t="inlineStr">
        <is>
          <t>SC-2 PCM + 15 kV GCB</t>
        </is>
      </c>
      <c r="G5575" s="12" t="inlineStr">
        <is>
          <t>SC-2</t>
        </is>
      </c>
      <c r="H5575" s="12" t="inlineStr">
        <is>
          <t>SC-2: aeroderivative simple-cycle unit (LM6000 class)</t>
        </is>
      </c>
      <c r="I5575" s="12" t="inlineStr">
        <is>
          <t>LV 600 V</t>
        </is>
      </c>
      <c r="J5575" s="12" t="inlineStr">
        <is>
          <t>Type TC-ER 600 V 3/C Cu XHHW-2 + ground, PVC jacket</t>
        </is>
      </c>
      <c r="K5575" s="12" t="inlineStr">
        <is>
          <t>LV|3/C+G|6</t>
        </is>
      </c>
      <c r="L5575" s="12" t="inlineStr">
        <is>
          <t>3/C+G</t>
        </is>
      </c>
      <c r="M5575" s="12" t="inlineStr">
        <is>
          <t>6</t>
        </is>
      </c>
      <c r="N5575" s="12" t="n">
        <v>1</v>
      </c>
      <c r="O5575" s="12" t="n">
        <v>1</v>
      </c>
      <c r="P5575" s="12" t="n">
        <v>480</v>
      </c>
      <c r="Q5575" s="12" t="n">
        <v>30</v>
      </c>
      <c r="R5575" s="12" t="n">
        <v>42.5</v>
      </c>
      <c r="S5575" s="12" t="inlineStr">
        <is>
          <t>Duct bank</t>
        </is>
      </c>
      <c r="T5575" s="17" t="n">
        <v>25</v>
      </c>
      <c r="U5575" s="17" t="n">
        <v>32</v>
      </c>
      <c r="V5575" s="17">
        <f>ROUNDUP((T5575+U5575+2*'Read Me'!$B$13)*(1+'Read Me'!$B$12),-1)</f>
        <v/>
      </c>
      <c r="W5575" s="17">
        <f>V5575*N5575*O5575</f>
        <v/>
      </c>
      <c r="X5575" s="12">
        <f>IF(LEFT(I5575,2)="MV",2*N5575*IF(L5575="1/C",O5575,1),0)</f>
        <v/>
      </c>
      <c r="Y5575" s="12">
        <f>IF(OR(LEFT(K5575,4)="LVAX",LEFT(K5575,6)="MV15AX",LEFT(K5575,4)="CTAX",LEFT(K5575,2)="W|"),2*N5575*O5575,0)</f>
        <v/>
      </c>
      <c r="Z5575" s="12" t="inlineStr">
        <is>
          <t>VD 0.5 %</t>
        </is>
      </c>
      <c r="AA5575" s="12">
        <f>N5575*O5575</f>
        <v/>
      </c>
    </row>
    <row r="5576">
      <c r="A5576" s="12" t="inlineStr">
        <is>
          <t>I-P-0320</t>
        </is>
      </c>
      <c r="B5576" s="12" t="inlineStr">
        <is>
          <t>I</t>
        </is>
      </c>
      <c r="C5576" s="12" t="inlineStr">
        <is>
          <t>Modular / portable power</t>
        </is>
      </c>
      <c r="D5576" s="12" t="inlineStr">
        <is>
          <t>Motor 7 of 10, 30 kW</t>
        </is>
      </c>
      <c r="E5576" s="12" t="inlineStr"/>
      <c r="F5576" s="12" t="inlineStr">
        <is>
          <t>SC-2 PCM + 15 kV GCB</t>
        </is>
      </c>
      <c r="G5576" s="12" t="inlineStr">
        <is>
          <t>SC-2</t>
        </is>
      </c>
      <c r="H5576" s="12" t="inlineStr">
        <is>
          <t>SC-2: aeroderivative simple-cycle unit (LM6000 class)</t>
        </is>
      </c>
      <c r="I5576" s="12" t="inlineStr">
        <is>
          <t>LV 600 V</t>
        </is>
      </c>
      <c r="J5576" s="12" t="inlineStr">
        <is>
          <t>Type TC-ER 600 V 3/C Cu XHHW-2 + ground, PVC jacket</t>
        </is>
      </c>
      <c r="K5576" s="12" t="inlineStr">
        <is>
          <t>LV|3/C+G|6</t>
        </is>
      </c>
      <c r="L5576" s="12" t="inlineStr">
        <is>
          <t>3/C+G</t>
        </is>
      </c>
      <c r="M5576" s="12" t="inlineStr">
        <is>
          <t>6</t>
        </is>
      </c>
      <c r="N5576" s="12" t="n">
        <v>1</v>
      </c>
      <c r="O5576" s="12" t="n">
        <v>1</v>
      </c>
      <c r="P5576" s="12" t="n">
        <v>480</v>
      </c>
      <c r="Q5576" s="12" t="n">
        <v>30</v>
      </c>
      <c r="R5576" s="12" t="n">
        <v>42.5</v>
      </c>
      <c r="S5576" s="12" t="inlineStr">
        <is>
          <t>Duct bank</t>
        </is>
      </c>
      <c r="T5576" s="17" t="n">
        <v>25</v>
      </c>
      <c r="U5576" s="17" t="n">
        <v>32</v>
      </c>
      <c r="V5576" s="17">
        <f>ROUNDUP((T5576+U5576+2*'Read Me'!$B$13)*(1+'Read Me'!$B$12),-1)</f>
        <v/>
      </c>
      <c r="W5576" s="17">
        <f>V5576*N5576*O5576</f>
        <v/>
      </c>
      <c r="X5576" s="12">
        <f>IF(LEFT(I5576,2)="MV",2*N5576*IF(L5576="1/C",O5576,1),0)</f>
        <v/>
      </c>
      <c r="Y5576" s="12">
        <f>IF(OR(LEFT(K5576,4)="LVAX",LEFT(K5576,6)="MV15AX",LEFT(K5576,4)="CTAX",LEFT(K5576,2)="W|"),2*N5576*O5576,0)</f>
        <v/>
      </c>
      <c r="Z5576" s="12" t="inlineStr">
        <is>
          <t>VD 0.5 %</t>
        </is>
      </c>
      <c r="AA5576" s="12">
        <f>N5576*O5576</f>
        <v/>
      </c>
    </row>
    <row r="5577">
      <c r="A5577" s="12" t="inlineStr">
        <is>
          <t>I-P-0321</t>
        </is>
      </c>
      <c r="B5577" s="12" t="inlineStr">
        <is>
          <t>I</t>
        </is>
      </c>
      <c r="C5577" s="12" t="inlineStr">
        <is>
          <t>Modular / portable power</t>
        </is>
      </c>
      <c r="D5577" s="12" t="inlineStr">
        <is>
          <t>Motor 8 of 10, 30 kW</t>
        </is>
      </c>
      <c r="E5577" s="12" t="inlineStr"/>
      <c r="F5577" s="12" t="inlineStr">
        <is>
          <t>SC-2 PCM + 15 kV GCB</t>
        </is>
      </c>
      <c r="G5577" s="12" t="inlineStr">
        <is>
          <t>SC-2</t>
        </is>
      </c>
      <c r="H5577" s="12" t="inlineStr">
        <is>
          <t>SC-2: aeroderivative simple-cycle unit (LM6000 class)</t>
        </is>
      </c>
      <c r="I5577" s="12" t="inlineStr">
        <is>
          <t>LV 600 V</t>
        </is>
      </c>
      <c r="J5577" s="12" t="inlineStr">
        <is>
          <t>Type TC-ER 600 V 3/C Cu XHHW-2 + ground, PVC jacket</t>
        </is>
      </c>
      <c r="K5577" s="12" t="inlineStr">
        <is>
          <t>LV|3/C+G|6</t>
        </is>
      </c>
      <c r="L5577" s="12" t="inlineStr">
        <is>
          <t>3/C+G</t>
        </is>
      </c>
      <c r="M5577" s="12" t="inlineStr">
        <is>
          <t>6</t>
        </is>
      </c>
      <c r="N5577" s="12" t="n">
        <v>1</v>
      </c>
      <c r="O5577" s="12" t="n">
        <v>1</v>
      </c>
      <c r="P5577" s="12" t="n">
        <v>480</v>
      </c>
      <c r="Q5577" s="12" t="n">
        <v>30</v>
      </c>
      <c r="R5577" s="12" t="n">
        <v>42.5</v>
      </c>
      <c r="S5577" s="12" t="inlineStr">
        <is>
          <t>Duct bank</t>
        </is>
      </c>
      <c r="T5577" s="17" t="n">
        <v>25</v>
      </c>
      <c r="U5577" s="17" t="n">
        <v>32</v>
      </c>
      <c r="V5577" s="17">
        <f>ROUNDUP((T5577+U5577+2*'Read Me'!$B$13)*(1+'Read Me'!$B$12),-1)</f>
        <v/>
      </c>
      <c r="W5577" s="17">
        <f>V5577*N5577*O5577</f>
        <v/>
      </c>
      <c r="X5577" s="12">
        <f>IF(LEFT(I5577,2)="MV",2*N5577*IF(L5577="1/C",O5577,1),0)</f>
        <v/>
      </c>
      <c r="Y5577" s="12">
        <f>IF(OR(LEFT(K5577,4)="LVAX",LEFT(K5577,6)="MV15AX",LEFT(K5577,4)="CTAX",LEFT(K5577,2)="W|"),2*N5577*O5577,0)</f>
        <v/>
      </c>
      <c r="Z5577" s="12" t="inlineStr">
        <is>
          <t>VD 0.5 %</t>
        </is>
      </c>
      <c r="AA5577" s="12">
        <f>N5577*O5577</f>
        <v/>
      </c>
    </row>
    <row r="5578">
      <c r="A5578" s="12" t="inlineStr">
        <is>
          <t>I-P-0322</t>
        </is>
      </c>
      <c r="B5578" s="12" t="inlineStr">
        <is>
          <t>I</t>
        </is>
      </c>
      <c r="C5578" s="12" t="inlineStr">
        <is>
          <t>Modular / portable power</t>
        </is>
      </c>
      <c r="D5578" s="12" t="inlineStr">
        <is>
          <t>Motor 9 of 10, 30 kW</t>
        </is>
      </c>
      <c r="E5578" s="12" t="inlineStr"/>
      <c r="F5578" s="12" t="inlineStr">
        <is>
          <t>SC-2 PCM + 15 kV GCB</t>
        </is>
      </c>
      <c r="G5578" s="12" t="inlineStr">
        <is>
          <t>SC-2</t>
        </is>
      </c>
      <c r="H5578" s="12" t="inlineStr">
        <is>
          <t>SC-2: aeroderivative simple-cycle unit (LM6000 class)</t>
        </is>
      </c>
      <c r="I5578" s="12" t="inlineStr">
        <is>
          <t>LV 600 V</t>
        </is>
      </c>
      <c r="J5578" s="12" t="inlineStr">
        <is>
          <t>Type TC-ER 600 V 3/C Cu XHHW-2 + ground, PVC jacket</t>
        </is>
      </c>
      <c r="K5578" s="12" t="inlineStr">
        <is>
          <t>LV|3/C+G|6</t>
        </is>
      </c>
      <c r="L5578" s="12" t="inlineStr">
        <is>
          <t>3/C+G</t>
        </is>
      </c>
      <c r="M5578" s="12" t="inlineStr">
        <is>
          <t>6</t>
        </is>
      </c>
      <c r="N5578" s="12" t="n">
        <v>1</v>
      </c>
      <c r="O5578" s="12" t="n">
        <v>1</v>
      </c>
      <c r="P5578" s="12" t="n">
        <v>480</v>
      </c>
      <c r="Q5578" s="12" t="n">
        <v>30</v>
      </c>
      <c r="R5578" s="12" t="n">
        <v>42.5</v>
      </c>
      <c r="S5578" s="12" t="inlineStr">
        <is>
          <t>Duct bank</t>
        </is>
      </c>
      <c r="T5578" s="17" t="n">
        <v>25</v>
      </c>
      <c r="U5578" s="17" t="n">
        <v>32</v>
      </c>
      <c r="V5578" s="17">
        <f>ROUNDUP((T5578+U5578+2*'Read Me'!$B$13)*(1+'Read Me'!$B$12),-1)</f>
        <v/>
      </c>
      <c r="W5578" s="17">
        <f>V5578*N5578*O5578</f>
        <v/>
      </c>
      <c r="X5578" s="12">
        <f>IF(LEFT(I5578,2)="MV",2*N5578*IF(L5578="1/C",O5578,1),0)</f>
        <v/>
      </c>
      <c r="Y5578" s="12">
        <f>IF(OR(LEFT(K5578,4)="LVAX",LEFT(K5578,6)="MV15AX",LEFT(K5578,4)="CTAX",LEFT(K5578,2)="W|"),2*N5578*O5578,0)</f>
        <v/>
      </c>
      <c r="Z5578" s="12" t="inlineStr">
        <is>
          <t>VD 0.5 %</t>
        </is>
      </c>
      <c r="AA5578" s="12">
        <f>N5578*O5578</f>
        <v/>
      </c>
    </row>
    <row r="5579">
      <c r="A5579" s="12" t="inlineStr">
        <is>
          <t>I-P-0323</t>
        </is>
      </c>
      <c r="B5579" s="12" t="inlineStr">
        <is>
          <t>I</t>
        </is>
      </c>
      <c r="C5579" s="12" t="inlineStr">
        <is>
          <t>Modular / portable power</t>
        </is>
      </c>
      <c r="D5579" s="12" t="inlineStr">
        <is>
          <t>Motor 10 of 10, 30 kW</t>
        </is>
      </c>
      <c r="E5579" s="12" t="inlineStr"/>
      <c r="F5579" s="12" t="inlineStr">
        <is>
          <t>SC-2 PCM + 15 kV GCB</t>
        </is>
      </c>
      <c r="G5579" s="12" t="inlineStr">
        <is>
          <t>SC-2</t>
        </is>
      </c>
      <c r="H5579" s="12" t="inlineStr">
        <is>
          <t>SC-2: aeroderivative simple-cycle unit (LM6000 class)</t>
        </is>
      </c>
      <c r="I5579" s="12" t="inlineStr">
        <is>
          <t>LV 600 V</t>
        </is>
      </c>
      <c r="J5579" s="12" t="inlineStr">
        <is>
          <t>Type TC-ER 600 V 3/C Cu XHHW-2 + ground, PVC jacket</t>
        </is>
      </c>
      <c r="K5579" s="12" t="inlineStr">
        <is>
          <t>LV|3/C+G|6</t>
        </is>
      </c>
      <c r="L5579" s="12" t="inlineStr">
        <is>
          <t>3/C+G</t>
        </is>
      </c>
      <c r="M5579" s="12" t="inlineStr">
        <is>
          <t>6</t>
        </is>
      </c>
      <c r="N5579" s="12" t="n">
        <v>1</v>
      </c>
      <c r="O5579" s="12" t="n">
        <v>1</v>
      </c>
      <c r="P5579" s="12" t="n">
        <v>480</v>
      </c>
      <c r="Q5579" s="12" t="n">
        <v>30</v>
      </c>
      <c r="R5579" s="12" t="n">
        <v>42.5</v>
      </c>
      <c r="S5579" s="12" t="inlineStr">
        <is>
          <t>Duct bank</t>
        </is>
      </c>
      <c r="T5579" s="17" t="n">
        <v>25</v>
      </c>
      <c r="U5579" s="17" t="n">
        <v>32</v>
      </c>
      <c r="V5579" s="17">
        <f>ROUNDUP((T5579+U5579+2*'Read Me'!$B$13)*(1+'Read Me'!$B$12),-1)</f>
        <v/>
      </c>
      <c r="W5579" s="17">
        <f>V5579*N5579*O5579</f>
        <v/>
      </c>
      <c r="X5579" s="12">
        <f>IF(LEFT(I5579,2)="MV",2*N5579*IF(L5579="1/C",O5579,1),0)</f>
        <v/>
      </c>
      <c r="Y5579" s="12">
        <f>IF(OR(LEFT(K5579,4)="LVAX",LEFT(K5579,6)="MV15AX",LEFT(K5579,4)="CTAX",LEFT(K5579,2)="W|"),2*N5579*O5579,0)</f>
        <v/>
      </c>
      <c r="Z5579" s="12" t="inlineStr">
        <is>
          <t>VD 0.5 %</t>
        </is>
      </c>
      <c r="AA5579" s="12">
        <f>N5579*O5579</f>
        <v/>
      </c>
    </row>
    <row r="5580">
      <c r="A5580" s="12" t="inlineStr">
        <is>
          <t>I-P-0324</t>
        </is>
      </c>
      <c r="B5580" s="12" t="inlineStr">
        <is>
          <t>I</t>
        </is>
      </c>
      <c r="C5580" s="12" t="inlineStr">
        <is>
          <t>Modular / portable power</t>
        </is>
      </c>
      <c r="D5580" s="12" t="inlineStr">
        <is>
          <t>Area / platform lighting circuit 1 (8 fixtures)</t>
        </is>
      </c>
      <c r="E5580" s="12" t="inlineStr"/>
      <c r="F5580" s="12" t="inlineStr">
        <is>
          <t>SC-2 PCM + 15 kV GCB</t>
        </is>
      </c>
      <c r="G5580" s="12" t="inlineStr">
        <is>
          <t>SC-2</t>
        </is>
      </c>
      <c r="H5580" s="12" t="inlineStr">
        <is>
          <t>SC-2: aeroderivative simple-cycle unit (LM6000 class)</t>
        </is>
      </c>
      <c r="I5580" s="12" t="inlineStr">
        <is>
          <t>LV 600 V</t>
        </is>
      </c>
      <c r="J5580" s="12" t="inlineStr">
        <is>
          <t>Type TC-ER 600 V 3/C Cu XHHW-2 + ground, PVC jacket</t>
        </is>
      </c>
      <c r="K5580" s="12" t="inlineStr">
        <is>
          <t>LV|3/C+G|10</t>
        </is>
      </c>
      <c r="L5580" s="12" t="inlineStr">
        <is>
          <t>3/C+G</t>
        </is>
      </c>
      <c r="M5580" s="12" t="inlineStr">
        <is>
          <t>10</t>
        </is>
      </c>
      <c r="N5580" s="12" t="n">
        <v>1</v>
      </c>
      <c r="O5580" s="12" t="n">
        <v>1</v>
      </c>
      <c r="P5580" s="12" t="n">
        <v>480</v>
      </c>
      <c r="Q5580" s="12" t="n">
        <v>3</v>
      </c>
      <c r="R5580" s="12" t="n">
        <v>5</v>
      </c>
      <c r="S5580" s="12" t="inlineStr">
        <is>
          <t>Duct bank</t>
        </is>
      </c>
      <c r="T5580" s="17" t="n">
        <v>325</v>
      </c>
      <c r="U5580" s="17" t="n">
        <v>32</v>
      </c>
      <c r="V5580" s="17">
        <f>ROUNDUP((T5580+U5580+2*'Read Me'!$B$13)*(1+'Read Me'!$B$12),-1)</f>
        <v/>
      </c>
      <c r="W5580" s="17">
        <f>V5580*N5580*O5580</f>
        <v/>
      </c>
      <c r="X5580" s="12">
        <f>IF(LEFT(I5580,2)="MV",2*N5580*IF(L5580="1/C",O5580,1),0)</f>
        <v/>
      </c>
      <c r="Y5580" s="12">
        <f>IF(OR(LEFT(K5580,4)="LVAX",LEFT(K5580,6)="MV15AX",LEFT(K5580,4)="CTAX",LEFT(K5580,2)="W|"),2*N5580*O5580,0)</f>
        <v/>
      </c>
      <c r="Z5580" s="12" t="inlineStr">
        <is>
          <t>fixture-to-fixture run included</t>
        </is>
      </c>
      <c r="AA5580" s="12">
        <f>N5580*O5580</f>
        <v/>
      </c>
    </row>
    <row r="5581">
      <c r="A5581" s="12" t="inlineStr">
        <is>
          <t>I-P-0325</t>
        </is>
      </c>
      <c r="B5581" s="12" t="inlineStr">
        <is>
          <t>I</t>
        </is>
      </c>
      <c r="C5581" s="12" t="inlineStr">
        <is>
          <t>Modular / portable power</t>
        </is>
      </c>
      <c r="D5581" s="12" t="inlineStr">
        <is>
          <t>Motor 1 of 6, 2 kW</t>
        </is>
      </c>
      <c r="E5581" s="12" t="inlineStr"/>
      <c r="F5581" s="12" t="inlineStr">
        <is>
          <t>MOD-LV 480 V board + 480 V : 13.8 kV step-up</t>
        </is>
      </c>
      <c r="G5581" s="12" t="inlineStr"/>
      <c r="H5581" s="12" t="inlineStr">
        <is>
          <t>T-MOD 230 kV take-off gantry with arresters</t>
        </is>
      </c>
      <c r="I5581" s="12" t="inlineStr">
        <is>
          <t>LV 600 V</t>
        </is>
      </c>
      <c r="J5581" s="12" t="inlineStr">
        <is>
          <t>Type TC-ER 600 V 3/C Cu XHHW-2 + ground, PVC jacket</t>
        </is>
      </c>
      <c r="K5581" s="12" t="inlineStr">
        <is>
          <t>LV|3/C+G|10</t>
        </is>
      </c>
      <c r="L5581" s="12" t="inlineStr">
        <is>
          <t>3/C+G</t>
        </is>
      </c>
      <c r="M5581" s="12" t="inlineStr">
        <is>
          <t>10</t>
        </is>
      </c>
      <c r="N5581" s="12" t="n">
        <v>1</v>
      </c>
      <c r="O5581" s="12" t="n">
        <v>1</v>
      </c>
      <c r="P5581" s="12" t="n">
        <v>480</v>
      </c>
      <c r="Q5581" s="12" t="n">
        <v>2</v>
      </c>
      <c r="R5581" s="12" t="n">
        <v>2.8</v>
      </c>
      <c r="S5581" s="12" t="inlineStr">
        <is>
          <t>Duct bank</t>
        </is>
      </c>
      <c r="T5581" s="17" t="n">
        <v>357</v>
      </c>
      <c r="U5581" s="17" t="n">
        <v>128</v>
      </c>
      <c r="V5581" s="17">
        <f>ROUNDUP((T5581+U5581+2*'Read Me'!$B$13)*(1+'Read Me'!$B$12),-1)</f>
        <v/>
      </c>
      <c r="W5581" s="17">
        <f>V5581*N5581*O5581</f>
        <v/>
      </c>
      <c r="X5581" s="12">
        <f>IF(LEFT(I5581,2)="MV",2*N5581*IF(L5581="1/C",O5581,1),0)</f>
        <v/>
      </c>
      <c r="Y5581" s="12">
        <f>IF(OR(LEFT(K5581,4)="LVAX",LEFT(K5581,6)="MV15AX",LEFT(K5581,4)="CTAX",LEFT(K5581,2)="W|"),2*N5581*O5581,0)</f>
        <v/>
      </c>
      <c r="Z5581" s="12" t="inlineStr">
        <is>
          <t>VD 0.7 %</t>
        </is>
      </c>
      <c r="AA5581" s="12">
        <f>N5581*O5581</f>
        <v/>
      </c>
    </row>
    <row r="5582">
      <c r="A5582" s="12" t="inlineStr">
        <is>
          <t>I-P-0326</t>
        </is>
      </c>
      <c r="B5582" s="12" t="inlineStr">
        <is>
          <t>I</t>
        </is>
      </c>
      <c r="C5582" s="12" t="inlineStr">
        <is>
          <t>Modular / portable power</t>
        </is>
      </c>
      <c r="D5582" s="12" t="inlineStr">
        <is>
          <t>Motor 2 of 6, 2 kW</t>
        </is>
      </c>
      <c r="E5582" s="12" t="inlineStr"/>
      <c r="F5582" s="12" t="inlineStr">
        <is>
          <t>MOD-LV 480 V board + 480 V : 13.8 kV step-up</t>
        </is>
      </c>
      <c r="G5582" s="12" t="inlineStr"/>
      <c r="H5582" s="12" t="inlineStr">
        <is>
          <t>T-MOD 230 kV take-off gantry with arresters</t>
        </is>
      </c>
      <c r="I5582" s="12" t="inlineStr">
        <is>
          <t>LV 600 V</t>
        </is>
      </c>
      <c r="J5582" s="12" t="inlineStr">
        <is>
          <t>Type TC-ER 600 V 3/C Cu XHHW-2 + ground, PVC jacket</t>
        </is>
      </c>
      <c r="K5582" s="12" t="inlineStr">
        <is>
          <t>LV|3/C+G|10</t>
        </is>
      </c>
      <c r="L5582" s="12" t="inlineStr">
        <is>
          <t>3/C+G</t>
        </is>
      </c>
      <c r="M5582" s="12" t="inlineStr">
        <is>
          <t>10</t>
        </is>
      </c>
      <c r="N5582" s="12" t="n">
        <v>1</v>
      </c>
      <c r="O5582" s="12" t="n">
        <v>1</v>
      </c>
      <c r="P5582" s="12" t="n">
        <v>480</v>
      </c>
      <c r="Q5582" s="12" t="n">
        <v>2</v>
      </c>
      <c r="R5582" s="12" t="n">
        <v>2.8</v>
      </c>
      <c r="S5582" s="12" t="inlineStr">
        <is>
          <t>Duct bank</t>
        </is>
      </c>
      <c r="T5582" s="17" t="n">
        <v>357</v>
      </c>
      <c r="U5582" s="17" t="n">
        <v>128</v>
      </c>
      <c r="V5582" s="17">
        <f>ROUNDUP((T5582+U5582+2*'Read Me'!$B$13)*(1+'Read Me'!$B$12),-1)</f>
        <v/>
      </c>
      <c r="W5582" s="17">
        <f>V5582*N5582*O5582</f>
        <v/>
      </c>
      <c r="X5582" s="12">
        <f>IF(LEFT(I5582,2)="MV",2*N5582*IF(L5582="1/C",O5582,1),0)</f>
        <v/>
      </c>
      <c r="Y5582" s="12">
        <f>IF(OR(LEFT(K5582,4)="LVAX",LEFT(K5582,6)="MV15AX",LEFT(K5582,4)="CTAX",LEFT(K5582,2)="W|"),2*N5582*O5582,0)</f>
        <v/>
      </c>
      <c r="Z5582" s="12" t="inlineStr">
        <is>
          <t>VD 0.7 %</t>
        </is>
      </c>
      <c r="AA5582" s="12">
        <f>N5582*O5582</f>
        <v/>
      </c>
    </row>
    <row r="5583">
      <c r="A5583" s="12" t="inlineStr">
        <is>
          <t>I-P-0327</t>
        </is>
      </c>
      <c r="B5583" s="12" t="inlineStr">
        <is>
          <t>I</t>
        </is>
      </c>
      <c r="C5583" s="12" t="inlineStr">
        <is>
          <t>Modular / portable power</t>
        </is>
      </c>
      <c r="D5583" s="12" t="inlineStr">
        <is>
          <t>Motor 3 of 6, 2 kW</t>
        </is>
      </c>
      <c r="E5583" s="12" t="inlineStr"/>
      <c r="F5583" s="12" t="inlineStr">
        <is>
          <t>MOD-LV 480 V board + 480 V : 13.8 kV step-up</t>
        </is>
      </c>
      <c r="G5583" s="12" t="inlineStr"/>
      <c r="H5583" s="12" t="inlineStr">
        <is>
          <t>T-MOD 230 kV take-off gantry with arresters</t>
        </is>
      </c>
      <c r="I5583" s="12" t="inlineStr">
        <is>
          <t>LV 600 V</t>
        </is>
      </c>
      <c r="J5583" s="12" t="inlineStr">
        <is>
          <t>Type TC-ER 600 V 3/C Cu XHHW-2 + ground, PVC jacket</t>
        </is>
      </c>
      <c r="K5583" s="12" t="inlineStr">
        <is>
          <t>LV|3/C+G|10</t>
        </is>
      </c>
      <c r="L5583" s="12" t="inlineStr">
        <is>
          <t>3/C+G</t>
        </is>
      </c>
      <c r="M5583" s="12" t="inlineStr">
        <is>
          <t>10</t>
        </is>
      </c>
      <c r="N5583" s="12" t="n">
        <v>1</v>
      </c>
      <c r="O5583" s="12" t="n">
        <v>1</v>
      </c>
      <c r="P5583" s="12" t="n">
        <v>480</v>
      </c>
      <c r="Q5583" s="12" t="n">
        <v>2</v>
      </c>
      <c r="R5583" s="12" t="n">
        <v>2.8</v>
      </c>
      <c r="S5583" s="12" t="inlineStr">
        <is>
          <t>Duct bank</t>
        </is>
      </c>
      <c r="T5583" s="17" t="n">
        <v>357</v>
      </c>
      <c r="U5583" s="17" t="n">
        <v>128</v>
      </c>
      <c r="V5583" s="17">
        <f>ROUNDUP((T5583+U5583+2*'Read Me'!$B$13)*(1+'Read Me'!$B$12),-1)</f>
        <v/>
      </c>
      <c r="W5583" s="17">
        <f>V5583*N5583*O5583</f>
        <v/>
      </c>
      <c r="X5583" s="12">
        <f>IF(LEFT(I5583,2)="MV",2*N5583*IF(L5583="1/C",O5583,1),0)</f>
        <v/>
      </c>
      <c r="Y5583" s="12">
        <f>IF(OR(LEFT(K5583,4)="LVAX",LEFT(K5583,6)="MV15AX",LEFT(K5583,4)="CTAX",LEFT(K5583,2)="W|"),2*N5583*O5583,0)</f>
        <v/>
      </c>
      <c r="Z5583" s="12" t="inlineStr">
        <is>
          <t>VD 0.7 %</t>
        </is>
      </c>
      <c r="AA5583" s="12">
        <f>N5583*O5583</f>
        <v/>
      </c>
    </row>
    <row r="5584">
      <c r="A5584" s="12" t="inlineStr">
        <is>
          <t>I-P-0328</t>
        </is>
      </c>
      <c r="B5584" s="12" t="inlineStr">
        <is>
          <t>I</t>
        </is>
      </c>
      <c r="C5584" s="12" t="inlineStr">
        <is>
          <t>Modular / portable power</t>
        </is>
      </c>
      <c r="D5584" s="12" t="inlineStr">
        <is>
          <t>Motor 4 of 6, 2 kW</t>
        </is>
      </c>
      <c r="E5584" s="12" t="inlineStr"/>
      <c r="F5584" s="12" t="inlineStr">
        <is>
          <t>MOD-LV 480 V board + 480 V : 13.8 kV step-up</t>
        </is>
      </c>
      <c r="G5584" s="12" t="inlineStr"/>
      <c r="H5584" s="12" t="inlineStr">
        <is>
          <t>T-MOD 230 kV take-off gantry with arresters</t>
        </is>
      </c>
      <c r="I5584" s="12" t="inlineStr">
        <is>
          <t>LV 600 V</t>
        </is>
      </c>
      <c r="J5584" s="12" t="inlineStr">
        <is>
          <t>Type TC-ER 600 V 3/C Cu XHHW-2 + ground, PVC jacket</t>
        </is>
      </c>
      <c r="K5584" s="12" t="inlineStr">
        <is>
          <t>LV|3/C+G|10</t>
        </is>
      </c>
      <c r="L5584" s="12" t="inlineStr">
        <is>
          <t>3/C+G</t>
        </is>
      </c>
      <c r="M5584" s="12" t="inlineStr">
        <is>
          <t>10</t>
        </is>
      </c>
      <c r="N5584" s="12" t="n">
        <v>1</v>
      </c>
      <c r="O5584" s="12" t="n">
        <v>1</v>
      </c>
      <c r="P5584" s="12" t="n">
        <v>480</v>
      </c>
      <c r="Q5584" s="12" t="n">
        <v>2</v>
      </c>
      <c r="R5584" s="12" t="n">
        <v>2.8</v>
      </c>
      <c r="S5584" s="12" t="inlineStr">
        <is>
          <t>Duct bank</t>
        </is>
      </c>
      <c r="T5584" s="17" t="n">
        <v>357</v>
      </c>
      <c r="U5584" s="17" t="n">
        <v>128</v>
      </c>
      <c r="V5584" s="17">
        <f>ROUNDUP((T5584+U5584+2*'Read Me'!$B$13)*(1+'Read Me'!$B$12),-1)</f>
        <v/>
      </c>
      <c r="W5584" s="17">
        <f>V5584*N5584*O5584</f>
        <v/>
      </c>
      <c r="X5584" s="12">
        <f>IF(LEFT(I5584,2)="MV",2*N5584*IF(L5584="1/C",O5584,1),0)</f>
        <v/>
      </c>
      <c r="Y5584" s="12">
        <f>IF(OR(LEFT(K5584,4)="LVAX",LEFT(K5584,6)="MV15AX",LEFT(K5584,4)="CTAX",LEFT(K5584,2)="W|"),2*N5584*O5584,0)</f>
        <v/>
      </c>
      <c r="Z5584" s="12" t="inlineStr">
        <is>
          <t>VD 0.7 %</t>
        </is>
      </c>
      <c r="AA5584" s="12">
        <f>N5584*O5584</f>
        <v/>
      </c>
    </row>
    <row r="5585">
      <c r="A5585" s="12" t="inlineStr">
        <is>
          <t>I-P-0329</t>
        </is>
      </c>
      <c r="B5585" s="12" t="inlineStr">
        <is>
          <t>I</t>
        </is>
      </c>
      <c r="C5585" s="12" t="inlineStr">
        <is>
          <t>Modular / portable power</t>
        </is>
      </c>
      <c r="D5585" s="12" t="inlineStr">
        <is>
          <t>Motor 5 of 6, 2 kW</t>
        </is>
      </c>
      <c r="E5585" s="12" t="inlineStr"/>
      <c r="F5585" s="12" t="inlineStr">
        <is>
          <t>MOD-LV 480 V board + 480 V : 13.8 kV step-up</t>
        </is>
      </c>
      <c r="G5585" s="12" t="inlineStr"/>
      <c r="H5585" s="12" t="inlineStr">
        <is>
          <t>T-MOD 230 kV take-off gantry with arresters</t>
        </is>
      </c>
      <c r="I5585" s="12" t="inlineStr">
        <is>
          <t>LV 600 V</t>
        </is>
      </c>
      <c r="J5585" s="12" t="inlineStr">
        <is>
          <t>Type TC-ER 600 V 3/C Cu XHHW-2 + ground, PVC jacket</t>
        </is>
      </c>
      <c r="K5585" s="12" t="inlineStr">
        <is>
          <t>LV|3/C+G|10</t>
        </is>
      </c>
      <c r="L5585" s="12" t="inlineStr">
        <is>
          <t>3/C+G</t>
        </is>
      </c>
      <c r="M5585" s="12" t="inlineStr">
        <is>
          <t>10</t>
        </is>
      </c>
      <c r="N5585" s="12" t="n">
        <v>1</v>
      </c>
      <c r="O5585" s="12" t="n">
        <v>1</v>
      </c>
      <c r="P5585" s="12" t="n">
        <v>480</v>
      </c>
      <c r="Q5585" s="12" t="n">
        <v>2</v>
      </c>
      <c r="R5585" s="12" t="n">
        <v>2.8</v>
      </c>
      <c r="S5585" s="12" t="inlineStr">
        <is>
          <t>Duct bank</t>
        </is>
      </c>
      <c r="T5585" s="17" t="n">
        <v>357</v>
      </c>
      <c r="U5585" s="17" t="n">
        <v>128</v>
      </c>
      <c r="V5585" s="17">
        <f>ROUNDUP((T5585+U5585+2*'Read Me'!$B$13)*(1+'Read Me'!$B$12),-1)</f>
        <v/>
      </c>
      <c r="W5585" s="17">
        <f>V5585*N5585*O5585</f>
        <v/>
      </c>
      <c r="X5585" s="12">
        <f>IF(LEFT(I5585,2)="MV",2*N5585*IF(L5585="1/C",O5585,1),0)</f>
        <v/>
      </c>
      <c r="Y5585" s="12">
        <f>IF(OR(LEFT(K5585,4)="LVAX",LEFT(K5585,6)="MV15AX",LEFT(K5585,4)="CTAX",LEFT(K5585,2)="W|"),2*N5585*O5585,0)</f>
        <v/>
      </c>
      <c r="Z5585" s="12" t="inlineStr">
        <is>
          <t>VD 0.7 %</t>
        </is>
      </c>
      <c r="AA5585" s="12">
        <f>N5585*O5585</f>
        <v/>
      </c>
    </row>
    <row r="5586">
      <c r="A5586" s="12" t="inlineStr">
        <is>
          <t>I-P-0330</t>
        </is>
      </c>
      <c r="B5586" s="12" t="inlineStr">
        <is>
          <t>I</t>
        </is>
      </c>
      <c r="C5586" s="12" t="inlineStr">
        <is>
          <t>Modular / portable power</t>
        </is>
      </c>
      <c r="D5586" s="12" t="inlineStr">
        <is>
          <t>Motor 6 of 6, 2 kW</t>
        </is>
      </c>
      <c r="E5586" s="12" t="inlineStr"/>
      <c r="F5586" s="12" t="inlineStr">
        <is>
          <t>MOD-LV 480 V board + 480 V : 13.8 kV step-up</t>
        </is>
      </c>
      <c r="G5586" s="12" t="inlineStr"/>
      <c r="H5586" s="12" t="inlineStr">
        <is>
          <t>T-MOD 230 kV take-off gantry with arresters</t>
        </is>
      </c>
      <c r="I5586" s="12" t="inlineStr">
        <is>
          <t>LV 600 V</t>
        </is>
      </c>
      <c r="J5586" s="12" t="inlineStr">
        <is>
          <t>Type TC-ER 600 V 3/C Cu XHHW-2 + ground, PVC jacket</t>
        </is>
      </c>
      <c r="K5586" s="12" t="inlineStr">
        <is>
          <t>LV|3/C+G|10</t>
        </is>
      </c>
      <c r="L5586" s="12" t="inlineStr">
        <is>
          <t>3/C+G</t>
        </is>
      </c>
      <c r="M5586" s="12" t="inlineStr">
        <is>
          <t>10</t>
        </is>
      </c>
      <c r="N5586" s="12" t="n">
        <v>1</v>
      </c>
      <c r="O5586" s="12" t="n">
        <v>1</v>
      </c>
      <c r="P5586" s="12" t="n">
        <v>480</v>
      </c>
      <c r="Q5586" s="12" t="n">
        <v>2</v>
      </c>
      <c r="R5586" s="12" t="n">
        <v>2.8</v>
      </c>
      <c r="S5586" s="12" t="inlineStr">
        <is>
          <t>Duct bank</t>
        </is>
      </c>
      <c r="T5586" s="17" t="n">
        <v>357</v>
      </c>
      <c r="U5586" s="17" t="n">
        <v>128</v>
      </c>
      <c r="V5586" s="17">
        <f>ROUNDUP((T5586+U5586+2*'Read Me'!$B$13)*(1+'Read Me'!$B$12),-1)</f>
        <v/>
      </c>
      <c r="W5586" s="17">
        <f>V5586*N5586*O5586</f>
        <v/>
      </c>
      <c r="X5586" s="12">
        <f>IF(LEFT(I5586,2)="MV",2*N5586*IF(L5586="1/C",O5586,1),0)</f>
        <v/>
      </c>
      <c r="Y5586" s="12">
        <f>IF(OR(LEFT(K5586,4)="LVAX",LEFT(K5586,6)="MV15AX",LEFT(K5586,4)="CTAX",LEFT(K5586,2)="W|"),2*N5586*O5586,0)</f>
        <v/>
      </c>
      <c r="Z5586" s="12" t="inlineStr">
        <is>
          <t>VD 0.7 %</t>
        </is>
      </c>
      <c r="AA5586" s="12">
        <f>N5586*O5586</f>
        <v/>
      </c>
    </row>
    <row r="5587">
      <c r="A5587" s="12" t="inlineStr">
        <is>
          <t>I-P-0331</t>
        </is>
      </c>
      <c r="B5587" s="12" t="inlineStr">
        <is>
          <t>I</t>
        </is>
      </c>
      <c r="C5587" s="12" t="inlineStr">
        <is>
          <t>Modular / portable power</t>
        </is>
      </c>
      <c r="D5587" s="12" t="inlineStr">
        <is>
          <t>Motor 1 of 6, 2 kW</t>
        </is>
      </c>
      <c r="E5587" s="12" t="inlineStr"/>
      <c r="F5587" s="12" t="inlineStr">
        <is>
          <t>MOD-LV 480 V board + 480 V : 13.8 kV step-up</t>
        </is>
      </c>
      <c r="G5587" s="12" t="inlineStr"/>
      <c r="H5587" s="12" t="inlineStr">
        <is>
          <t>T-MOD-1 / T-MOD-2 firewall</t>
        </is>
      </c>
      <c r="I5587" s="12" t="inlineStr">
        <is>
          <t>LV 600 V</t>
        </is>
      </c>
      <c r="J5587" s="12" t="inlineStr">
        <is>
          <t>Type TC-ER 600 V 3/C Cu XHHW-2 + ground, PVC jacket</t>
        </is>
      </c>
      <c r="K5587" s="12" t="inlineStr">
        <is>
          <t>LV|3/C+G|10</t>
        </is>
      </c>
      <c r="L5587" s="12" t="inlineStr">
        <is>
          <t>3/C+G</t>
        </is>
      </c>
      <c r="M5587" s="12" t="inlineStr">
        <is>
          <t>10</t>
        </is>
      </c>
      <c r="N5587" s="12" t="n">
        <v>1</v>
      </c>
      <c r="O5587" s="12" t="n">
        <v>1</v>
      </c>
      <c r="P5587" s="12" t="n">
        <v>480</v>
      </c>
      <c r="Q5587" s="12" t="n">
        <v>2</v>
      </c>
      <c r="R5587" s="12" t="n">
        <v>2.8</v>
      </c>
      <c r="S5587" s="12" t="inlineStr">
        <is>
          <t>Duct bank</t>
        </is>
      </c>
      <c r="T5587" s="17" t="n">
        <v>349</v>
      </c>
      <c r="U5587" s="17" t="n">
        <v>130</v>
      </c>
      <c r="V5587" s="17">
        <f>ROUNDUP((T5587+U5587+2*'Read Me'!$B$13)*(1+'Read Me'!$B$12),-1)</f>
        <v/>
      </c>
      <c r="W5587" s="17">
        <f>V5587*N5587*O5587</f>
        <v/>
      </c>
      <c r="X5587" s="12">
        <f>IF(LEFT(I5587,2)="MV",2*N5587*IF(L5587="1/C",O5587,1),0)</f>
        <v/>
      </c>
      <c r="Y5587" s="12">
        <f>IF(OR(LEFT(K5587,4)="LVAX",LEFT(K5587,6)="MV15AX",LEFT(K5587,4)="CTAX",LEFT(K5587,2)="W|"),2*N5587*O5587,0)</f>
        <v/>
      </c>
      <c r="Z5587" s="12" t="inlineStr">
        <is>
          <t>VD 0.7 %</t>
        </is>
      </c>
      <c r="AA5587" s="12">
        <f>N5587*O5587</f>
        <v/>
      </c>
    </row>
    <row r="5588">
      <c r="A5588" s="12" t="inlineStr">
        <is>
          <t>I-P-0332</t>
        </is>
      </c>
      <c r="B5588" s="12" t="inlineStr">
        <is>
          <t>I</t>
        </is>
      </c>
      <c r="C5588" s="12" t="inlineStr">
        <is>
          <t>Modular / portable power</t>
        </is>
      </c>
      <c r="D5588" s="12" t="inlineStr">
        <is>
          <t>Motor 2 of 6, 2 kW</t>
        </is>
      </c>
      <c r="E5588" s="12" t="inlineStr"/>
      <c r="F5588" s="12" t="inlineStr">
        <is>
          <t>MOD-LV 480 V board + 480 V : 13.8 kV step-up</t>
        </is>
      </c>
      <c r="G5588" s="12" t="inlineStr"/>
      <c r="H5588" s="12" t="inlineStr">
        <is>
          <t>T-MOD-1 / T-MOD-2 firewall</t>
        </is>
      </c>
      <c r="I5588" s="12" t="inlineStr">
        <is>
          <t>LV 600 V</t>
        </is>
      </c>
      <c r="J5588" s="12" t="inlineStr">
        <is>
          <t>Type TC-ER 600 V 3/C Cu XHHW-2 + ground, PVC jacket</t>
        </is>
      </c>
      <c r="K5588" s="12" t="inlineStr">
        <is>
          <t>LV|3/C+G|10</t>
        </is>
      </c>
      <c r="L5588" s="12" t="inlineStr">
        <is>
          <t>3/C+G</t>
        </is>
      </c>
      <c r="M5588" s="12" t="inlineStr">
        <is>
          <t>10</t>
        </is>
      </c>
      <c r="N5588" s="12" t="n">
        <v>1</v>
      </c>
      <c r="O5588" s="12" t="n">
        <v>1</v>
      </c>
      <c r="P5588" s="12" t="n">
        <v>480</v>
      </c>
      <c r="Q5588" s="12" t="n">
        <v>2</v>
      </c>
      <c r="R5588" s="12" t="n">
        <v>2.8</v>
      </c>
      <c r="S5588" s="12" t="inlineStr">
        <is>
          <t>Duct bank</t>
        </is>
      </c>
      <c r="T5588" s="17" t="n">
        <v>349</v>
      </c>
      <c r="U5588" s="17" t="n">
        <v>130</v>
      </c>
      <c r="V5588" s="17">
        <f>ROUNDUP((T5588+U5588+2*'Read Me'!$B$13)*(1+'Read Me'!$B$12),-1)</f>
        <v/>
      </c>
      <c r="W5588" s="17">
        <f>V5588*N5588*O5588</f>
        <v/>
      </c>
      <c r="X5588" s="12">
        <f>IF(LEFT(I5588,2)="MV",2*N5588*IF(L5588="1/C",O5588,1),0)</f>
        <v/>
      </c>
      <c r="Y5588" s="12">
        <f>IF(OR(LEFT(K5588,4)="LVAX",LEFT(K5588,6)="MV15AX",LEFT(K5588,4)="CTAX",LEFT(K5588,2)="W|"),2*N5588*O5588,0)</f>
        <v/>
      </c>
      <c r="Z5588" s="12" t="inlineStr">
        <is>
          <t>VD 0.7 %</t>
        </is>
      </c>
      <c r="AA5588" s="12">
        <f>N5588*O5588</f>
        <v/>
      </c>
    </row>
    <row r="5589">
      <c r="A5589" s="12" t="inlineStr">
        <is>
          <t>I-P-0333</t>
        </is>
      </c>
      <c r="B5589" s="12" t="inlineStr">
        <is>
          <t>I</t>
        </is>
      </c>
      <c r="C5589" s="12" t="inlineStr">
        <is>
          <t>Modular / portable power</t>
        </is>
      </c>
      <c r="D5589" s="12" t="inlineStr">
        <is>
          <t>Motor 3 of 6, 2 kW</t>
        </is>
      </c>
      <c r="E5589" s="12" t="inlineStr"/>
      <c r="F5589" s="12" t="inlineStr">
        <is>
          <t>MOD-LV 480 V board + 480 V : 13.8 kV step-up</t>
        </is>
      </c>
      <c r="G5589" s="12" t="inlineStr"/>
      <c r="H5589" s="12" t="inlineStr">
        <is>
          <t>T-MOD-1 / T-MOD-2 firewall</t>
        </is>
      </c>
      <c r="I5589" s="12" t="inlineStr">
        <is>
          <t>LV 600 V</t>
        </is>
      </c>
      <c r="J5589" s="12" t="inlineStr">
        <is>
          <t>Type TC-ER 600 V 3/C Cu XHHW-2 + ground, PVC jacket</t>
        </is>
      </c>
      <c r="K5589" s="12" t="inlineStr">
        <is>
          <t>LV|3/C+G|10</t>
        </is>
      </c>
      <c r="L5589" s="12" t="inlineStr">
        <is>
          <t>3/C+G</t>
        </is>
      </c>
      <c r="M5589" s="12" t="inlineStr">
        <is>
          <t>10</t>
        </is>
      </c>
      <c r="N5589" s="12" t="n">
        <v>1</v>
      </c>
      <c r="O5589" s="12" t="n">
        <v>1</v>
      </c>
      <c r="P5589" s="12" t="n">
        <v>480</v>
      </c>
      <c r="Q5589" s="12" t="n">
        <v>2</v>
      </c>
      <c r="R5589" s="12" t="n">
        <v>2.8</v>
      </c>
      <c r="S5589" s="12" t="inlineStr">
        <is>
          <t>Duct bank</t>
        </is>
      </c>
      <c r="T5589" s="17" t="n">
        <v>349</v>
      </c>
      <c r="U5589" s="17" t="n">
        <v>130</v>
      </c>
      <c r="V5589" s="17">
        <f>ROUNDUP((T5589+U5589+2*'Read Me'!$B$13)*(1+'Read Me'!$B$12),-1)</f>
        <v/>
      </c>
      <c r="W5589" s="17">
        <f>V5589*N5589*O5589</f>
        <v/>
      </c>
      <c r="X5589" s="12">
        <f>IF(LEFT(I5589,2)="MV",2*N5589*IF(L5589="1/C",O5589,1),0)</f>
        <v/>
      </c>
      <c r="Y5589" s="12">
        <f>IF(OR(LEFT(K5589,4)="LVAX",LEFT(K5589,6)="MV15AX",LEFT(K5589,4)="CTAX",LEFT(K5589,2)="W|"),2*N5589*O5589,0)</f>
        <v/>
      </c>
      <c r="Z5589" s="12" t="inlineStr">
        <is>
          <t>VD 0.7 %</t>
        </is>
      </c>
      <c r="AA5589" s="12">
        <f>N5589*O5589</f>
        <v/>
      </c>
    </row>
    <row r="5590">
      <c r="A5590" s="12" t="inlineStr">
        <is>
          <t>I-P-0334</t>
        </is>
      </c>
      <c r="B5590" s="12" t="inlineStr">
        <is>
          <t>I</t>
        </is>
      </c>
      <c r="C5590" s="12" t="inlineStr">
        <is>
          <t>Modular / portable power</t>
        </is>
      </c>
      <c r="D5590" s="12" t="inlineStr">
        <is>
          <t>Motor 4 of 6, 2 kW</t>
        </is>
      </c>
      <c r="E5590" s="12" t="inlineStr"/>
      <c r="F5590" s="12" t="inlineStr">
        <is>
          <t>MOD-LV 480 V board + 480 V : 13.8 kV step-up</t>
        </is>
      </c>
      <c r="G5590" s="12" t="inlineStr"/>
      <c r="H5590" s="12" t="inlineStr">
        <is>
          <t>T-MOD-1 / T-MOD-2 firewall</t>
        </is>
      </c>
      <c r="I5590" s="12" t="inlineStr">
        <is>
          <t>LV 600 V</t>
        </is>
      </c>
      <c r="J5590" s="12" t="inlineStr">
        <is>
          <t>Type TC-ER 600 V 3/C Cu XHHW-2 + ground, PVC jacket</t>
        </is>
      </c>
      <c r="K5590" s="12" t="inlineStr">
        <is>
          <t>LV|3/C+G|10</t>
        </is>
      </c>
      <c r="L5590" s="12" t="inlineStr">
        <is>
          <t>3/C+G</t>
        </is>
      </c>
      <c r="M5590" s="12" t="inlineStr">
        <is>
          <t>10</t>
        </is>
      </c>
      <c r="N5590" s="12" t="n">
        <v>1</v>
      </c>
      <c r="O5590" s="12" t="n">
        <v>1</v>
      </c>
      <c r="P5590" s="12" t="n">
        <v>480</v>
      </c>
      <c r="Q5590" s="12" t="n">
        <v>2</v>
      </c>
      <c r="R5590" s="12" t="n">
        <v>2.8</v>
      </c>
      <c r="S5590" s="12" t="inlineStr">
        <is>
          <t>Duct bank</t>
        </is>
      </c>
      <c r="T5590" s="17" t="n">
        <v>349</v>
      </c>
      <c r="U5590" s="17" t="n">
        <v>130</v>
      </c>
      <c r="V5590" s="17">
        <f>ROUNDUP((T5590+U5590+2*'Read Me'!$B$13)*(1+'Read Me'!$B$12),-1)</f>
        <v/>
      </c>
      <c r="W5590" s="17">
        <f>V5590*N5590*O5590</f>
        <v/>
      </c>
      <c r="X5590" s="12">
        <f>IF(LEFT(I5590,2)="MV",2*N5590*IF(L5590="1/C",O5590,1),0)</f>
        <v/>
      </c>
      <c r="Y5590" s="12">
        <f>IF(OR(LEFT(K5590,4)="LVAX",LEFT(K5590,6)="MV15AX",LEFT(K5590,4)="CTAX",LEFT(K5590,2)="W|"),2*N5590*O5590,0)</f>
        <v/>
      </c>
      <c r="Z5590" s="12" t="inlineStr">
        <is>
          <t>VD 0.7 %</t>
        </is>
      </c>
      <c r="AA5590" s="12">
        <f>N5590*O5590</f>
        <v/>
      </c>
    </row>
    <row r="5591">
      <c r="A5591" s="12" t="inlineStr">
        <is>
          <t>I-P-0335</t>
        </is>
      </c>
      <c r="B5591" s="12" t="inlineStr">
        <is>
          <t>I</t>
        </is>
      </c>
      <c r="C5591" s="12" t="inlineStr">
        <is>
          <t>Modular / portable power</t>
        </is>
      </c>
      <c r="D5591" s="12" t="inlineStr">
        <is>
          <t>Motor 5 of 6, 2 kW</t>
        </is>
      </c>
      <c r="E5591" s="12" t="inlineStr"/>
      <c r="F5591" s="12" t="inlineStr">
        <is>
          <t>MOD-LV 480 V board + 480 V : 13.8 kV step-up</t>
        </is>
      </c>
      <c r="G5591" s="12" t="inlineStr"/>
      <c r="H5591" s="12" t="inlineStr">
        <is>
          <t>T-MOD-1 / T-MOD-2 firewall</t>
        </is>
      </c>
      <c r="I5591" s="12" t="inlineStr">
        <is>
          <t>LV 600 V</t>
        </is>
      </c>
      <c r="J5591" s="12" t="inlineStr">
        <is>
          <t>Type TC-ER 600 V 3/C Cu XHHW-2 + ground, PVC jacket</t>
        </is>
      </c>
      <c r="K5591" s="12" t="inlineStr">
        <is>
          <t>LV|3/C+G|10</t>
        </is>
      </c>
      <c r="L5591" s="12" t="inlineStr">
        <is>
          <t>3/C+G</t>
        </is>
      </c>
      <c r="M5591" s="12" t="inlineStr">
        <is>
          <t>10</t>
        </is>
      </c>
      <c r="N5591" s="12" t="n">
        <v>1</v>
      </c>
      <c r="O5591" s="12" t="n">
        <v>1</v>
      </c>
      <c r="P5591" s="12" t="n">
        <v>480</v>
      </c>
      <c r="Q5591" s="12" t="n">
        <v>2</v>
      </c>
      <c r="R5591" s="12" t="n">
        <v>2.8</v>
      </c>
      <c r="S5591" s="12" t="inlineStr">
        <is>
          <t>Duct bank</t>
        </is>
      </c>
      <c r="T5591" s="17" t="n">
        <v>349</v>
      </c>
      <c r="U5591" s="17" t="n">
        <v>130</v>
      </c>
      <c r="V5591" s="17">
        <f>ROUNDUP((T5591+U5591+2*'Read Me'!$B$13)*(1+'Read Me'!$B$12),-1)</f>
        <v/>
      </c>
      <c r="W5591" s="17">
        <f>V5591*N5591*O5591</f>
        <v/>
      </c>
      <c r="X5591" s="12">
        <f>IF(LEFT(I5591,2)="MV",2*N5591*IF(L5591="1/C",O5591,1),0)</f>
        <v/>
      </c>
      <c r="Y5591" s="12">
        <f>IF(OR(LEFT(K5591,4)="LVAX",LEFT(K5591,6)="MV15AX",LEFT(K5591,4)="CTAX",LEFT(K5591,2)="W|"),2*N5591*O5591,0)</f>
        <v/>
      </c>
      <c r="Z5591" s="12" t="inlineStr">
        <is>
          <t>VD 0.7 %</t>
        </is>
      </c>
      <c r="AA5591" s="12">
        <f>N5591*O5591</f>
        <v/>
      </c>
    </row>
    <row r="5592">
      <c r="A5592" s="12" t="inlineStr">
        <is>
          <t>I-P-0336</t>
        </is>
      </c>
      <c r="B5592" s="12" t="inlineStr">
        <is>
          <t>I</t>
        </is>
      </c>
      <c r="C5592" s="12" t="inlineStr">
        <is>
          <t>Modular / portable power</t>
        </is>
      </c>
      <c r="D5592" s="12" t="inlineStr">
        <is>
          <t>Motor 6 of 6, 2 kW</t>
        </is>
      </c>
      <c r="E5592" s="12" t="inlineStr"/>
      <c r="F5592" s="12" t="inlineStr">
        <is>
          <t>MOD-LV 480 V board + 480 V : 13.8 kV step-up</t>
        </is>
      </c>
      <c r="G5592" s="12" t="inlineStr"/>
      <c r="H5592" s="12" t="inlineStr">
        <is>
          <t>T-MOD-1 / T-MOD-2 firewall</t>
        </is>
      </c>
      <c r="I5592" s="12" t="inlineStr">
        <is>
          <t>LV 600 V</t>
        </is>
      </c>
      <c r="J5592" s="12" t="inlineStr">
        <is>
          <t>Type TC-ER 600 V 3/C Cu XHHW-2 + ground, PVC jacket</t>
        </is>
      </c>
      <c r="K5592" s="12" t="inlineStr">
        <is>
          <t>LV|3/C+G|10</t>
        </is>
      </c>
      <c r="L5592" s="12" t="inlineStr">
        <is>
          <t>3/C+G</t>
        </is>
      </c>
      <c r="M5592" s="12" t="inlineStr">
        <is>
          <t>10</t>
        </is>
      </c>
      <c r="N5592" s="12" t="n">
        <v>1</v>
      </c>
      <c r="O5592" s="12" t="n">
        <v>1</v>
      </c>
      <c r="P5592" s="12" t="n">
        <v>480</v>
      </c>
      <c r="Q5592" s="12" t="n">
        <v>2</v>
      </c>
      <c r="R5592" s="12" t="n">
        <v>2.8</v>
      </c>
      <c r="S5592" s="12" t="inlineStr">
        <is>
          <t>Duct bank</t>
        </is>
      </c>
      <c r="T5592" s="17" t="n">
        <v>349</v>
      </c>
      <c r="U5592" s="17" t="n">
        <v>130</v>
      </c>
      <c r="V5592" s="17">
        <f>ROUNDUP((T5592+U5592+2*'Read Me'!$B$13)*(1+'Read Me'!$B$12),-1)</f>
        <v/>
      </c>
      <c r="W5592" s="17">
        <f>V5592*N5592*O5592</f>
        <v/>
      </c>
      <c r="X5592" s="12">
        <f>IF(LEFT(I5592,2)="MV",2*N5592*IF(L5592="1/C",O5592,1),0)</f>
        <v/>
      </c>
      <c r="Y5592" s="12">
        <f>IF(OR(LEFT(K5592,4)="LVAX",LEFT(K5592,6)="MV15AX",LEFT(K5592,4)="CTAX",LEFT(K5592,2)="W|"),2*N5592*O5592,0)</f>
        <v/>
      </c>
      <c r="Z5592" s="12" t="inlineStr">
        <is>
          <t>VD 0.7 %</t>
        </is>
      </c>
      <c r="AA5592" s="12">
        <f>N5592*O5592</f>
        <v/>
      </c>
    </row>
    <row r="5593">
      <c r="A5593" s="12" t="inlineStr">
        <is>
          <t>I-P-0337</t>
        </is>
      </c>
      <c r="B5593" s="12" t="inlineStr">
        <is>
          <t>I</t>
        </is>
      </c>
      <c r="C5593" s="12" t="inlineStr">
        <is>
          <t>Modular / portable power</t>
        </is>
      </c>
      <c r="D5593" s="12" t="inlineStr">
        <is>
          <t>Motor 1 of 6, 2 kW</t>
        </is>
      </c>
      <c r="E5593" s="12" t="inlineStr"/>
      <c r="F5593" s="12" t="inlineStr">
        <is>
          <t>MOD-LV 480 V board + 480 V : 13.8 kV step-up</t>
        </is>
      </c>
      <c r="G5593" s="12" t="inlineStr">
        <is>
          <t>T-MOD-1</t>
        </is>
      </c>
      <c r="H5593" s="12" t="inlineStr">
        <is>
          <t>T-MOD-1: 13.8/230 kV</t>
        </is>
      </c>
      <c r="I5593" s="12" t="inlineStr">
        <is>
          <t>LV 600 V</t>
        </is>
      </c>
      <c r="J5593" s="12" t="inlineStr">
        <is>
          <t>Type TC-ER 600 V 3/C Cu XHHW-2 + ground, PVC jacket</t>
        </is>
      </c>
      <c r="K5593" s="12" t="inlineStr">
        <is>
          <t>LV|3/C+G|10</t>
        </is>
      </c>
      <c r="L5593" s="12" t="inlineStr">
        <is>
          <t>3/C+G</t>
        </is>
      </c>
      <c r="M5593" s="12" t="inlineStr">
        <is>
          <t>10</t>
        </is>
      </c>
      <c r="N5593" s="12" t="n">
        <v>1</v>
      </c>
      <c r="O5593" s="12" t="n">
        <v>1</v>
      </c>
      <c r="P5593" s="12" t="n">
        <v>480</v>
      </c>
      <c r="Q5593" s="12" t="n">
        <v>2</v>
      </c>
      <c r="R5593" s="12" t="n">
        <v>2.8</v>
      </c>
      <c r="S5593" s="12" t="inlineStr">
        <is>
          <t>Duct bank</t>
        </is>
      </c>
      <c r="T5593" s="17" t="n">
        <v>349</v>
      </c>
      <c r="U5593" s="17" t="n">
        <v>82</v>
      </c>
      <c r="V5593" s="17">
        <f>ROUNDUP((T5593+U5593+2*'Read Me'!$B$13)*(1+'Read Me'!$B$12),-1)</f>
        <v/>
      </c>
      <c r="W5593" s="17">
        <f>V5593*N5593*O5593</f>
        <v/>
      </c>
      <c r="X5593" s="12">
        <f>IF(LEFT(I5593,2)="MV",2*N5593*IF(L5593="1/C",O5593,1),0)</f>
        <v/>
      </c>
      <c r="Y5593" s="12">
        <f>IF(OR(LEFT(K5593,4)="LVAX",LEFT(K5593,6)="MV15AX",LEFT(K5593,4)="CTAX",LEFT(K5593,2)="W|"),2*N5593*O5593,0)</f>
        <v/>
      </c>
      <c r="Z5593" s="12" t="inlineStr">
        <is>
          <t>VD 0.6 %</t>
        </is>
      </c>
      <c r="AA5593" s="12">
        <f>N5593*O5593</f>
        <v/>
      </c>
    </row>
    <row r="5594">
      <c r="A5594" s="12" t="inlineStr">
        <is>
          <t>I-P-0338</t>
        </is>
      </c>
      <c r="B5594" s="12" t="inlineStr">
        <is>
          <t>I</t>
        </is>
      </c>
      <c r="C5594" s="12" t="inlineStr">
        <is>
          <t>Modular / portable power</t>
        </is>
      </c>
      <c r="D5594" s="12" t="inlineStr">
        <is>
          <t>Motor 2 of 6, 2 kW</t>
        </is>
      </c>
      <c r="E5594" s="12" t="inlineStr"/>
      <c r="F5594" s="12" t="inlineStr">
        <is>
          <t>MOD-LV 480 V board + 480 V : 13.8 kV step-up</t>
        </is>
      </c>
      <c r="G5594" s="12" t="inlineStr">
        <is>
          <t>T-MOD-1</t>
        </is>
      </c>
      <c r="H5594" s="12" t="inlineStr">
        <is>
          <t>T-MOD-1: 13.8/230 kV</t>
        </is>
      </c>
      <c r="I5594" s="12" t="inlineStr">
        <is>
          <t>LV 600 V</t>
        </is>
      </c>
      <c r="J5594" s="12" t="inlineStr">
        <is>
          <t>Type TC-ER 600 V 3/C Cu XHHW-2 + ground, PVC jacket</t>
        </is>
      </c>
      <c r="K5594" s="12" t="inlineStr">
        <is>
          <t>LV|3/C+G|10</t>
        </is>
      </c>
      <c r="L5594" s="12" t="inlineStr">
        <is>
          <t>3/C+G</t>
        </is>
      </c>
      <c r="M5594" s="12" t="inlineStr">
        <is>
          <t>10</t>
        </is>
      </c>
      <c r="N5594" s="12" t="n">
        <v>1</v>
      </c>
      <c r="O5594" s="12" t="n">
        <v>1</v>
      </c>
      <c r="P5594" s="12" t="n">
        <v>480</v>
      </c>
      <c r="Q5594" s="12" t="n">
        <v>2</v>
      </c>
      <c r="R5594" s="12" t="n">
        <v>2.8</v>
      </c>
      <c r="S5594" s="12" t="inlineStr">
        <is>
          <t>Duct bank</t>
        </is>
      </c>
      <c r="T5594" s="17" t="n">
        <v>349</v>
      </c>
      <c r="U5594" s="17" t="n">
        <v>82</v>
      </c>
      <c r="V5594" s="17">
        <f>ROUNDUP((T5594+U5594+2*'Read Me'!$B$13)*(1+'Read Me'!$B$12),-1)</f>
        <v/>
      </c>
      <c r="W5594" s="17">
        <f>V5594*N5594*O5594</f>
        <v/>
      </c>
      <c r="X5594" s="12">
        <f>IF(LEFT(I5594,2)="MV",2*N5594*IF(L5594="1/C",O5594,1),0)</f>
        <v/>
      </c>
      <c r="Y5594" s="12">
        <f>IF(OR(LEFT(K5594,4)="LVAX",LEFT(K5594,6)="MV15AX",LEFT(K5594,4)="CTAX",LEFT(K5594,2)="W|"),2*N5594*O5594,0)</f>
        <v/>
      </c>
      <c r="Z5594" s="12" t="inlineStr">
        <is>
          <t>VD 0.6 %</t>
        </is>
      </c>
      <c r="AA5594" s="12">
        <f>N5594*O5594</f>
        <v/>
      </c>
    </row>
    <row r="5595">
      <c r="A5595" s="12" t="inlineStr">
        <is>
          <t>I-P-0339</t>
        </is>
      </c>
      <c r="B5595" s="12" t="inlineStr">
        <is>
          <t>I</t>
        </is>
      </c>
      <c r="C5595" s="12" t="inlineStr">
        <is>
          <t>Modular / portable power</t>
        </is>
      </c>
      <c r="D5595" s="12" t="inlineStr">
        <is>
          <t>Motor 3 of 6, 2 kW</t>
        </is>
      </c>
      <c r="E5595" s="12" t="inlineStr"/>
      <c r="F5595" s="12" t="inlineStr">
        <is>
          <t>MOD-LV 480 V board + 480 V : 13.8 kV step-up</t>
        </is>
      </c>
      <c r="G5595" s="12" t="inlineStr">
        <is>
          <t>T-MOD-1</t>
        </is>
      </c>
      <c r="H5595" s="12" t="inlineStr">
        <is>
          <t>T-MOD-1: 13.8/230 kV</t>
        </is>
      </c>
      <c r="I5595" s="12" t="inlineStr">
        <is>
          <t>LV 600 V</t>
        </is>
      </c>
      <c r="J5595" s="12" t="inlineStr">
        <is>
          <t>Type TC-ER 600 V 3/C Cu XHHW-2 + ground, PVC jacket</t>
        </is>
      </c>
      <c r="K5595" s="12" t="inlineStr">
        <is>
          <t>LV|3/C+G|10</t>
        </is>
      </c>
      <c r="L5595" s="12" t="inlineStr">
        <is>
          <t>3/C+G</t>
        </is>
      </c>
      <c r="M5595" s="12" t="inlineStr">
        <is>
          <t>10</t>
        </is>
      </c>
      <c r="N5595" s="12" t="n">
        <v>1</v>
      </c>
      <c r="O5595" s="12" t="n">
        <v>1</v>
      </c>
      <c r="P5595" s="12" t="n">
        <v>480</v>
      </c>
      <c r="Q5595" s="12" t="n">
        <v>2</v>
      </c>
      <c r="R5595" s="12" t="n">
        <v>2.8</v>
      </c>
      <c r="S5595" s="12" t="inlineStr">
        <is>
          <t>Duct bank</t>
        </is>
      </c>
      <c r="T5595" s="17" t="n">
        <v>349</v>
      </c>
      <c r="U5595" s="17" t="n">
        <v>82</v>
      </c>
      <c r="V5595" s="17">
        <f>ROUNDUP((T5595+U5595+2*'Read Me'!$B$13)*(1+'Read Me'!$B$12),-1)</f>
        <v/>
      </c>
      <c r="W5595" s="17">
        <f>V5595*N5595*O5595</f>
        <v/>
      </c>
      <c r="X5595" s="12">
        <f>IF(LEFT(I5595,2)="MV",2*N5595*IF(L5595="1/C",O5595,1),0)</f>
        <v/>
      </c>
      <c r="Y5595" s="12">
        <f>IF(OR(LEFT(K5595,4)="LVAX",LEFT(K5595,6)="MV15AX",LEFT(K5595,4)="CTAX",LEFT(K5595,2)="W|"),2*N5595*O5595,0)</f>
        <v/>
      </c>
      <c r="Z5595" s="12" t="inlineStr">
        <is>
          <t>VD 0.6 %</t>
        </is>
      </c>
      <c r="AA5595" s="12">
        <f>N5595*O5595</f>
        <v/>
      </c>
    </row>
    <row r="5596">
      <c r="A5596" s="12" t="inlineStr">
        <is>
          <t>I-P-0340</t>
        </is>
      </c>
      <c r="B5596" s="12" t="inlineStr">
        <is>
          <t>I</t>
        </is>
      </c>
      <c r="C5596" s="12" t="inlineStr">
        <is>
          <t>Modular / portable power</t>
        </is>
      </c>
      <c r="D5596" s="12" t="inlineStr">
        <is>
          <t>Motor 4 of 6, 2 kW</t>
        </is>
      </c>
      <c r="E5596" s="12" t="inlineStr"/>
      <c r="F5596" s="12" t="inlineStr">
        <is>
          <t>MOD-LV 480 V board + 480 V : 13.8 kV step-up</t>
        </is>
      </c>
      <c r="G5596" s="12" t="inlineStr">
        <is>
          <t>T-MOD-1</t>
        </is>
      </c>
      <c r="H5596" s="12" t="inlineStr">
        <is>
          <t>T-MOD-1: 13.8/230 kV</t>
        </is>
      </c>
      <c r="I5596" s="12" t="inlineStr">
        <is>
          <t>LV 600 V</t>
        </is>
      </c>
      <c r="J5596" s="12" t="inlineStr">
        <is>
          <t>Type TC-ER 600 V 3/C Cu XHHW-2 + ground, PVC jacket</t>
        </is>
      </c>
      <c r="K5596" s="12" t="inlineStr">
        <is>
          <t>LV|3/C+G|10</t>
        </is>
      </c>
      <c r="L5596" s="12" t="inlineStr">
        <is>
          <t>3/C+G</t>
        </is>
      </c>
      <c r="M5596" s="12" t="inlineStr">
        <is>
          <t>10</t>
        </is>
      </c>
      <c r="N5596" s="12" t="n">
        <v>1</v>
      </c>
      <c r="O5596" s="12" t="n">
        <v>1</v>
      </c>
      <c r="P5596" s="12" t="n">
        <v>480</v>
      </c>
      <c r="Q5596" s="12" t="n">
        <v>2</v>
      </c>
      <c r="R5596" s="12" t="n">
        <v>2.8</v>
      </c>
      <c r="S5596" s="12" t="inlineStr">
        <is>
          <t>Duct bank</t>
        </is>
      </c>
      <c r="T5596" s="17" t="n">
        <v>349</v>
      </c>
      <c r="U5596" s="17" t="n">
        <v>82</v>
      </c>
      <c r="V5596" s="17">
        <f>ROUNDUP((T5596+U5596+2*'Read Me'!$B$13)*(1+'Read Me'!$B$12),-1)</f>
        <v/>
      </c>
      <c r="W5596" s="17">
        <f>V5596*N5596*O5596</f>
        <v/>
      </c>
      <c r="X5596" s="12">
        <f>IF(LEFT(I5596,2)="MV",2*N5596*IF(L5596="1/C",O5596,1),0)</f>
        <v/>
      </c>
      <c r="Y5596" s="12">
        <f>IF(OR(LEFT(K5596,4)="LVAX",LEFT(K5596,6)="MV15AX",LEFT(K5596,4)="CTAX",LEFT(K5596,2)="W|"),2*N5596*O5596,0)</f>
        <v/>
      </c>
      <c r="Z5596" s="12" t="inlineStr">
        <is>
          <t>VD 0.6 %</t>
        </is>
      </c>
      <c r="AA5596" s="12">
        <f>N5596*O5596</f>
        <v/>
      </c>
    </row>
    <row r="5597">
      <c r="A5597" s="12" t="inlineStr">
        <is>
          <t>I-P-0341</t>
        </is>
      </c>
      <c r="B5597" s="12" t="inlineStr">
        <is>
          <t>I</t>
        </is>
      </c>
      <c r="C5597" s="12" t="inlineStr">
        <is>
          <t>Modular / portable power</t>
        </is>
      </c>
      <c r="D5597" s="12" t="inlineStr">
        <is>
          <t>Motor 5 of 6, 2 kW</t>
        </is>
      </c>
      <c r="E5597" s="12" t="inlineStr"/>
      <c r="F5597" s="12" t="inlineStr">
        <is>
          <t>MOD-LV 480 V board + 480 V : 13.8 kV step-up</t>
        </is>
      </c>
      <c r="G5597" s="12" t="inlineStr">
        <is>
          <t>T-MOD-1</t>
        </is>
      </c>
      <c r="H5597" s="12" t="inlineStr">
        <is>
          <t>T-MOD-1: 13.8/230 kV</t>
        </is>
      </c>
      <c r="I5597" s="12" t="inlineStr">
        <is>
          <t>LV 600 V</t>
        </is>
      </c>
      <c r="J5597" s="12" t="inlineStr">
        <is>
          <t>Type TC-ER 600 V 3/C Cu XHHW-2 + ground, PVC jacket</t>
        </is>
      </c>
      <c r="K5597" s="12" t="inlineStr">
        <is>
          <t>LV|3/C+G|10</t>
        </is>
      </c>
      <c r="L5597" s="12" t="inlineStr">
        <is>
          <t>3/C+G</t>
        </is>
      </c>
      <c r="M5597" s="12" t="inlineStr">
        <is>
          <t>10</t>
        </is>
      </c>
      <c r="N5597" s="12" t="n">
        <v>1</v>
      </c>
      <c r="O5597" s="12" t="n">
        <v>1</v>
      </c>
      <c r="P5597" s="12" t="n">
        <v>480</v>
      </c>
      <c r="Q5597" s="12" t="n">
        <v>2</v>
      </c>
      <c r="R5597" s="12" t="n">
        <v>2.8</v>
      </c>
      <c r="S5597" s="12" t="inlineStr">
        <is>
          <t>Duct bank</t>
        </is>
      </c>
      <c r="T5597" s="17" t="n">
        <v>349</v>
      </c>
      <c r="U5597" s="17" t="n">
        <v>82</v>
      </c>
      <c r="V5597" s="17">
        <f>ROUNDUP((T5597+U5597+2*'Read Me'!$B$13)*(1+'Read Me'!$B$12),-1)</f>
        <v/>
      </c>
      <c r="W5597" s="17">
        <f>V5597*N5597*O5597</f>
        <v/>
      </c>
      <c r="X5597" s="12">
        <f>IF(LEFT(I5597,2)="MV",2*N5597*IF(L5597="1/C",O5597,1),0)</f>
        <v/>
      </c>
      <c r="Y5597" s="12">
        <f>IF(OR(LEFT(K5597,4)="LVAX",LEFT(K5597,6)="MV15AX",LEFT(K5597,4)="CTAX",LEFT(K5597,2)="W|"),2*N5597*O5597,0)</f>
        <v/>
      </c>
      <c r="Z5597" s="12" t="inlineStr">
        <is>
          <t>VD 0.6 %</t>
        </is>
      </c>
      <c r="AA5597" s="12">
        <f>N5597*O5597</f>
        <v/>
      </c>
    </row>
    <row r="5598">
      <c r="A5598" s="12" t="inlineStr">
        <is>
          <t>I-P-0342</t>
        </is>
      </c>
      <c r="B5598" s="12" t="inlineStr">
        <is>
          <t>I</t>
        </is>
      </c>
      <c r="C5598" s="12" t="inlineStr">
        <is>
          <t>Modular / portable power</t>
        </is>
      </c>
      <c r="D5598" s="12" t="inlineStr">
        <is>
          <t>Motor 6 of 6, 2 kW</t>
        </is>
      </c>
      <c r="E5598" s="12" t="inlineStr"/>
      <c r="F5598" s="12" t="inlineStr">
        <is>
          <t>MOD-LV 480 V board + 480 V : 13.8 kV step-up</t>
        </is>
      </c>
      <c r="G5598" s="12" t="inlineStr">
        <is>
          <t>T-MOD-1</t>
        </is>
      </c>
      <c r="H5598" s="12" t="inlineStr">
        <is>
          <t>T-MOD-1: 13.8/230 kV</t>
        </is>
      </c>
      <c r="I5598" s="12" t="inlineStr">
        <is>
          <t>LV 600 V</t>
        </is>
      </c>
      <c r="J5598" s="12" t="inlineStr">
        <is>
          <t>Type TC-ER 600 V 3/C Cu XHHW-2 + ground, PVC jacket</t>
        </is>
      </c>
      <c r="K5598" s="12" t="inlineStr">
        <is>
          <t>LV|3/C+G|10</t>
        </is>
      </c>
      <c r="L5598" s="12" t="inlineStr">
        <is>
          <t>3/C+G</t>
        </is>
      </c>
      <c r="M5598" s="12" t="inlineStr">
        <is>
          <t>10</t>
        </is>
      </c>
      <c r="N5598" s="12" t="n">
        <v>1</v>
      </c>
      <c r="O5598" s="12" t="n">
        <v>1</v>
      </c>
      <c r="P5598" s="12" t="n">
        <v>480</v>
      </c>
      <c r="Q5598" s="12" t="n">
        <v>2</v>
      </c>
      <c r="R5598" s="12" t="n">
        <v>2.8</v>
      </c>
      <c r="S5598" s="12" t="inlineStr">
        <is>
          <t>Duct bank</t>
        </is>
      </c>
      <c r="T5598" s="17" t="n">
        <v>349</v>
      </c>
      <c r="U5598" s="17" t="n">
        <v>82</v>
      </c>
      <c r="V5598" s="17">
        <f>ROUNDUP((T5598+U5598+2*'Read Me'!$B$13)*(1+'Read Me'!$B$12),-1)</f>
        <v/>
      </c>
      <c r="W5598" s="17">
        <f>V5598*N5598*O5598</f>
        <v/>
      </c>
      <c r="X5598" s="12">
        <f>IF(LEFT(I5598,2)="MV",2*N5598*IF(L5598="1/C",O5598,1),0)</f>
        <v/>
      </c>
      <c r="Y5598" s="12">
        <f>IF(OR(LEFT(K5598,4)="LVAX",LEFT(K5598,6)="MV15AX",LEFT(K5598,4)="CTAX",LEFT(K5598,2)="W|"),2*N5598*O5598,0)</f>
        <v/>
      </c>
      <c r="Z5598" s="12" t="inlineStr">
        <is>
          <t>VD 0.6 %</t>
        </is>
      </c>
      <c r="AA5598" s="12">
        <f>N5598*O5598</f>
        <v/>
      </c>
    </row>
    <row r="5599">
      <c r="A5599" s="12" t="inlineStr">
        <is>
          <t>I-P-0343</t>
        </is>
      </c>
      <c r="B5599" s="12" t="inlineStr">
        <is>
          <t>I</t>
        </is>
      </c>
      <c r="C5599" s="12" t="inlineStr">
        <is>
          <t>Modular / portable power</t>
        </is>
      </c>
      <c r="D5599" s="12" t="inlineStr">
        <is>
          <t>Motor 1 of 6, 2 kW</t>
        </is>
      </c>
      <c r="E5599" s="12" t="inlineStr"/>
      <c r="F5599" s="12" t="inlineStr">
        <is>
          <t>MOD-LV 480 V board + 480 V : 13.8 kV step-up</t>
        </is>
      </c>
      <c r="G5599" s="12" t="inlineStr">
        <is>
          <t>T-MOD-2</t>
        </is>
      </c>
      <c r="H5599" s="12" t="inlineStr">
        <is>
          <t>T-MOD-2: 13.8/230 kV</t>
        </is>
      </c>
      <c r="I5599" s="12" t="inlineStr">
        <is>
          <t>LV 600 V</t>
        </is>
      </c>
      <c r="J5599" s="12" t="inlineStr">
        <is>
          <t>Type TC-ER 600 V 3/C Cu XHHW-2 + ground, PVC jacket</t>
        </is>
      </c>
      <c r="K5599" s="12" t="inlineStr">
        <is>
          <t>LV|3/C+G|10</t>
        </is>
      </c>
      <c r="L5599" s="12" t="inlineStr">
        <is>
          <t>3/C+G</t>
        </is>
      </c>
      <c r="M5599" s="12" t="inlineStr">
        <is>
          <t>10</t>
        </is>
      </c>
      <c r="N5599" s="12" t="n">
        <v>1</v>
      </c>
      <c r="O5599" s="12" t="n">
        <v>1</v>
      </c>
      <c r="P5599" s="12" t="n">
        <v>480</v>
      </c>
      <c r="Q5599" s="12" t="n">
        <v>2</v>
      </c>
      <c r="R5599" s="12" t="n">
        <v>2.8</v>
      </c>
      <c r="S5599" s="12" t="inlineStr">
        <is>
          <t>Duct bank</t>
        </is>
      </c>
      <c r="T5599" s="17" t="n">
        <v>60</v>
      </c>
      <c r="U5599" s="17" t="n">
        <v>144</v>
      </c>
      <c r="V5599" s="17">
        <f>ROUNDUP((T5599+U5599+2*'Read Me'!$B$13)*(1+'Read Me'!$B$12),-1)</f>
        <v/>
      </c>
      <c r="W5599" s="17">
        <f>V5599*N5599*O5599</f>
        <v/>
      </c>
      <c r="X5599" s="12">
        <f>IF(LEFT(I5599,2)="MV",2*N5599*IF(L5599="1/C",O5599,1),0)</f>
        <v/>
      </c>
      <c r="Y5599" s="12">
        <f>IF(OR(LEFT(K5599,4)="LVAX",LEFT(K5599,6)="MV15AX",LEFT(K5599,4)="CTAX",LEFT(K5599,2)="W|"),2*N5599*O5599,0)</f>
        <v/>
      </c>
      <c r="Z5599" s="12" t="inlineStr">
        <is>
          <t>VD 0.3 %</t>
        </is>
      </c>
      <c r="AA5599" s="12">
        <f>N5599*O5599</f>
        <v/>
      </c>
    </row>
    <row r="5600">
      <c r="A5600" s="12" t="inlineStr">
        <is>
          <t>I-P-0344</t>
        </is>
      </c>
      <c r="B5600" s="12" t="inlineStr">
        <is>
          <t>I</t>
        </is>
      </c>
      <c r="C5600" s="12" t="inlineStr">
        <is>
          <t>Modular / portable power</t>
        </is>
      </c>
      <c r="D5600" s="12" t="inlineStr">
        <is>
          <t>Motor 2 of 6, 2 kW</t>
        </is>
      </c>
      <c r="E5600" s="12" t="inlineStr"/>
      <c r="F5600" s="12" t="inlineStr">
        <is>
          <t>MOD-LV 480 V board + 480 V : 13.8 kV step-up</t>
        </is>
      </c>
      <c r="G5600" s="12" t="inlineStr">
        <is>
          <t>T-MOD-2</t>
        </is>
      </c>
      <c r="H5600" s="12" t="inlineStr">
        <is>
          <t>T-MOD-2: 13.8/230 kV</t>
        </is>
      </c>
      <c r="I5600" s="12" t="inlineStr">
        <is>
          <t>LV 600 V</t>
        </is>
      </c>
      <c r="J5600" s="12" t="inlineStr">
        <is>
          <t>Type TC-ER 600 V 3/C Cu XHHW-2 + ground, PVC jacket</t>
        </is>
      </c>
      <c r="K5600" s="12" t="inlineStr">
        <is>
          <t>LV|3/C+G|10</t>
        </is>
      </c>
      <c r="L5600" s="12" t="inlineStr">
        <is>
          <t>3/C+G</t>
        </is>
      </c>
      <c r="M5600" s="12" t="inlineStr">
        <is>
          <t>10</t>
        </is>
      </c>
      <c r="N5600" s="12" t="n">
        <v>1</v>
      </c>
      <c r="O5600" s="12" t="n">
        <v>1</v>
      </c>
      <c r="P5600" s="12" t="n">
        <v>480</v>
      </c>
      <c r="Q5600" s="12" t="n">
        <v>2</v>
      </c>
      <c r="R5600" s="12" t="n">
        <v>2.8</v>
      </c>
      <c r="S5600" s="12" t="inlineStr">
        <is>
          <t>Duct bank</t>
        </is>
      </c>
      <c r="T5600" s="17" t="n">
        <v>60</v>
      </c>
      <c r="U5600" s="17" t="n">
        <v>144</v>
      </c>
      <c r="V5600" s="17">
        <f>ROUNDUP((T5600+U5600+2*'Read Me'!$B$13)*(1+'Read Me'!$B$12),-1)</f>
        <v/>
      </c>
      <c r="W5600" s="17">
        <f>V5600*N5600*O5600</f>
        <v/>
      </c>
      <c r="X5600" s="12">
        <f>IF(LEFT(I5600,2)="MV",2*N5600*IF(L5600="1/C",O5600,1),0)</f>
        <v/>
      </c>
      <c r="Y5600" s="12">
        <f>IF(OR(LEFT(K5600,4)="LVAX",LEFT(K5600,6)="MV15AX",LEFT(K5600,4)="CTAX",LEFT(K5600,2)="W|"),2*N5600*O5600,0)</f>
        <v/>
      </c>
      <c r="Z5600" s="12" t="inlineStr">
        <is>
          <t>VD 0.3 %</t>
        </is>
      </c>
      <c r="AA5600" s="12">
        <f>N5600*O5600</f>
        <v/>
      </c>
    </row>
    <row r="5601">
      <c r="A5601" s="12" t="inlineStr">
        <is>
          <t>I-P-0345</t>
        </is>
      </c>
      <c r="B5601" s="12" t="inlineStr">
        <is>
          <t>I</t>
        </is>
      </c>
      <c r="C5601" s="12" t="inlineStr">
        <is>
          <t>Modular / portable power</t>
        </is>
      </c>
      <c r="D5601" s="12" t="inlineStr">
        <is>
          <t>Motor 3 of 6, 2 kW</t>
        </is>
      </c>
      <c r="E5601" s="12" t="inlineStr"/>
      <c r="F5601" s="12" t="inlineStr">
        <is>
          <t>MOD-LV 480 V board + 480 V : 13.8 kV step-up</t>
        </is>
      </c>
      <c r="G5601" s="12" t="inlineStr">
        <is>
          <t>T-MOD-2</t>
        </is>
      </c>
      <c r="H5601" s="12" t="inlineStr">
        <is>
          <t>T-MOD-2: 13.8/230 kV</t>
        </is>
      </c>
      <c r="I5601" s="12" t="inlineStr">
        <is>
          <t>LV 600 V</t>
        </is>
      </c>
      <c r="J5601" s="12" t="inlineStr">
        <is>
          <t>Type TC-ER 600 V 3/C Cu XHHW-2 + ground, PVC jacket</t>
        </is>
      </c>
      <c r="K5601" s="12" t="inlineStr">
        <is>
          <t>LV|3/C+G|10</t>
        </is>
      </c>
      <c r="L5601" s="12" t="inlineStr">
        <is>
          <t>3/C+G</t>
        </is>
      </c>
      <c r="M5601" s="12" t="inlineStr">
        <is>
          <t>10</t>
        </is>
      </c>
      <c r="N5601" s="12" t="n">
        <v>1</v>
      </c>
      <c r="O5601" s="12" t="n">
        <v>1</v>
      </c>
      <c r="P5601" s="12" t="n">
        <v>480</v>
      </c>
      <c r="Q5601" s="12" t="n">
        <v>2</v>
      </c>
      <c r="R5601" s="12" t="n">
        <v>2.8</v>
      </c>
      <c r="S5601" s="12" t="inlineStr">
        <is>
          <t>Duct bank</t>
        </is>
      </c>
      <c r="T5601" s="17" t="n">
        <v>60</v>
      </c>
      <c r="U5601" s="17" t="n">
        <v>144</v>
      </c>
      <c r="V5601" s="17">
        <f>ROUNDUP((T5601+U5601+2*'Read Me'!$B$13)*(1+'Read Me'!$B$12),-1)</f>
        <v/>
      </c>
      <c r="W5601" s="17">
        <f>V5601*N5601*O5601</f>
        <v/>
      </c>
      <c r="X5601" s="12">
        <f>IF(LEFT(I5601,2)="MV",2*N5601*IF(L5601="1/C",O5601,1),0)</f>
        <v/>
      </c>
      <c r="Y5601" s="12">
        <f>IF(OR(LEFT(K5601,4)="LVAX",LEFT(K5601,6)="MV15AX",LEFT(K5601,4)="CTAX",LEFT(K5601,2)="W|"),2*N5601*O5601,0)</f>
        <v/>
      </c>
      <c r="Z5601" s="12" t="inlineStr">
        <is>
          <t>VD 0.3 %</t>
        </is>
      </c>
      <c r="AA5601" s="12">
        <f>N5601*O5601</f>
        <v/>
      </c>
    </row>
    <row r="5602">
      <c r="A5602" s="12" t="inlineStr">
        <is>
          <t>I-P-0346</t>
        </is>
      </c>
      <c r="B5602" s="12" t="inlineStr">
        <is>
          <t>I</t>
        </is>
      </c>
      <c r="C5602" s="12" t="inlineStr">
        <is>
          <t>Modular / portable power</t>
        </is>
      </c>
      <c r="D5602" s="12" t="inlineStr">
        <is>
          <t>Motor 4 of 6, 2 kW</t>
        </is>
      </c>
      <c r="E5602" s="12" t="inlineStr"/>
      <c r="F5602" s="12" t="inlineStr">
        <is>
          <t>MOD-LV 480 V board + 480 V : 13.8 kV step-up</t>
        </is>
      </c>
      <c r="G5602" s="12" t="inlineStr">
        <is>
          <t>T-MOD-2</t>
        </is>
      </c>
      <c r="H5602" s="12" t="inlineStr">
        <is>
          <t>T-MOD-2: 13.8/230 kV</t>
        </is>
      </c>
      <c r="I5602" s="12" t="inlineStr">
        <is>
          <t>LV 600 V</t>
        </is>
      </c>
      <c r="J5602" s="12" t="inlineStr">
        <is>
          <t>Type TC-ER 600 V 3/C Cu XHHW-2 + ground, PVC jacket</t>
        </is>
      </c>
      <c r="K5602" s="12" t="inlineStr">
        <is>
          <t>LV|3/C+G|10</t>
        </is>
      </c>
      <c r="L5602" s="12" t="inlineStr">
        <is>
          <t>3/C+G</t>
        </is>
      </c>
      <c r="M5602" s="12" t="inlineStr">
        <is>
          <t>10</t>
        </is>
      </c>
      <c r="N5602" s="12" t="n">
        <v>1</v>
      </c>
      <c r="O5602" s="12" t="n">
        <v>1</v>
      </c>
      <c r="P5602" s="12" t="n">
        <v>480</v>
      </c>
      <c r="Q5602" s="12" t="n">
        <v>2</v>
      </c>
      <c r="R5602" s="12" t="n">
        <v>2.8</v>
      </c>
      <c r="S5602" s="12" t="inlineStr">
        <is>
          <t>Duct bank</t>
        </is>
      </c>
      <c r="T5602" s="17" t="n">
        <v>60</v>
      </c>
      <c r="U5602" s="17" t="n">
        <v>144</v>
      </c>
      <c r="V5602" s="17">
        <f>ROUNDUP((T5602+U5602+2*'Read Me'!$B$13)*(1+'Read Me'!$B$12),-1)</f>
        <v/>
      </c>
      <c r="W5602" s="17">
        <f>V5602*N5602*O5602</f>
        <v/>
      </c>
      <c r="X5602" s="12">
        <f>IF(LEFT(I5602,2)="MV",2*N5602*IF(L5602="1/C",O5602,1),0)</f>
        <v/>
      </c>
      <c r="Y5602" s="12">
        <f>IF(OR(LEFT(K5602,4)="LVAX",LEFT(K5602,6)="MV15AX",LEFT(K5602,4)="CTAX",LEFT(K5602,2)="W|"),2*N5602*O5602,0)</f>
        <v/>
      </c>
      <c r="Z5602" s="12" t="inlineStr">
        <is>
          <t>VD 0.3 %</t>
        </is>
      </c>
      <c r="AA5602" s="12">
        <f>N5602*O5602</f>
        <v/>
      </c>
    </row>
    <row r="5603">
      <c r="A5603" s="12" t="inlineStr">
        <is>
          <t>I-P-0347</t>
        </is>
      </c>
      <c r="B5603" s="12" t="inlineStr">
        <is>
          <t>I</t>
        </is>
      </c>
      <c r="C5603" s="12" t="inlineStr">
        <is>
          <t>Modular / portable power</t>
        </is>
      </c>
      <c r="D5603" s="12" t="inlineStr">
        <is>
          <t>Motor 5 of 6, 2 kW</t>
        </is>
      </c>
      <c r="E5603" s="12" t="inlineStr"/>
      <c r="F5603" s="12" t="inlineStr">
        <is>
          <t>MOD-LV 480 V board + 480 V : 13.8 kV step-up</t>
        </is>
      </c>
      <c r="G5603" s="12" t="inlineStr">
        <is>
          <t>T-MOD-2</t>
        </is>
      </c>
      <c r="H5603" s="12" t="inlineStr">
        <is>
          <t>T-MOD-2: 13.8/230 kV</t>
        </is>
      </c>
      <c r="I5603" s="12" t="inlineStr">
        <is>
          <t>LV 600 V</t>
        </is>
      </c>
      <c r="J5603" s="12" t="inlineStr">
        <is>
          <t>Type TC-ER 600 V 3/C Cu XHHW-2 + ground, PVC jacket</t>
        </is>
      </c>
      <c r="K5603" s="12" t="inlineStr">
        <is>
          <t>LV|3/C+G|10</t>
        </is>
      </c>
      <c r="L5603" s="12" t="inlineStr">
        <is>
          <t>3/C+G</t>
        </is>
      </c>
      <c r="M5603" s="12" t="inlineStr">
        <is>
          <t>10</t>
        </is>
      </c>
      <c r="N5603" s="12" t="n">
        <v>1</v>
      </c>
      <c r="O5603" s="12" t="n">
        <v>1</v>
      </c>
      <c r="P5603" s="12" t="n">
        <v>480</v>
      </c>
      <c r="Q5603" s="12" t="n">
        <v>2</v>
      </c>
      <c r="R5603" s="12" t="n">
        <v>2.8</v>
      </c>
      <c r="S5603" s="12" t="inlineStr">
        <is>
          <t>Duct bank</t>
        </is>
      </c>
      <c r="T5603" s="17" t="n">
        <v>60</v>
      </c>
      <c r="U5603" s="17" t="n">
        <v>144</v>
      </c>
      <c r="V5603" s="17">
        <f>ROUNDUP((T5603+U5603+2*'Read Me'!$B$13)*(1+'Read Me'!$B$12),-1)</f>
        <v/>
      </c>
      <c r="W5603" s="17">
        <f>V5603*N5603*O5603</f>
        <v/>
      </c>
      <c r="X5603" s="12">
        <f>IF(LEFT(I5603,2)="MV",2*N5603*IF(L5603="1/C",O5603,1),0)</f>
        <v/>
      </c>
      <c r="Y5603" s="12">
        <f>IF(OR(LEFT(K5603,4)="LVAX",LEFT(K5603,6)="MV15AX",LEFT(K5603,4)="CTAX",LEFT(K5603,2)="W|"),2*N5603*O5603,0)</f>
        <v/>
      </c>
      <c r="Z5603" s="12" t="inlineStr">
        <is>
          <t>VD 0.3 %</t>
        </is>
      </c>
      <c r="AA5603" s="12">
        <f>N5603*O5603</f>
        <v/>
      </c>
    </row>
    <row r="5604">
      <c r="A5604" s="12" t="inlineStr">
        <is>
          <t>I-P-0348</t>
        </is>
      </c>
      <c r="B5604" s="12" t="inlineStr">
        <is>
          <t>I</t>
        </is>
      </c>
      <c r="C5604" s="12" t="inlineStr">
        <is>
          <t>Modular / portable power</t>
        </is>
      </c>
      <c r="D5604" s="12" t="inlineStr">
        <is>
          <t>Motor 6 of 6, 2 kW</t>
        </is>
      </c>
      <c r="E5604" s="12" t="inlineStr"/>
      <c r="F5604" s="12" t="inlineStr">
        <is>
          <t>MOD-LV 480 V board + 480 V : 13.8 kV step-up</t>
        </is>
      </c>
      <c r="G5604" s="12" t="inlineStr">
        <is>
          <t>T-MOD-2</t>
        </is>
      </c>
      <c r="H5604" s="12" t="inlineStr">
        <is>
          <t>T-MOD-2: 13.8/230 kV</t>
        </is>
      </c>
      <c r="I5604" s="12" t="inlineStr">
        <is>
          <t>LV 600 V</t>
        </is>
      </c>
      <c r="J5604" s="12" t="inlineStr">
        <is>
          <t>Type TC-ER 600 V 3/C Cu XHHW-2 + ground, PVC jacket</t>
        </is>
      </c>
      <c r="K5604" s="12" t="inlineStr">
        <is>
          <t>LV|3/C+G|10</t>
        </is>
      </c>
      <c r="L5604" s="12" t="inlineStr">
        <is>
          <t>3/C+G</t>
        </is>
      </c>
      <c r="M5604" s="12" t="inlineStr">
        <is>
          <t>10</t>
        </is>
      </c>
      <c r="N5604" s="12" t="n">
        <v>1</v>
      </c>
      <c r="O5604" s="12" t="n">
        <v>1</v>
      </c>
      <c r="P5604" s="12" t="n">
        <v>480</v>
      </c>
      <c r="Q5604" s="12" t="n">
        <v>2</v>
      </c>
      <c r="R5604" s="12" t="n">
        <v>2.8</v>
      </c>
      <c r="S5604" s="12" t="inlineStr">
        <is>
          <t>Duct bank</t>
        </is>
      </c>
      <c r="T5604" s="17" t="n">
        <v>60</v>
      </c>
      <c r="U5604" s="17" t="n">
        <v>144</v>
      </c>
      <c r="V5604" s="17">
        <f>ROUNDUP((T5604+U5604+2*'Read Me'!$B$13)*(1+'Read Me'!$B$12),-1)</f>
        <v/>
      </c>
      <c r="W5604" s="17">
        <f>V5604*N5604*O5604</f>
        <v/>
      </c>
      <c r="X5604" s="12">
        <f>IF(LEFT(I5604,2)="MV",2*N5604*IF(L5604="1/C",O5604,1),0)</f>
        <v/>
      </c>
      <c r="Y5604" s="12">
        <f>IF(OR(LEFT(K5604,4)="LVAX",LEFT(K5604,6)="MV15AX",LEFT(K5604,4)="CTAX",LEFT(K5604,2)="W|"),2*N5604*O5604,0)</f>
        <v/>
      </c>
      <c r="Z5604" s="12" t="inlineStr">
        <is>
          <t>VD 0.3 %</t>
        </is>
      </c>
      <c r="AA5604" s="12">
        <f>N5604*O5604</f>
        <v/>
      </c>
    </row>
    <row r="5605">
      <c r="A5605" s="12" t="inlineStr">
        <is>
          <t>I-P-0349</t>
        </is>
      </c>
      <c r="B5605" s="12" t="inlineStr">
        <is>
          <t>I</t>
        </is>
      </c>
      <c r="C5605" s="12" t="inlineStr">
        <is>
          <t>Modular / portable power</t>
        </is>
      </c>
      <c r="D5605" s="12" t="inlineStr">
        <is>
          <t>Motor 1 of 6, 22 kW</t>
        </is>
      </c>
      <c r="E5605" s="12" t="inlineStr"/>
      <c r="F5605" s="12" t="inlineStr">
        <is>
          <t>MOD-LV 480 V board + 480 V : 13.8 kV step-up</t>
        </is>
      </c>
      <c r="G5605" s="12" t="inlineStr">
        <is>
          <t>TM-1</t>
        </is>
      </c>
      <c r="H5605" s="12" t="inlineStr">
        <is>
          <t>TM-1: trailer-mounted aeroderivative GT (TM2500 class, ~35 MW)</t>
        </is>
      </c>
      <c r="I5605" s="12" t="inlineStr">
        <is>
          <t>LV 600 V</t>
        </is>
      </c>
      <c r="J5605" s="12" t="inlineStr">
        <is>
          <t>Type TC-ER 600 V 3/C Cu XHHW-2 + ground, PVC jacket</t>
        </is>
      </c>
      <c r="K5605" s="12" t="inlineStr">
        <is>
          <t>LV|3/C+G|4/0</t>
        </is>
      </c>
      <c r="L5605" s="12" t="inlineStr">
        <is>
          <t>3/C+G</t>
        </is>
      </c>
      <c r="M5605" s="12" t="inlineStr">
        <is>
          <t>4/0</t>
        </is>
      </c>
      <c r="N5605" s="12" t="n">
        <v>1</v>
      </c>
      <c r="O5605" s="12" t="n">
        <v>1</v>
      </c>
      <c r="P5605" s="12" t="n">
        <v>480</v>
      </c>
      <c r="Q5605" s="12" t="n">
        <v>22</v>
      </c>
      <c r="R5605" s="12" t="n">
        <v>31.1</v>
      </c>
      <c r="S5605" s="12" t="inlineStr">
        <is>
          <t>Duct bank</t>
        </is>
      </c>
      <c r="T5605" s="17" t="n">
        <v>3165</v>
      </c>
      <c r="U5605" s="17" t="n">
        <v>68</v>
      </c>
      <c r="V5605" s="17">
        <f>ROUNDUP((T5605+U5605+2*'Read Me'!$B$13)*(1+'Read Me'!$B$12),-1)</f>
        <v/>
      </c>
      <c r="W5605" s="17">
        <f>V5605*N5605*O5605</f>
        <v/>
      </c>
      <c r="X5605" s="12">
        <f>IF(LEFT(I5605,2)="MV",2*N5605*IF(L5605="1/C",O5605,1),0)</f>
        <v/>
      </c>
      <c r="Y5605" s="12">
        <f>IF(OR(LEFT(K5605,4)="LVAX",LEFT(K5605,6)="MV15AX",LEFT(K5605,4)="CTAX",LEFT(K5605,2)="W|"),2*N5605*O5605,0)</f>
        <v/>
      </c>
      <c r="Z5605" s="12" t="inlineStr">
        <is>
          <t>VD 2.4 %</t>
        </is>
      </c>
      <c r="AA5605" s="12">
        <f>N5605*O5605</f>
        <v/>
      </c>
    </row>
    <row r="5606">
      <c r="A5606" s="12" t="inlineStr">
        <is>
          <t>I-P-0350</t>
        </is>
      </c>
      <c r="B5606" s="12" t="inlineStr">
        <is>
          <t>I</t>
        </is>
      </c>
      <c r="C5606" s="12" t="inlineStr">
        <is>
          <t>Modular / portable power</t>
        </is>
      </c>
      <c r="D5606" s="12" t="inlineStr">
        <is>
          <t>Motor 2 of 6, 22 kW</t>
        </is>
      </c>
      <c r="E5606" s="12" t="inlineStr"/>
      <c r="F5606" s="12" t="inlineStr">
        <is>
          <t>MOD-LV 480 V board + 480 V : 13.8 kV step-up</t>
        </is>
      </c>
      <c r="G5606" s="12" t="inlineStr">
        <is>
          <t>TM-1</t>
        </is>
      </c>
      <c r="H5606" s="12" t="inlineStr">
        <is>
          <t>TM-1: trailer-mounted aeroderivative GT (TM2500 class, ~35 MW)</t>
        </is>
      </c>
      <c r="I5606" s="12" t="inlineStr">
        <is>
          <t>LV 600 V</t>
        </is>
      </c>
      <c r="J5606" s="12" t="inlineStr">
        <is>
          <t>Type TC-ER 600 V 3/C Cu XHHW-2 + ground, PVC jacket</t>
        </is>
      </c>
      <c r="K5606" s="12" t="inlineStr">
        <is>
          <t>LV|3/C+G|4/0</t>
        </is>
      </c>
      <c r="L5606" s="12" t="inlineStr">
        <is>
          <t>3/C+G</t>
        </is>
      </c>
      <c r="M5606" s="12" t="inlineStr">
        <is>
          <t>4/0</t>
        </is>
      </c>
      <c r="N5606" s="12" t="n">
        <v>1</v>
      </c>
      <c r="O5606" s="12" t="n">
        <v>1</v>
      </c>
      <c r="P5606" s="12" t="n">
        <v>480</v>
      </c>
      <c r="Q5606" s="12" t="n">
        <v>22</v>
      </c>
      <c r="R5606" s="12" t="n">
        <v>31.1</v>
      </c>
      <c r="S5606" s="12" t="inlineStr">
        <is>
          <t>Duct bank</t>
        </is>
      </c>
      <c r="T5606" s="17" t="n">
        <v>3165</v>
      </c>
      <c r="U5606" s="17" t="n">
        <v>68</v>
      </c>
      <c r="V5606" s="17">
        <f>ROUNDUP((T5606+U5606+2*'Read Me'!$B$13)*(1+'Read Me'!$B$12),-1)</f>
        <v/>
      </c>
      <c r="W5606" s="17">
        <f>V5606*N5606*O5606</f>
        <v/>
      </c>
      <c r="X5606" s="12">
        <f>IF(LEFT(I5606,2)="MV",2*N5606*IF(L5606="1/C",O5606,1),0)</f>
        <v/>
      </c>
      <c r="Y5606" s="12">
        <f>IF(OR(LEFT(K5606,4)="LVAX",LEFT(K5606,6)="MV15AX",LEFT(K5606,4)="CTAX",LEFT(K5606,2)="W|"),2*N5606*O5606,0)</f>
        <v/>
      </c>
      <c r="Z5606" s="12" t="inlineStr">
        <is>
          <t>VD 2.4 %</t>
        </is>
      </c>
      <c r="AA5606" s="12">
        <f>N5606*O5606</f>
        <v/>
      </c>
    </row>
    <row r="5607">
      <c r="A5607" s="12" t="inlineStr">
        <is>
          <t>I-P-0351</t>
        </is>
      </c>
      <c r="B5607" s="12" t="inlineStr">
        <is>
          <t>I</t>
        </is>
      </c>
      <c r="C5607" s="12" t="inlineStr">
        <is>
          <t>Modular / portable power</t>
        </is>
      </c>
      <c r="D5607" s="12" t="inlineStr">
        <is>
          <t>Motor 3 of 6, 22 kW</t>
        </is>
      </c>
      <c r="E5607" s="12" t="inlineStr"/>
      <c r="F5607" s="12" t="inlineStr">
        <is>
          <t>MOD-LV 480 V board + 480 V : 13.8 kV step-up</t>
        </is>
      </c>
      <c r="G5607" s="12" t="inlineStr">
        <is>
          <t>TM-1</t>
        </is>
      </c>
      <c r="H5607" s="12" t="inlineStr">
        <is>
          <t>TM-1: trailer-mounted aeroderivative GT (TM2500 class, ~35 MW)</t>
        </is>
      </c>
      <c r="I5607" s="12" t="inlineStr">
        <is>
          <t>LV 600 V</t>
        </is>
      </c>
      <c r="J5607" s="12" t="inlineStr">
        <is>
          <t>Type TC-ER 600 V 3/C Cu XHHW-2 + ground, PVC jacket</t>
        </is>
      </c>
      <c r="K5607" s="12" t="inlineStr">
        <is>
          <t>LV|3/C+G|4/0</t>
        </is>
      </c>
      <c r="L5607" s="12" t="inlineStr">
        <is>
          <t>3/C+G</t>
        </is>
      </c>
      <c r="M5607" s="12" t="inlineStr">
        <is>
          <t>4/0</t>
        </is>
      </c>
      <c r="N5607" s="12" t="n">
        <v>1</v>
      </c>
      <c r="O5607" s="12" t="n">
        <v>1</v>
      </c>
      <c r="P5607" s="12" t="n">
        <v>480</v>
      </c>
      <c r="Q5607" s="12" t="n">
        <v>22</v>
      </c>
      <c r="R5607" s="12" t="n">
        <v>31.1</v>
      </c>
      <c r="S5607" s="12" t="inlineStr">
        <is>
          <t>Duct bank</t>
        </is>
      </c>
      <c r="T5607" s="17" t="n">
        <v>3165</v>
      </c>
      <c r="U5607" s="17" t="n">
        <v>68</v>
      </c>
      <c r="V5607" s="17">
        <f>ROUNDUP((T5607+U5607+2*'Read Me'!$B$13)*(1+'Read Me'!$B$12),-1)</f>
        <v/>
      </c>
      <c r="W5607" s="17">
        <f>V5607*N5607*O5607</f>
        <v/>
      </c>
      <c r="X5607" s="12">
        <f>IF(LEFT(I5607,2)="MV",2*N5607*IF(L5607="1/C",O5607,1),0)</f>
        <v/>
      </c>
      <c r="Y5607" s="12">
        <f>IF(OR(LEFT(K5607,4)="LVAX",LEFT(K5607,6)="MV15AX",LEFT(K5607,4)="CTAX",LEFT(K5607,2)="W|"),2*N5607*O5607,0)</f>
        <v/>
      </c>
      <c r="Z5607" s="12" t="inlineStr">
        <is>
          <t>VD 2.4 %</t>
        </is>
      </c>
      <c r="AA5607" s="12">
        <f>N5607*O5607</f>
        <v/>
      </c>
    </row>
    <row r="5608">
      <c r="A5608" s="12" t="inlineStr">
        <is>
          <t>I-P-0352</t>
        </is>
      </c>
      <c r="B5608" s="12" t="inlineStr">
        <is>
          <t>I</t>
        </is>
      </c>
      <c r="C5608" s="12" t="inlineStr">
        <is>
          <t>Modular / portable power</t>
        </is>
      </c>
      <c r="D5608" s="12" t="inlineStr">
        <is>
          <t>Motor 4 of 6, 22 kW</t>
        </is>
      </c>
      <c r="E5608" s="12" t="inlineStr"/>
      <c r="F5608" s="12" t="inlineStr">
        <is>
          <t>MOD-LV 480 V board + 480 V : 13.8 kV step-up</t>
        </is>
      </c>
      <c r="G5608" s="12" t="inlineStr">
        <is>
          <t>TM-1</t>
        </is>
      </c>
      <c r="H5608" s="12" t="inlineStr">
        <is>
          <t>TM-1: trailer-mounted aeroderivative GT (TM2500 class, ~35 MW)</t>
        </is>
      </c>
      <c r="I5608" s="12" t="inlineStr">
        <is>
          <t>LV 600 V</t>
        </is>
      </c>
      <c r="J5608" s="12" t="inlineStr">
        <is>
          <t>Type TC-ER 600 V 3/C Cu XHHW-2 + ground, PVC jacket</t>
        </is>
      </c>
      <c r="K5608" s="12" t="inlineStr">
        <is>
          <t>LV|3/C+G|4/0</t>
        </is>
      </c>
      <c r="L5608" s="12" t="inlineStr">
        <is>
          <t>3/C+G</t>
        </is>
      </c>
      <c r="M5608" s="12" t="inlineStr">
        <is>
          <t>4/0</t>
        </is>
      </c>
      <c r="N5608" s="12" t="n">
        <v>1</v>
      </c>
      <c r="O5608" s="12" t="n">
        <v>1</v>
      </c>
      <c r="P5608" s="12" t="n">
        <v>480</v>
      </c>
      <c r="Q5608" s="12" t="n">
        <v>22</v>
      </c>
      <c r="R5608" s="12" t="n">
        <v>31.1</v>
      </c>
      <c r="S5608" s="12" t="inlineStr">
        <is>
          <t>Duct bank</t>
        </is>
      </c>
      <c r="T5608" s="17" t="n">
        <v>3165</v>
      </c>
      <c r="U5608" s="17" t="n">
        <v>68</v>
      </c>
      <c r="V5608" s="17">
        <f>ROUNDUP((T5608+U5608+2*'Read Me'!$B$13)*(1+'Read Me'!$B$12),-1)</f>
        <v/>
      </c>
      <c r="W5608" s="17">
        <f>V5608*N5608*O5608</f>
        <v/>
      </c>
      <c r="X5608" s="12">
        <f>IF(LEFT(I5608,2)="MV",2*N5608*IF(L5608="1/C",O5608,1),0)</f>
        <v/>
      </c>
      <c r="Y5608" s="12">
        <f>IF(OR(LEFT(K5608,4)="LVAX",LEFT(K5608,6)="MV15AX",LEFT(K5608,4)="CTAX",LEFT(K5608,2)="W|"),2*N5608*O5608,0)</f>
        <v/>
      </c>
      <c r="Z5608" s="12" t="inlineStr">
        <is>
          <t>VD 2.4 %</t>
        </is>
      </c>
      <c r="AA5608" s="12">
        <f>N5608*O5608</f>
        <v/>
      </c>
    </row>
    <row r="5609">
      <c r="A5609" s="12" t="inlineStr">
        <is>
          <t>I-P-0353</t>
        </is>
      </c>
      <c r="B5609" s="12" t="inlineStr">
        <is>
          <t>I</t>
        </is>
      </c>
      <c r="C5609" s="12" t="inlineStr">
        <is>
          <t>Modular / portable power</t>
        </is>
      </c>
      <c r="D5609" s="12" t="inlineStr">
        <is>
          <t>Motor 5 of 6, 22 kW</t>
        </is>
      </c>
      <c r="E5609" s="12" t="inlineStr"/>
      <c r="F5609" s="12" t="inlineStr">
        <is>
          <t>MOD-LV 480 V board + 480 V : 13.8 kV step-up</t>
        </is>
      </c>
      <c r="G5609" s="12" t="inlineStr">
        <is>
          <t>TM-1</t>
        </is>
      </c>
      <c r="H5609" s="12" t="inlineStr">
        <is>
          <t>TM-1: trailer-mounted aeroderivative GT (TM2500 class, ~35 MW)</t>
        </is>
      </c>
      <c r="I5609" s="12" t="inlineStr">
        <is>
          <t>LV 600 V</t>
        </is>
      </c>
      <c r="J5609" s="12" t="inlineStr">
        <is>
          <t>Type TC-ER 600 V 3/C Cu XHHW-2 + ground, PVC jacket</t>
        </is>
      </c>
      <c r="K5609" s="12" t="inlineStr">
        <is>
          <t>LV|3/C+G|4/0</t>
        </is>
      </c>
      <c r="L5609" s="12" t="inlineStr">
        <is>
          <t>3/C+G</t>
        </is>
      </c>
      <c r="M5609" s="12" t="inlineStr">
        <is>
          <t>4/0</t>
        </is>
      </c>
      <c r="N5609" s="12" t="n">
        <v>1</v>
      </c>
      <c r="O5609" s="12" t="n">
        <v>1</v>
      </c>
      <c r="P5609" s="12" t="n">
        <v>480</v>
      </c>
      <c r="Q5609" s="12" t="n">
        <v>22</v>
      </c>
      <c r="R5609" s="12" t="n">
        <v>31.1</v>
      </c>
      <c r="S5609" s="12" t="inlineStr">
        <is>
          <t>Duct bank</t>
        </is>
      </c>
      <c r="T5609" s="17" t="n">
        <v>3165</v>
      </c>
      <c r="U5609" s="17" t="n">
        <v>68</v>
      </c>
      <c r="V5609" s="17">
        <f>ROUNDUP((T5609+U5609+2*'Read Me'!$B$13)*(1+'Read Me'!$B$12),-1)</f>
        <v/>
      </c>
      <c r="W5609" s="17">
        <f>V5609*N5609*O5609</f>
        <v/>
      </c>
      <c r="X5609" s="12">
        <f>IF(LEFT(I5609,2)="MV",2*N5609*IF(L5609="1/C",O5609,1),0)</f>
        <v/>
      </c>
      <c r="Y5609" s="12">
        <f>IF(OR(LEFT(K5609,4)="LVAX",LEFT(K5609,6)="MV15AX",LEFT(K5609,4)="CTAX",LEFT(K5609,2)="W|"),2*N5609*O5609,0)</f>
        <v/>
      </c>
      <c r="Z5609" s="12" t="inlineStr">
        <is>
          <t>VD 2.4 %</t>
        </is>
      </c>
      <c r="AA5609" s="12">
        <f>N5609*O5609</f>
        <v/>
      </c>
    </row>
    <row r="5610">
      <c r="A5610" s="12" t="inlineStr">
        <is>
          <t>I-P-0354</t>
        </is>
      </c>
      <c r="B5610" s="12" t="inlineStr">
        <is>
          <t>I</t>
        </is>
      </c>
      <c r="C5610" s="12" t="inlineStr">
        <is>
          <t>Modular / portable power</t>
        </is>
      </c>
      <c r="D5610" s="12" t="inlineStr">
        <is>
          <t>Motor 6 of 6, 22 kW</t>
        </is>
      </c>
      <c r="E5610" s="12" t="inlineStr"/>
      <c r="F5610" s="12" t="inlineStr">
        <is>
          <t>MOD-LV 480 V board + 480 V : 13.8 kV step-up</t>
        </is>
      </c>
      <c r="G5610" s="12" t="inlineStr">
        <is>
          <t>TM-1</t>
        </is>
      </c>
      <c r="H5610" s="12" t="inlineStr">
        <is>
          <t>TM-1: trailer-mounted aeroderivative GT (TM2500 class, ~35 MW)</t>
        </is>
      </c>
      <c r="I5610" s="12" t="inlineStr">
        <is>
          <t>LV 600 V</t>
        </is>
      </c>
      <c r="J5610" s="12" t="inlineStr">
        <is>
          <t>Type TC-ER 600 V 3/C Cu XHHW-2 + ground, PVC jacket</t>
        </is>
      </c>
      <c r="K5610" s="12" t="inlineStr">
        <is>
          <t>LV|3/C+G|4/0</t>
        </is>
      </c>
      <c r="L5610" s="12" t="inlineStr">
        <is>
          <t>3/C+G</t>
        </is>
      </c>
      <c r="M5610" s="12" t="inlineStr">
        <is>
          <t>4/0</t>
        </is>
      </c>
      <c r="N5610" s="12" t="n">
        <v>1</v>
      </c>
      <c r="O5610" s="12" t="n">
        <v>1</v>
      </c>
      <c r="P5610" s="12" t="n">
        <v>480</v>
      </c>
      <c r="Q5610" s="12" t="n">
        <v>22</v>
      </c>
      <c r="R5610" s="12" t="n">
        <v>31.1</v>
      </c>
      <c r="S5610" s="12" t="inlineStr">
        <is>
          <t>Duct bank</t>
        </is>
      </c>
      <c r="T5610" s="17" t="n">
        <v>3165</v>
      </c>
      <c r="U5610" s="17" t="n">
        <v>68</v>
      </c>
      <c r="V5610" s="17">
        <f>ROUNDUP((T5610+U5610+2*'Read Me'!$B$13)*(1+'Read Me'!$B$12),-1)</f>
        <v/>
      </c>
      <c r="W5610" s="17">
        <f>V5610*N5610*O5610</f>
        <v/>
      </c>
      <c r="X5610" s="12">
        <f>IF(LEFT(I5610,2)="MV",2*N5610*IF(L5610="1/C",O5610,1),0)</f>
        <v/>
      </c>
      <c r="Y5610" s="12">
        <f>IF(OR(LEFT(K5610,4)="LVAX",LEFT(K5610,6)="MV15AX",LEFT(K5610,4)="CTAX",LEFT(K5610,2)="W|"),2*N5610*O5610,0)</f>
        <v/>
      </c>
      <c r="Z5610" s="12" t="inlineStr">
        <is>
          <t>VD 2.4 %</t>
        </is>
      </c>
      <c r="AA5610" s="12">
        <f>N5610*O5610</f>
        <v/>
      </c>
    </row>
    <row r="5611">
      <c r="A5611" s="12" t="inlineStr">
        <is>
          <t>I-P-0355</t>
        </is>
      </c>
      <c r="B5611" s="12" t="inlineStr">
        <is>
          <t>I</t>
        </is>
      </c>
      <c r="C5611" s="12" t="inlineStr">
        <is>
          <t>Modular / portable power</t>
        </is>
      </c>
      <c r="D5611" s="12" t="inlineStr">
        <is>
          <t>Motor 1 of 6, 22 kW</t>
        </is>
      </c>
      <c r="E5611" s="12" t="inlineStr"/>
      <c r="F5611" s="12" t="inlineStr">
        <is>
          <t>MOD-LV 480 V board + 480 V : 13.8 kV step-up</t>
        </is>
      </c>
      <c r="G5611" s="12" t="inlineStr">
        <is>
          <t>TM-2</t>
        </is>
      </c>
      <c r="H5611" s="12" t="inlineStr">
        <is>
          <t>TM-2: trailer-mounted aeroderivative GT (TM2500 class, ~35 MW)</t>
        </is>
      </c>
      <c r="I5611" s="12" t="inlineStr">
        <is>
          <t>LV 600 V</t>
        </is>
      </c>
      <c r="J5611" s="12" t="inlineStr">
        <is>
          <t>Type TC-ER 600 V 3/C Cu XHHW-2 + ground, PVC jacket</t>
        </is>
      </c>
      <c r="K5611" s="12" t="inlineStr">
        <is>
          <t>LV|3/C+G|4/0</t>
        </is>
      </c>
      <c r="L5611" s="12" t="inlineStr">
        <is>
          <t>3/C+G</t>
        </is>
      </c>
      <c r="M5611" s="12" t="inlineStr">
        <is>
          <t>4/0</t>
        </is>
      </c>
      <c r="N5611" s="12" t="n">
        <v>1</v>
      </c>
      <c r="O5611" s="12" t="n">
        <v>1</v>
      </c>
      <c r="P5611" s="12" t="n">
        <v>480</v>
      </c>
      <c r="Q5611" s="12" t="n">
        <v>22</v>
      </c>
      <c r="R5611" s="12" t="n">
        <v>31.1</v>
      </c>
      <c r="S5611" s="12" t="inlineStr">
        <is>
          <t>Duct bank</t>
        </is>
      </c>
      <c r="T5611" s="17" t="n">
        <v>3165</v>
      </c>
      <c r="U5611" s="17" t="n">
        <v>74</v>
      </c>
      <c r="V5611" s="17">
        <f>ROUNDUP((T5611+U5611+2*'Read Me'!$B$13)*(1+'Read Me'!$B$12),-1)</f>
        <v/>
      </c>
      <c r="W5611" s="17">
        <f>V5611*N5611*O5611</f>
        <v/>
      </c>
      <c r="X5611" s="12">
        <f>IF(LEFT(I5611,2)="MV",2*N5611*IF(L5611="1/C",O5611,1),0)</f>
        <v/>
      </c>
      <c r="Y5611" s="12">
        <f>IF(OR(LEFT(K5611,4)="LVAX",LEFT(K5611,6)="MV15AX",LEFT(K5611,4)="CTAX",LEFT(K5611,2)="W|"),2*N5611*O5611,0)</f>
        <v/>
      </c>
      <c r="Z5611" s="12" t="inlineStr">
        <is>
          <t>VD 2.4 %</t>
        </is>
      </c>
      <c r="AA5611" s="12">
        <f>N5611*O5611</f>
        <v/>
      </c>
    </row>
    <row r="5612">
      <c r="A5612" s="12" t="inlineStr">
        <is>
          <t>I-P-0356</t>
        </is>
      </c>
      <c r="B5612" s="12" t="inlineStr">
        <is>
          <t>I</t>
        </is>
      </c>
      <c r="C5612" s="12" t="inlineStr">
        <is>
          <t>Modular / portable power</t>
        </is>
      </c>
      <c r="D5612" s="12" t="inlineStr">
        <is>
          <t>Motor 2 of 6, 22 kW</t>
        </is>
      </c>
      <c r="E5612" s="12" t="inlineStr"/>
      <c r="F5612" s="12" t="inlineStr">
        <is>
          <t>MOD-LV 480 V board + 480 V : 13.8 kV step-up</t>
        </is>
      </c>
      <c r="G5612" s="12" t="inlineStr">
        <is>
          <t>TM-2</t>
        </is>
      </c>
      <c r="H5612" s="12" t="inlineStr">
        <is>
          <t>TM-2: trailer-mounted aeroderivative GT (TM2500 class, ~35 MW)</t>
        </is>
      </c>
      <c r="I5612" s="12" t="inlineStr">
        <is>
          <t>LV 600 V</t>
        </is>
      </c>
      <c r="J5612" s="12" t="inlineStr">
        <is>
          <t>Type TC-ER 600 V 3/C Cu XHHW-2 + ground, PVC jacket</t>
        </is>
      </c>
      <c r="K5612" s="12" t="inlineStr">
        <is>
          <t>LV|3/C+G|4/0</t>
        </is>
      </c>
      <c r="L5612" s="12" t="inlineStr">
        <is>
          <t>3/C+G</t>
        </is>
      </c>
      <c r="M5612" s="12" t="inlineStr">
        <is>
          <t>4/0</t>
        </is>
      </c>
      <c r="N5612" s="12" t="n">
        <v>1</v>
      </c>
      <c r="O5612" s="12" t="n">
        <v>1</v>
      </c>
      <c r="P5612" s="12" t="n">
        <v>480</v>
      </c>
      <c r="Q5612" s="12" t="n">
        <v>22</v>
      </c>
      <c r="R5612" s="12" t="n">
        <v>31.1</v>
      </c>
      <c r="S5612" s="12" t="inlineStr">
        <is>
          <t>Duct bank</t>
        </is>
      </c>
      <c r="T5612" s="17" t="n">
        <v>3165</v>
      </c>
      <c r="U5612" s="17" t="n">
        <v>74</v>
      </c>
      <c r="V5612" s="17">
        <f>ROUNDUP((T5612+U5612+2*'Read Me'!$B$13)*(1+'Read Me'!$B$12),-1)</f>
        <v/>
      </c>
      <c r="W5612" s="17">
        <f>V5612*N5612*O5612</f>
        <v/>
      </c>
      <c r="X5612" s="12">
        <f>IF(LEFT(I5612,2)="MV",2*N5612*IF(L5612="1/C",O5612,1),0)</f>
        <v/>
      </c>
      <c r="Y5612" s="12">
        <f>IF(OR(LEFT(K5612,4)="LVAX",LEFT(K5612,6)="MV15AX",LEFT(K5612,4)="CTAX",LEFT(K5612,2)="W|"),2*N5612*O5612,0)</f>
        <v/>
      </c>
      <c r="Z5612" s="12" t="inlineStr">
        <is>
          <t>VD 2.4 %</t>
        </is>
      </c>
      <c r="AA5612" s="12">
        <f>N5612*O5612</f>
        <v/>
      </c>
    </row>
    <row r="5613">
      <c r="A5613" s="12" t="inlineStr">
        <is>
          <t>I-P-0357</t>
        </is>
      </c>
      <c r="B5613" s="12" t="inlineStr">
        <is>
          <t>I</t>
        </is>
      </c>
      <c r="C5613" s="12" t="inlineStr">
        <is>
          <t>Modular / portable power</t>
        </is>
      </c>
      <c r="D5613" s="12" t="inlineStr">
        <is>
          <t>Motor 3 of 6, 22 kW</t>
        </is>
      </c>
      <c r="E5613" s="12" t="inlineStr"/>
      <c r="F5613" s="12" t="inlineStr">
        <is>
          <t>MOD-LV 480 V board + 480 V : 13.8 kV step-up</t>
        </is>
      </c>
      <c r="G5613" s="12" t="inlineStr">
        <is>
          <t>TM-2</t>
        </is>
      </c>
      <c r="H5613" s="12" t="inlineStr">
        <is>
          <t>TM-2: trailer-mounted aeroderivative GT (TM2500 class, ~35 MW)</t>
        </is>
      </c>
      <c r="I5613" s="12" t="inlineStr">
        <is>
          <t>LV 600 V</t>
        </is>
      </c>
      <c r="J5613" s="12" t="inlineStr">
        <is>
          <t>Type TC-ER 600 V 3/C Cu XHHW-2 + ground, PVC jacket</t>
        </is>
      </c>
      <c r="K5613" s="12" t="inlineStr">
        <is>
          <t>LV|3/C+G|4/0</t>
        </is>
      </c>
      <c r="L5613" s="12" t="inlineStr">
        <is>
          <t>3/C+G</t>
        </is>
      </c>
      <c r="M5613" s="12" t="inlineStr">
        <is>
          <t>4/0</t>
        </is>
      </c>
      <c r="N5613" s="12" t="n">
        <v>1</v>
      </c>
      <c r="O5613" s="12" t="n">
        <v>1</v>
      </c>
      <c r="P5613" s="12" t="n">
        <v>480</v>
      </c>
      <c r="Q5613" s="12" t="n">
        <v>22</v>
      </c>
      <c r="R5613" s="12" t="n">
        <v>31.1</v>
      </c>
      <c r="S5613" s="12" t="inlineStr">
        <is>
          <t>Duct bank</t>
        </is>
      </c>
      <c r="T5613" s="17" t="n">
        <v>3165</v>
      </c>
      <c r="U5613" s="17" t="n">
        <v>74</v>
      </c>
      <c r="V5613" s="17">
        <f>ROUNDUP((T5613+U5613+2*'Read Me'!$B$13)*(1+'Read Me'!$B$12),-1)</f>
        <v/>
      </c>
      <c r="W5613" s="17">
        <f>V5613*N5613*O5613</f>
        <v/>
      </c>
      <c r="X5613" s="12">
        <f>IF(LEFT(I5613,2)="MV",2*N5613*IF(L5613="1/C",O5613,1),0)</f>
        <v/>
      </c>
      <c r="Y5613" s="12">
        <f>IF(OR(LEFT(K5613,4)="LVAX",LEFT(K5613,6)="MV15AX",LEFT(K5613,4)="CTAX",LEFT(K5613,2)="W|"),2*N5613*O5613,0)</f>
        <v/>
      </c>
      <c r="Z5613" s="12" t="inlineStr">
        <is>
          <t>VD 2.4 %</t>
        </is>
      </c>
      <c r="AA5613" s="12">
        <f>N5613*O5613</f>
        <v/>
      </c>
    </row>
    <row r="5614">
      <c r="A5614" s="12" t="inlineStr">
        <is>
          <t>I-P-0358</t>
        </is>
      </c>
      <c r="B5614" s="12" t="inlineStr">
        <is>
          <t>I</t>
        </is>
      </c>
      <c r="C5614" s="12" t="inlineStr">
        <is>
          <t>Modular / portable power</t>
        </is>
      </c>
      <c r="D5614" s="12" t="inlineStr">
        <is>
          <t>Motor 4 of 6, 22 kW</t>
        </is>
      </c>
      <c r="E5614" s="12" t="inlineStr"/>
      <c r="F5614" s="12" t="inlineStr">
        <is>
          <t>MOD-LV 480 V board + 480 V : 13.8 kV step-up</t>
        </is>
      </c>
      <c r="G5614" s="12" t="inlineStr">
        <is>
          <t>TM-2</t>
        </is>
      </c>
      <c r="H5614" s="12" t="inlineStr">
        <is>
          <t>TM-2: trailer-mounted aeroderivative GT (TM2500 class, ~35 MW)</t>
        </is>
      </c>
      <c r="I5614" s="12" t="inlineStr">
        <is>
          <t>LV 600 V</t>
        </is>
      </c>
      <c r="J5614" s="12" t="inlineStr">
        <is>
          <t>Type TC-ER 600 V 3/C Cu XHHW-2 + ground, PVC jacket</t>
        </is>
      </c>
      <c r="K5614" s="12" t="inlineStr">
        <is>
          <t>LV|3/C+G|4/0</t>
        </is>
      </c>
      <c r="L5614" s="12" t="inlineStr">
        <is>
          <t>3/C+G</t>
        </is>
      </c>
      <c r="M5614" s="12" t="inlineStr">
        <is>
          <t>4/0</t>
        </is>
      </c>
      <c r="N5614" s="12" t="n">
        <v>1</v>
      </c>
      <c r="O5614" s="12" t="n">
        <v>1</v>
      </c>
      <c r="P5614" s="12" t="n">
        <v>480</v>
      </c>
      <c r="Q5614" s="12" t="n">
        <v>22</v>
      </c>
      <c r="R5614" s="12" t="n">
        <v>31.1</v>
      </c>
      <c r="S5614" s="12" t="inlineStr">
        <is>
          <t>Duct bank</t>
        </is>
      </c>
      <c r="T5614" s="17" t="n">
        <v>3165</v>
      </c>
      <c r="U5614" s="17" t="n">
        <v>74</v>
      </c>
      <c r="V5614" s="17">
        <f>ROUNDUP((T5614+U5614+2*'Read Me'!$B$13)*(1+'Read Me'!$B$12),-1)</f>
        <v/>
      </c>
      <c r="W5614" s="17">
        <f>V5614*N5614*O5614</f>
        <v/>
      </c>
      <c r="X5614" s="12">
        <f>IF(LEFT(I5614,2)="MV",2*N5614*IF(L5614="1/C",O5614,1),0)</f>
        <v/>
      </c>
      <c r="Y5614" s="12">
        <f>IF(OR(LEFT(K5614,4)="LVAX",LEFT(K5614,6)="MV15AX",LEFT(K5614,4)="CTAX",LEFT(K5614,2)="W|"),2*N5614*O5614,0)</f>
        <v/>
      </c>
      <c r="Z5614" s="12" t="inlineStr">
        <is>
          <t>VD 2.4 %</t>
        </is>
      </c>
      <c r="AA5614" s="12">
        <f>N5614*O5614</f>
        <v/>
      </c>
    </row>
    <row r="5615">
      <c r="A5615" s="12" t="inlineStr">
        <is>
          <t>I-P-0359</t>
        </is>
      </c>
      <c r="B5615" s="12" t="inlineStr">
        <is>
          <t>I</t>
        </is>
      </c>
      <c r="C5615" s="12" t="inlineStr">
        <is>
          <t>Modular / portable power</t>
        </is>
      </c>
      <c r="D5615" s="12" t="inlineStr">
        <is>
          <t>Motor 5 of 6, 22 kW</t>
        </is>
      </c>
      <c r="E5615" s="12" t="inlineStr"/>
      <c r="F5615" s="12" t="inlineStr">
        <is>
          <t>MOD-LV 480 V board + 480 V : 13.8 kV step-up</t>
        </is>
      </c>
      <c r="G5615" s="12" t="inlineStr">
        <is>
          <t>TM-2</t>
        </is>
      </c>
      <c r="H5615" s="12" t="inlineStr">
        <is>
          <t>TM-2: trailer-mounted aeroderivative GT (TM2500 class, ~35 MW)</t>
        </is>
      </c>
      <c r="I5615" s="12" t="inlineStr">
        <is>
          <t>LV 600 V</t>
        </is>
      </c>
      <c r="J5615" s="12" t="inlineStr">
        <is>
          <t>Type TC-ER 600 V 3/C Cu XHHW-2 + ground, PVC jacket</t>
        </is>
      </c>
      <c r="K5615" s="12" t="inlineStr">
        <is>
          <t>LV|3/C+G|4/0</t>
        </is>
      </c>
      <c r="L5615" s="12" t="inlineStr">
        <is>
          <t>3/C+G</t>
        </is>
      </c>
      <c r="M5615" s="12" t="inlineStr">
        <is>
          <t>4/0</t>
        </is>
      </c>
      <c r="N5615" s="12" t="n">
        <v>1</v>
      </c>
      <c r="O5615" s="12" t="n">
        <v>1</v>
      </c>
      <c r="P5615" s="12" t="n">
        <v>480</v>
      </c>
      <c r="Q5615" s="12" t="n">
        <v>22</v>
      </c>
      <c r="R5615" s="12" t="n">
        <v>31.1</v>
      </c>
      <c r="S5615" s="12" t="inlineStr">
        <is>
          <t>Duct bank</t>
        </is>
      </c>
      <c r="T5615" s="17" t="n">
        <v>3165</v>
      </c>
      <c r="U5615" s="17" t="n">
        <v>74</v>
      </c>
      <c r="V5615" s="17">
        <f>ROUNDUP((T5615+U5615+2*'Read Me'!$B$13)*(1+'Read Me'!$B$12),-1)</f>
        <v/>
      </c>
      <c r="W5615" s="17">
        <f>V5615*N5615*O5615</f>
        <v/>
      </c>
      <c r="X5615" s="12">
        <f>IF(LEFT(I5615,2)="MV",2*N5615*IF(L5615="1/C",O5615,1),0)</f>
        <v/>
      </c>
      <c r="Y5615" s="12">
        <f>IF(OR(LEFT(K5615,4)="LVAX",LEFT(K5615,6)="MV15AX",LEFT(K5615,4)="CTAX",LEFT(K5615,2)="W|"),2*N5615*O5615,0)</f>
        <v/>
      </c>
      <c r="Z5615" s="12" t="inlineStr">
        <is>
          <t>VD 2.4 %</t>
        </is>
      </c>
      <c r="AA5615" s="12">
        <f>N5615*O5615</f>
        <v/>
      </c>
    </row>
    <row r="5616">
      <c r="A5616" s="12" t="inlineStr">
        <is>
          <t>I-P-0360</t>
        </is>
      </c>
      <c r="B5616" s="12" t="inlineStr">
        <is>
          <t>I</t>
        </is>
      </c>
      <c r="C5616" s="12" t="inlineStr">
        <is>
          <t>Modular / portable power</t>
        </is>
      </c>
      <c r="D5616" s="12" t="inlineStr">
        <is>
          <t>Motor 6 of 6, 22 kW</t>
        </is>
      </c>
      <c r="E5616" s="12" t="inlineStr"/>
      <c r="F5616" s="12" t="inlineStr">
        <is>
          <t>MOD-LV 480 V board + 480 V : 13.8 kV step-up</t>
        </is>
      </c>
      <c r="G5616" s="12" t="inlineStr">
        <is>
          <t>TM-2</t>
        </is>
      </c>
      <c r="H5616" s="12" t="inlineStr">
        <is>
          <t>TM-2: trailer-mounted aeroderivative GT (TM2500 class, ~35 MW)</t>
        </is>
      </c>
      <c r="I5616" s="12" t="inlineStr">
        <is>
          <t>LV 600 V</t>
        </is>
      </c>
      <c r="J5616" s="12" t="inlineStr">
        <is>
          <t>Type TC-ER 600 V 3/C Cu XHHW-2 + ground, PVC jacket</t>
        </is>
      </c>
      <c r="K5616" s="12" t="inlineStr">
        <is>
          <t>LV|3/C+G|4/0</t>
        </is>
      </c>
      <c r="L5616" s="12" t="inlineStr">
        <is>
          <t>3/C+G</t>
        </is>
      </c>
      <c r="M5616" s="12" t="inlineStr">
        <is>
          <t>4/0</t>
        </is>
      </c>
      <c r="N5616" s="12" t="n">
        <v>1</v>
      </c>
      <c r="O5616" s="12" t="n">
        <v>1</v>
      </c>
      <c r="P5616" s="12" t="n">
        <v>480</v>
      </c>
      <c r="Q5616" s="12" t="n">
        <v>22</v>
      </c>
      <c r="R5616" s="12" t="n">
        <v>31.1</v>
      </c>
      <c r="S5616" s="12" t="inlineStr">
        <is>
          <t>Duct bank</t>
        </is>
      </c>
      <c r="T5616" s="17" t="n">
        <v>3165</v>
      </c>
      <c r="U5616" s="17" t="n">
        <v>74</v>
      </c>
      <c r="V5616" s="17">
        <f>ROUNDUP((T5616+U5616+2*'Read Me'!$B$13)*(1+'Read Me'!$B$12),-1)</f>
        <v/>
      </c>
      <c r="W5616" s="17">
        <f>V5616*N5616*O5616</f>
        <v/>
      </c>
      <c r="X5616" s="12">
        <f>IF(LEFT(I5616,2)="MV",2*N5616*IF(L5616="1/C",O5616,1),0)</f>
        <v/>
      </c>
      <c r="Y5616" s="12">
        <f>IF(OR(LEFT(K5616,4)="LVAX",LEFT(K5616,6)="MV15AX",LEFT(K5616,4)="CTAX",LEFT(K5616,2)="W|"),2*N5616*O5616,0)</f>
        <v/>
      </c>
      <c r="Z5616" s="12" t="inlineStr">
        <is>
          <t>VD 2.4 %</t>
        </is>
      </c>
      <c r="AA5616" s="12">
        <f>N5616*O5616</f>
        <v/>
      </c>
    </row>
    <row r="5617">
      <c r="A5617" s="12" t="inlineStr">
        <is>
          <t>I-P-0361</t>
        </is>
      </c>
      <c r="B5617" s="12" t="inlineStr">
        <is>
          <t>I</t>
        </is>
      </c>
      <c r="C5617" s="12" t="inlineStr">
        <is>
          <t>Modular / portable power</t>
        </is>
      </c>
      <c r="D5617" s="12" t="inlineStr">
        <is>
          <t>Motor 1 of 2, 75 kW</t>
        </is>
      </c>
      <c r="E5617" s="12" t="inlineStr"/>
      <c r="F5617" s="12" t="inlineStr">
        <is>
          <t>SC-2 PCM + 15 kV GCB</t>
        </is>
      </c>
      <c r="G5617" s="12" t="inlineStr"/>
      <c r="H5617" s="12" t="inlineStr">
        <is>
          <t>Water-injection skid</t>
        </is>
      </c>
      <c r="I5617" s="12" t="inlineStr">
        <is>
          <t>LV 600 V</t>
        </is>
      </c>
      <c r="J5617" s="12" t="inlineStr">
        <is>
          <t>Type TC-ER 600 V 3/C Cu XHHW-2 + ground, PVC jacket</t>
        </is>
      </c>
      <c r="K5617" s="12" t="inlineStr">
        <is>
          <t>LV|3/C+G|1/0</t>
        </is>
      </c>
      <c r="L5617" s="12" t="inlineStr">
        <is>
          <t>3/C+G</t>
        </is>
      </c>
      <c r="M5617" s="12" t="inlineStr">
        <is>
          <t>1/0</t>
        </is>
      </c>
      <c r="N5617" s="12" t="n">
        <v>1</v>
      </c>
      <c r="O5617" s="12" t="n">
        <v>1</v>
      </c>
      <c r="P5617" s="12" t="n">
        <v>480</v>
      </c>
      <c r="Q5617" s="12" t="n">
        <v>75</v>
      </c>
      <c r="R5617" s="12" t="n">
        <v>106.1</v>
      </c>
      <c r="S5617" s="12" t="inlineStr">
        <is>
          <t>Tray</t>
        </is>
      </c>
      <c r="T5617" s="17" t="n">
        <v>0</v>
      </c>
      <c r="U5617" s="17" t="n">
        <v>60</v>
      </c>
      <c r="V5617" s="17">
        <f>ROUNDUP((T5617+U5617+2*'Read Me'!$B$13)*(1+'Read Me'!$B$12),-1)</f>
        <v/>
      </c>
      <c r="W5617" s="17">
        <f>V5617*N5617*O5617</f>
        <v/>
      </c>
      <c r="X5617" s="12">
        <f>IF(LEFT(I5617,2)="MV",2*N5617*IF(L5617="1/C",O5617,1),0)</f>
        <v/>
      </c>
      <c r="Y5617" s="12">
        <f>IF(OR(LEFT(K5617,4)="LVAX",LEFT(K5617,6)="MV15AX",LEFT(K5617,4)="CTAX",LEFT(K5617,2)="W|"),2*N5617*O5617,0)</f>
        <v/>
      </c>
      <c r="Z5617" s="12" t="inlineStr">
        <is>
          <t>VD 0.3 %</t>
        </is>
      </c>
      <c r="AA5617" s="12">
        <f>N5617*O5617</f>
        <v/>
      </c>
    </row>
    <row r="5618">
      <c r="A5618" s="12" t="inlineStr">
        <is>
          <t>I-P-0362</t>
        </is>
      </c>
      <c r="B5618" s="12" t="inlineStr">
        <is>
          <t>I</t>
        </is>
      </c>
      <c r="C5618" s="12" t="inlineStr">
        <is>
          <t>Modular / portable power</t>
        </is>
      </c>
      <c r="D5618" s="12" t="inlineStr">
        <is>
          <t>Motor 2 of 2, 75 kW</t>
        </is>
      </c>
      <c r="E5618" s="12" t="inlineStr"/>
      <c r="F5618" s="12" t="inlineStr">
        <is>
          <t>SC-2 PCM + 15 kV GCB</t>
        </is>
      </c>
      <c r="G5618" s="12" t="inlineStr"/>
      <c r="H5618" s="12" t="inlineStr">
        <is>
          <t>Water-injection skid</t>
        </is>
      </c>
      <c r="I5618" s="12" t="inlineStr">
        <is>
          <t>LV 600 V</t>
        </is>
      </c>
      <c r="J5618" s="12" t="inlineStr">
        <is>
          <t>Type TC-ER 600 V 3/C Cu XHHW-2 + ground, PVC jacket</t>
        </is>
      </c>
      <c r="K5618" s="12" t="inlineStr">
        <is>
          <t>LV|3/C+G|1/0</t>
        </is>
      </c>
      <c r="L5618" s="12" t="inlineStr">
        <is>
          <t>3/C+G</t>
        </is>
      </c>
      <c r="M5618" s="12" t="inlineStr">
        <is>
          <t>1/0</t>
        </is>
      </c>
      <c r="N5618" s="12" t="n">
        <v>1</v>
      </c>
      <c r="O5618" s="12" t="n">
        <v>1</v>
      </c>
      <c r="P5618" s="12" t="n">
        <v>480</v>
      </c>
      <c r="Q5618" s="12" t="n">
        <v>75</v>
      </c>
      <c r="R5618" s="12" t="n">
        <v>106.1</v>
      </c>
      <c r="S5618" s="12" t="inlineStr">
        <is>
          <t>Tray</t>
        </is>
      </c>
      <c r="T5618" s="17" t="n">
        <v>0</v>
      </c>
      <c r="U5618" s="17" t="n">
        <v>60</v>
      </c>
      <c r="V5618" s="17">
        <f>ROUNDUP((T5618+U5618+2*'Read Me'!$B$13)*(1+'Read Me'!$B$12),-1)</f>
        <v/>
      </c>
      <c r="W5618" s="17">
        <f>V5618*N5618*O5618</f>
        <v/>
      </c>
      <c r="X5618" s="12">
        <f>IF(LEFT(I5618,2)="MV",2*N5618*IF(L5618="1/C",O5618,1),0)</f>
        <v/>
      </c>
      <c r="Y5618" s="12">
        <f>IF(OR(LEFT(K5618,4)="LVAX",LEFT(K5618,6)="MV15AX",LEFT(K5618,4)="CTAX",LEFT(K5618,2)="W|"),2*N5618*O5618,0)</f>
        <v/>
      </c>
      <c r="Z5618" s="12" t="inlineStr">
        <is>
          <t>VD 0.3 %</t>
        </is>
      </c>
      <c r="AA5618" s="12">
        <f>N5618*O5618</f>
        <v/>
      </c>
    </row>
    <row r="5619">
      <c r="A5619" s="12" t="inlineStr">
        <is>
          <t>I-MV-0001</t>
        </is>
      </c>
      <c r="B5619" s="12" t="inlineStr">
        <is>
          <t>I</t>
        </is>
      </c>
      <c r="C5619" s="12" t="inlineStr">
        <is>
          <t>Modular / portable power</t>
        </is>
      </c>
      <c r="D5619" s="12" t="inlineStr">
        <is>
          <t>Modular-yard fuel-gas compressor</t>
        </is>
      </c>
      <c r="E5619" s="12" t="inlineStr">
        <is>
          <t>MOD-EH</t>
        </is>
      </c>
      <c r="F5619" s="12" t="inlineStr">
        <is>
          <t>MOD-EH: 13.8 kV modular collector e-house</t>
        </is>
      </c>
      <c r="G5619" s="12" t="inlineStr"/>
      <c r="H5619" s="12" t="inlineStr">
        <is>
          <t>Fuel-gas compressors 3 x 100% electric</t>
        </is>
      </c>
      <c r="I5619" s="12" t="inlineStr">
        <is>
          <t>MV 15 kV</t>
        </is>
      </c>
      <c r="J5619" s="12" t="inlineStr">
        <is>
          <t>ARMOR-X MC-HL / MV-105 15 kV 3/C Cu, EPR 133%, tape shield, gnd, CWA, red PVC</t>
        </is>
      </c>
      <c r="K5619" s="12" t="inlineStr">
        <is>
          <t>MV15AX|3/C|2</t>
        </is>
      </c>
      <c r="L5619" s="12" t="inlineStr">
        <is>
          <t>3/C</t>
        </is>
      </c>
      <c r="M5619" s="12" t="inlineStr">
        <is>
          <t>2</t>
        </is>
      </c>
      <c r="N5619" s="12" t="n">
        <v>1</v>
      </c>
      <c r="O5619" s="12" t="n">
        <v>1</v>
      </c>
      <c r="P5619" s="12" t="n">
        <v>13800</v>
      </c>
      <c r="Q5619" s="12" t="n">
        <v>1500</v>
      </c>
      <c r="R5619" s="12" t="n">
        <v>70</v>
      </c>
      <c r="S5619" s="12" t="inlineStr">
        <is>
          <t>HV duct bank</t>
        </is>
      </c>
      <c r="T5619" s="17" t="n">
        <v>3990</v>
      </c>
      <c r="U5619" s="17" t="n">
        <v>114</v>
      </c>
      <c r="V5619" s="17">
        <f>ROUNDUP((T5619+U5619+2*'Read Me'!$B$13)*(1+'Read Me'!$B$12),-1)</f>
        <v/>
      </c>
      <c r="W5619" s="17">
        <f>V5619*N5619*O5619</f>
        <v/>
      </c>
      <c r="X5619" s="12">
        <f>IF(LEFT(I5619,2)="MV",2*N5619*IF(L5619="1/C",O5619,1),0)</f>
        <v/>
      </c>
      <c r="Y5619" s="12">
        <f>IF(OR(LEFT(K5619,4)="LVAX",LEFT(K5619,6)="MV15AX",LEFT(K5619,4)="CTAX",LEFT(K5619,2)="W|"),2*N5619*O5619,0)</f>
        <v/>
      </c>
      <c r="Z5619" s="12" t="inlineStr"/>
      <c r="AA5619" s="12">
        <f>N5619*O5619</f>
        <v/>
      </c>
    </row>
    <row r="5620">
      <c r="A5620" s="12" t="inlineStr">
        <is>
          <t>I-MV-0002</t>
        </is>
      </c>
      <c r="B5620" s="12" t="inlineStr">
        <is>
          <t>I</t>
        </is>
      </c>
      <c r="C5620" s="12" t="inlineStr">
        <is>
          <t>Modular / portable power</t>
        </is>
      </c>
      <c r="D5620" s="12" t="inlineStr">
        <is>
          <t>Modular-yard fuel-gas compressor</t>
        </is>
      </c>
      <c r="E5620" s="12" t="inlineStr">
        <is>
          <t>MOD-EH</t>
        </is>
      </c>
      <c r="F5620" s="12" t="inlineStr">
        <is>
          <t>MOD-EH: 13.8 kV modular collector e-house</t>
        </is>
      </c>
      <c r="G5620" s="12" t="inlineStr"/>
      <c r="H5620" s="12" t="inlineStr">
        <is>
          <t>Fuel-gas compressors 3 x 100% electric</t>
        </is>
      </c>
      <c r="I5620" s="12" t="inlineStr">
        <is>
          <t>MV 15 kV</t>
        </is>
      </c>
      <c r="J5620" s="12" t="inlineStr">
        <is>
          <t>ARMOR-X MC-HL / MV-105 15 kV 3/C Cu, EPR 133%, tape shield, gnd, CWA, red PVC</t>
        </is>
      </c>
      <c r="K5620" s="12" t="inlineStr">
        <is>
          <t>MV15AX|3/C|2</t>
        </is>
      </c>
      <c r="L5620" s="12" t="inlineStr">
        <is>
          <t>3/C</t>
        </is>
      </c>
      <c r="M5620" s="12" t="inlineStr">
        <is>
          <t>2</t>
        </is>
      </c>
      <c r="N5620" s="12" t="n">
        <v>1</v>
      </c>
      <c r="O5620" s="12" t="n">
        <v>1</v>
      </c>
      <c r="P5620" s="12" t="n">
        <v>13800</v>
      </c>
      <c r="Q5620" s="12" t="n">
        <v>1500</v>
      </c>
      <c r="R5620" s="12" t="n">
        <v>70</v>
      </c>
      <c r="S5620" s="12" t="inlineStr">
        <is>
          <t>HV duct bank</t>
        </is>
      </c>
      <c r="T5620" s="17" t="n">
        <v>3990</v>
      </c>
      <c r="U5620" s="17" t="n">
        <v>114</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I-MV-0003</t>
        </is>
      </c>
      <c r="B5621" s="12" t="inlineStr">
        <is>
          <t>I</t>
        </is>
      </c>
      <c r="C5621" s="12" t="inlineStr">
        <is>
          <t>Modular / portable power</t>
        </is>
      </c>
      <c r="D5621" s="12" t="inlineStr">
        <is>
          <t>Modular-yard fuel-gas compressor</t>
        </is>
      </c>
      <c r="E5621" s="12" t="inlineStr">
        <is>
          <t>MOD-EH</t>
        </is>
      </c>
      <c r="F5621" s="12" t="inlineStr">
        <is>
          <t>MOD-EH: 13.8 kV modular collector e-house</t>
        </is>
      </c>
      <c r="G5621" s="12" t="inlineStr"/>
      <c r="H5621" s="12" t="inlineStr">
        <is>
          <t>Fuel-gas compressors 3 x 100% electric</t>
        </is>
      </c>
      <c r="I5621" s="12" t="inlineStr">
        <is>
          <t>MV 15 kV</t>
        </is>
      </c>
      <c r="J5621" s="12" t="inlineStr">
        <is>
          <t>ARMOR-X MC-HL / MV-105 15 kV 3/C Cu, EPR 133%, tape shield, gnd, CWA, red PVC</t>
        </is>
      </c>
      <c r="K5621" s="12" t="inlineStr">
        <is>
          <t>MV15AX|3/C|2</t>
        </is>
      </c>
      <c r="L5621" s="12" t="inlineStr">
        <is>
          <t>3/C</t>
        </is>
      </c>
      <c r="M5621" s="12" t="inlineStr">
        <is>
          <t>2</t>
        </is>
      </c>
      <c r="N5621" s="12" t="n">
        <v>1</v>
      </c>
      <c r="O5621" s="12" t="n">
        <v>1</v>
      </c>
      <c r="P5621" s="12" t="n">
        <v>13800</v>
      </c>
      <c r="Q5621" s="12" t="n">
        <v>1500</v>
      </c>
      <c r="R5621" s="12" t="n">
        <v>70</v>
      </c>
      <c r="S5621" s="12" t="inlineStr">
        <is>
          <t>HV duct bank</t>
        </is>
      </c>
      <c r="T5621" s="17" t="n">
        <v>3990</v>
      </c>
      <c r="U5621" s="17" t="n">
        <v>114</v>
      </c>
      <c r="V5621" s="17">
        <f>ROUNDUP((T5621+U5621+2*'Read Me'!$B$13)*(1+'Read Me'!$B$12),-1)</f>
        <v/>
      </c>
      <c r="W5621" s="17">
        <f>V5621*N5621*O5621</f>
        <v/>
      </c>
      <c r="X5621" s="12">
        <f>IF(LEFT(I5621,2)="MV",2*N5621*IF(L5621="1/C",O5621,1),0)</f>
        <v/>
      </c>
      <c r="Y5621" s="12">
        <f>IF(OR(LEFT(K5621,4)="LVAX",LEFT(K5621,6)="MV15AX",LEFT(K5621,4)="CTAX",LEFT(K5621,2)="W|"),2*N5621*O5621,0)</f>
        <v/>
      </c>
      <c r="Z5621" s="12" t="inlineStr"/>
      <c r="AA5621" s="12">
        <f>N5621*O5621</f>
        <v/>
      </c>
    </row>
    <row r="5622">
      <c r="A5622" s="12" t="inlineStr">
        <is>
          <t>I-MV-0004</t>
        </is>
      </c>
      <c r="B5622" s="12" t="inlineStr">
        <is>
          <t>I</t>
        </is>
      </c>
      <c r="C5622" s="12" t="inlineStr">
        <is>
          <t>Modular / portable power</t>
        </is>
      </c>
      <c r="D5622" s="12" t="inlineStr">
        <is>
          <t>SC-1 PCM to MOD-EH</t>
        </is>
      </c>
      <c r="E5622" s="12" t="inlineStr"/>
      <c r="F5622" s="12" t="inlineStr">
        <is>
          <t>SC-1 PCM + 15 kV GCB</t>
        </is>
      </c>
      <c r="G5622" s="12" t="inlineStr">
        <is>
          <t>MOD-EH</t>
        </is>
      </c>
      <c r="H5622" s="12" t="inlineStr">
        <is>
          <t>MOD-EH: 13.8 kV modular collector e-house</t>
        </is>
      </c>
      <c r="I5622" s="12" t="inlineStr">
        <is>
          <t>MV 15 kV</t>
        </is>
      </c>
      <c r="J5622" s="12" t="inlineStr">
        <is>
          <t>MV-105 15 kV 1/C Cu, EPR 133%, Cu tape shield, PVC jacket (triplexed)</t>
        </is>
      </c>
      <c r="K5622" s="12" t="inlineStr">
        <is>
          <t>MV15|1/C|750</t>
        </is>
      </c>
      <c r="L5622" s="12" t="inlineStr">
        <is>
          <t>1/C</t>
        </is>
      </c>
      <c r="M5622" s="12" t="inlineStr">
        <is>
          <t>750 kcmil</t>
        </is>
      </c>
      <c r="N5622" s="12" t="n">
        <v>5</v>
      </c>
      <c r="O5622" s="12" t="n">
        <v>3</v>
      </c>
      <c r="P5622" s="12" t="n">
        <v>13800</v>
      </c>
      <c r="Q5622" s="12" t="n">
        <v>50000</v>
      </c>
      <c r="R5622" s="12" t="n">
        <v>2092</v>
      </c>
      <c r="S5622" s="12" t="inlineStr">
        <is>
          <t>Duct bank</t>
        </is>
      </c>
      <c r="T5622" s="17" t="n">
        <v>397</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I-MV-0005</t>
        </is>
      </c>
      <c r="B5623" s="12" t="inlineStr">
        <is>
          <t>I</t>
        </is>
      </c>
      <c r="C5623" s="12" t="inlineStr">
        <is>
          <t>Modular / portable power</t>
        </is>
      </c>
      <c r="D5623" s="12" t="inlineStr">
        <is>
          <t>SC-2 PCM to MOD-EH</t>
        </is>
      </c>
      <c r="E5623" s="12" t="inlineStr"/>
      <c r="F5623" s="12" t="inlineStr">
        <is>
          <t>SC-2 PCM + 15 kV GCB</t>
        </is>
      </c>
      <c r="G5623" s="12" t="inlineStr">
        <is>
          <t>MOD-EH</t>
        </is>
      </c>
      <c r="H5623" s="12" t="inlineStr">
        <is>
          <t>MOD-EH: 13.8 kV modular collector e-house</t>
        </is>
      </c>
      <c r="I5623" s="12" t="inlineStr">
        <is>
          <t>MV 15 kV</t>
        </is>
      </c>
      <c r="J5623" s="12" t="inlineStr">
        <is>
          <t>MV-105 15 kV 1/C Cu, EPR 133%, Cu tape shield, PVC jacket (triplexed)</t>
        </is>
      </c>
      <c r="K5623" s="12" t="inlineStr">
        <is>
          <t>MV15|1/C|750</t>
        </is>
      </c>
      <c r="L5623" s="12" t="inlineStr">
        <is>
          <t>1/C</t>
        </is>
      </c>
      <c r="M5623" s="12" t="inlineStr">
        <is>
          <t>750 kcmil</t>
        </is>
      </c>
      <c r="N5623" s="12" t="n">
        <v>5</v>
      </c>
      <c r="O5623" s="12" t="n">
        <v>3</v>
      </c>
      <c r="P5623" s="12" t="n">
        <v>13800</v>
      </c>
      <c r="Q5623" s="12" t="n">
        <v>50000</v>
      </c>
      <c r="R5623" s="12" t="n">
        <v>2092</v>
      </c>
      <c r="S5623" s="12" t="inlineStr">
        <is>
          <t>HV duct bank</t>
        </is>
      </c>
      <c r="T5623" s="17" t="n">
        <v>3990</v>
      </c>
      <c r="U5623" s="17" t="n">
        <v>38</v>
      </c>
      <c r="V5623" s="17">
        <f>ROUNDUP((T5623+U5623+2*'Read Me'!$B$13)*(1+'Read Me'!$B$12),-1)</f>
        <v/>
      </c>
      <c r="W5623" s="17">
        <f>V5623*N5623*O5623</f>
        <v/>
      </c>
      <c r="X5623" s="12">
        <f>IF(LEFT(I5623,2)="MV",2*N5623*IF(L5623="1/C",O5623,1),0)</f>
        <v/>
      </c>
      <c r="Y5623" s="12">
        <f>IF(OR(LEFT(K5623,4)="LVAX",LEFT(K5623,6)="MV15AX",LEFT(K5623,4)="CTAX",LEFT(K5623,2)="W|"),2*N5623*O5623,0)</f>
        <v/>
      </c>
      <c r="Z5623" s="12" t="inlineStr"/>
      <c r="AA5623" s="12">
        <f>N5623*O5623</f>
        <v/>
      </c>
    </row>
    <row r="5624">
      <c r="A5624" s="12" t="inlineStr">
        <is>
          <t>I-MV-0006</t>
        </is>
      </c>
      <c r="B5624" s="12" t="inlineStr">
        <is>
          <t>I</t>
        </is>
      </c>
      <c r="C5624" s="12" t="inlineStr">
        <is>
          <t>Modular / portable power</t>
        </is>
      </c>
      <c r="D5624" s="12" t="inlineStr">
        <is>
          <t>MOD-LV step-up to MOD-EH</t>
        </is>
      </c>
      <c r="E5624" s="12" t="inlineStr"/>
      <c r="F5624" s="12" t="inlineStr">
        <is>
          <t>MOD-LV 480 V board + 480 V : 13.8 kV step-up</t>
        </is>
      </c>
      <c r="G5624" s="12" t="inlineStr">
        <is>
          <t>MOD-EH</t>
        </is>
      </c>
      <c r="H5624" s="12" t="inlineStr">
        <is>
          <t>MOD-EH: 13.8 kV modular collector e-house</t>
        </is>
      </c>
      <c r="I5624" s="12" t="inlineStr">
        <is>
          <t>MV 15 kV</t>
        </is>
      </c>
      <c r="J5624" s="12" t="inlineStr">
        <is>
          <t>MV-105 15 kV 1/C Cu, EPR 133%, Cu tape shield, PVC jacket (triplexed)</t>
        </is>
      </c>
      <c r="K5624" s="12" t="inlineStr">
        <is>
          <t>MV15|1/C|500</t>
        </is>
      </c>
      <c r="L5624" s="12" t="inlineStr">
        <is>
          <t>1/C</t>
        </is>
      </c>
      <c r="M5624" s="12" t="inlineStr">
        <is>
          <t>500 kcmil</t>
        </is>
      </c>
      <c r="N5624" s="12" t="n">
        <v>1</v>
      </c>
      <c r="O5624" s="12" t="n">
        <v>3</v>
      </c>
      <c r="P5624" s="12" t="n">
        <v>13800</v>
      </c>
      <c r="Q5624" s="12" t="n">
        <v>7500</v>
      </c>
      <c r="R5624" s="12" t="n">
        <v>314</v>
      </c>
      <c r="S5624" s="12" t="inlineStr">
        <is>
          <t>Duct bank</t>
        </is>
      </c>
      <c r="T5624" s="17" t="n">
        <v>350</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I-MV-0007</t>
        </is>
      </c>
      <c r="B5625" s="12" t="inlineStr">
        <is>
          <t>I</t>
        </is>
      </c>
      <c r="C5625" s="12" t="inlineStr">
        <is>
          <t>Modular / portable power</t>
        </is>
      </c>
      <c r="D5625" s="12" t="inlineStr">
        <is>
          <t>CONT-3 13.8 kV to PAD-EH (extension section, ground tray)</t>
        </is>
      </c>
      <c r="E5625" s="12" t="inlineStr">
        <is>
          <t>CONT-3</t>
        </is>
      </c>
      <c r="F5625" s="12" t="inlineStr">
        <is>
          <t>CONT-3: containerized gas genset 13.8 kV (40 ft)</t>
        </is>
      </c>
      <c r="G5625" s="12" t="inlineStr">
        <is>
          <t>PAD-EH</t>
        </is>
      </c>
      <c r="H5625" s="12" t="inlineStr">
        <is>
          <t>PAD-EH 13.8 kV switchgear e-house</t>
        </is>
      </c>
      <c r="I5625" s="12" t="inlineStr">
        <is>
          <t>MV 15 kV</t>
        </is>
      </c>
      <c r="J5625" s="12" t="inlineStr">
        <is>
          <t>MV-105 15 kV 1/C Cu, EPR 133%, Cu tape shield, PVC jacket (triplexed)</t>
        </is>
      </c>
      <c r="K5625" s="12" t="inlineStr">
        <is>
          <t>MV15|1/C|2</t>
        </is>
      </c>
      <c r="L5625" s="12" t="inlineStr">
        <is>
          <t>1/C</t>
        </is>
      </c>
      <c r="M5625" s="12" t="inlineStr">
        <is>
          <t>2</t>
        </is>
      </c>
      <c r="N5625" s="12" t="n">
        <v>1</v>
      </c>
      <c r="O5625" s="12" t="n">
        <v>3</v>
      </c>
      <c r="P5625" s="12" t="n">
        <v>13800</v>
      </c>
      <c r="Q5625" s="12" t="n">
        <v>2000</v>
      </c>
      <c r="R5625" s="12" t="n">
        <v>93</v>
      </c>
      <c r="S5625" s="12" t="inlineStr">
        <is>
          <t>Surface</t>
        </is>
      </c>
      <c r="T5625" s="17" t="n">
        <v>191</v>
      </c>
      <c r="U5625" s="17" t="n">
        <v>32</v>
      </c>
      <c r="V5625" s="17">
        <f>ROUNDUP((T5625+U5625+2*'Read Me'!$B$13)*(1+'Read Me'!$B$12),-1)</f>
        <v/>
      </c>
      <c r="W5625" s="17">
        <f>V5625*N5625*O5625</f>
        <v/>
      </c>
      <c r="X5625" s="12">
        <f>IF(LEFT(I5625,2)="MV",2*N5625*IF(L5625="1/C",O5625,1),0)</f>
        <v/>
      </c>
      <c r="Y5625" s="12">
        <f>IF(OR(LEFT(K5625,4)="LVAX",LEFT(K5625,6)="MV15AX",LEFT(K5625,4)="CTAX",LEFT(K5625,2)="W|"),2*N5625*O5625,0)</f>
        <v/>
      </c>
      <c r="Z5625" s="12" t="inlineStr"/>
      <c r="AA5625" s="12">
        <f>N5625*O5625</f>
        <v/>
      </c>
    </row>
    <row r="5626">
      <c r="A5626" s="12" t="inlineStr">
        <is>
          <t>I-MV-0008</t>
        </is>
      </c>
      <c r="B5626" s="12" t="inlineStr">
        <is>
          <t>I</t>
        </is>
      </c>
      <c r="C5626" s="12" t="inlineStr">
        <is>
          <t>Modular / portable power</t>
        </is>
      </c>
      <c r="D5626" s="12" t="inlineStr">
        <is>
          <t>CONT-4 13.8 kV to PAD-EH (extension section, ground tray)</t>
        </is>
      </c>
      <c r="E5626" s="12" t="inlineStr">
        <is>
          <t>CONT-4</t>
        </is>
      </c>
      <c r="F5626" s="12" t="inlineStr">
        <is>
          <t>CONT-4: containerized gas genset 13.8 kV (40 ft)</t>
        </is>
      </c>
      <c r="G5626" s="12" t="inlineStr">
        <is>
          <t>PAD-EH</t>
        </is>
      </c>
      <c r="H5626" s="12" t="inlineStr">
        <is>
          <t>PAD-EH 13.8 kV switchgear e-house</t>
        </is>
      </c>
      <c r="I5626" s="12" t="inlineStr">
        <is>
          <t>MV 15 kV</t>
        </is>
      </c>
      <c r="J5626" s="12" t="inlineStr">
        <is>
          <t>MV-105 15 kV 1/C Cu, EPR 133%, Cu tape shield, PVC jacket (triplexed)</t>
        </is>
      </c>
      <c r="K5626" s="12" t="inlineStr">
        <is>
          <t>MV15|1/C|2</t>
        </is>
      </c>
      <c r="L5626" s="12" t="inlineStr">
        <is>
          <t>1/C</t>
        </is>
      </c>
      <c r="M5626" s="12" t="inlineStr">
        <is>
          <t>2</t>
        </is>
      </c>
      <c r="N5626" s="12" t="n">
        <v>1</v>
      </c>
      <c r="O5626" s="12" t="n">
        <v>3</v>
      </c>
      <c r="P5626" s="12" t="n">
        <v>13800</v>
      </c>
      <c r="Q5626" s="12" t="n">
        <v>2000</v>
      </c>
      <c r="R5626" s="12" t="n">
        <v>93</v>
      </c>
      <c r="S5626" s="12" t="inlineStr">
        <is>
          <t>Surface</t>
        </is>
      </c>
      <c r="T5626" s="17" t="n">
        <v>71</v>
      </c>
      <c r="U5626" s="17" t="n">
        <v>72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I-MV-0009</t>
        </is>
      </c>
      <c r="B5627" s="12" t="inlineStr">
        <is>
          <t>I</t>
        </is>
      </c>
      <c r="C5627" s="12" t="inlineStr">
        <is>
          <t>Modular / portable power</t>
        </is>
      </c>
      <c r="D5627" s="12" t="inlineStr">
        <is>
          <t>CONT-5 13.8 kV to PAD-EH (extension section, ground tray)</t>
        </is>
      </c>
      <c r="E5627" s="12" t="inlineStr">
        <is>
          <t>CONT-5</t>
        </is>
      </c>
      <c r="F5627" s="12" t="inlineStr">
        <is>
          <t>CONT-5: containerized gas genset 13.8 kV (40 ft)</t>
        </is>
      </c>
      <c r="G5627" s="12" t="inlineStr">
        <is>
          <t>PAD-EH</t>
        </is>
      </c>
      <c r="H5627" s="12" t="inlineStr">
        <is>
          <t>PAD-EH 13.8 kV switchgear e-house</t>
        </is>
      </c>
      <c r="I5627" s="12" t="inlineStr">
        <is>
          <t>MV 15 kV</t>
        </is>
      </c>
      <c r="J5627" s="12" t="inlineStr">
        <is>
          <t>MV-105 15 kV 1/C Cu, EPR 133%, Cu tape shield, PVC jacket (triplexed)</t>
        </is>
      </c>
      <c r="K5627" s="12" t="inlineStr">
        <is>
          <t>MV15|1/C|2</t>
        </is>
      </c>
      <c r="L5627" s="12" t="inlineStr">
        <is>
          <t>1/C</t>
        </is>
      </c>
      <c r="M5627" s="12" t="inlineStr">
        <is>
          <t>2</t>
        </is>
      </c>
      <c r="N5627" s="12" t="n">
        <v>1</v>
      </c>
      <c r="O5627" s="12" t="n">
        <v>3</v>
      </c>
      <c r="P5627" s="12" t="n">
        <v>13800</v>
      </c>
      <c r="Q5627" s="12" t="n">
        <v>2000</v>
      </c>
      <c r="R5627" s="12" t="n">
        <v>93</v>
      </c>
      <c r="S5627" s="12" t="inlineStr">
        <is>
          <t>Duct bank</t>
        </is>
      </c>
      <c r="T5627" s="17" t="n">
        <v>47</v>
      </c>
      <c r="U5627" s="17" t="n">
        <v>36</v>
      </c>
      <c r="V5627" s="17">
        <f>ROUNDUP((T5627+U5627+2*'Read Me'!$B$13)*(1+'Read Me'!$B$12),-1)</f>
        <v/>
      </c>
      <c r="W5627" s="17">
        <f>V5627*N5627*O5627</f>
        <v/>
      </c>
      <c r="X5627" s="12">
        <f>IF(LEFT(I5627,2)="MV",2*N5627*IF(L5627="1/C",O5627,1),0)</f>
        <v/>
      </c>
      <c r="Y5627" s="12">
        <f>IF(OR(LEFT(K5627,4)="LVAX",LEFT(K5627,6)="MV15AX",LEFT(K5627,4)="CTAX",LEFT(K5627,2)="W|"),2*N5627*O5627,0)</f>
        <v/>
      </c>
      <c r="Z5627" s="12" t="inlineStr"/>
      <c r="AA5627" s="12">
        <f>N5627*O5627</f>
        <v/>
      </c>
    </row>
    <row r="5628">
      <c r="A5628" s="12" t="inlineStr">
        <is>
          <t>I-MV-0010</t>
        </is>
      </c>
      <c r="B5628" s="12" t="inlineStr">
        <is>
          <t>I</t>
        </is>
      </c>
      <c r="C5628" s="12" t="inlineStr">
        <is>
          <t>Modular / portable power</t>
        </is>
      </c>
      <c r="D5628" s="12" t="inlineStr">
        <is>
          <t>CONT-6 13.8 kV to PAD-EH (extension section, ground tray)</t>
        </is>
      </c>
      <c r="E5628" s="12" t="inlineStr">
        <is>
          <t>CONT-6</t>
        </is>
      </c>
      <c r="F5628" s="12" t="inlineStr">
        <is>
          <t>CONT-6: containerized gas genset 13.8 kV (40 ft)</t>
        </is>
      </c>
      <c r="G5628" s="12" t="inlineStr">
        <is>
          <t>PAD-EH</t>
        </is>
      </c>
      <c r="H5628" s="12" t="inlineStr">
        <is>
          <t>PAD-EH 13.8 kV switchgear e-house</t>
        </is>
      </c>
      <c r="I5628" s="12" t="inlineStr">
        <is>
          <t>MV 15 kV</t>
        </is>
      </c>
      <c r="J5628" s="12" t="inlineStr">
        <is>
          <t>MV-105 15 kV 1/C Cu, EPR 133%, Cu tape shield, PVC jacket (triplexed)</t>
        </is>
      </c>
      <c r="K5628" s="12" t="inlineStr">
        <is>
          <t>MV15|1/C|2</t>
        </is>
      </c>
      <c r="L5628" s="12" t="inlineStr">
        <is>
          <t>1/C</t>
        </is>
      </c>
      <c r="M5628" s="12" t="inlineStr">
        <is>
          <t>2</t>
        </is>
      </c>
      <c r="N5628" s="12" t="n">
        <v>1</v>
      </c>
      <c r="O5628" s="12" t="n">
        <v>3</v>
      </c>
      <c r="P5628" s="12" t="n">
        <v>13800</v>
      </c>
      <c r="Q5628" s="12" t="n">
        <v>2000</v>
      </c>
      <c r="R5628" s="12" t="n">
        <v>93</v>
      </c>
      <c r="S5628" s="12" t="inlineStr">
        <is>
          <t>Surface</t>
        </is>
      </c>
      <c r="T5628" s="17" t="n">
        <v>242</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I-MV-0011</t>
        </is>
      </c>
      <c r="B5629" s="12" t="inlineStr">
        <is>
          <t>I</t>
        </is>
      </c>
      <c r="C5629" s="12" t="inlineStr">
        <is>
          <t>Modular / portable power</t>
        </is>
      </c>
      <c r="D5629" s="12" t="inlineStr">
        <is>
          <t>CONT-7 13.8 kV to PAD-EH (extension section, ground tray)</t>
        </is>
      </c>
      <c r="E5629" s="12" t="inlineStr">
        <is>
          <t>CONT-7</t>
        </is>
      </c>
      <c r="F5629" s="12" t="inlineStr">
        <is>
          <t>CONT-7: containerized gas genset 13.8 kV (40 ft)</t>
        </is>
      </c>
      <c r="G5629" s="12" t="inlineStr">
        <is>
          <t>PAD-EH</t>
        </is>
      </c>
      <c r="H5629" s="12" t="inlineStr">
        <is>
          <t>PAD-EH 13.8 kV switchgear e-house</t>
        </is>
      </c>
      <c r="I5629" s="12" t="inlineStr">
        <is>
          <t>MV 15 kV</t>
        </is>
      </c>
      <c r="J5629" s="12" t="inlineStr">
        <is>
          <t>MV-105 15 kV 1/C Cu, EPR 133%, Cu tape shield, PVC jacket (triplexed)</t>
        </is>
      </c>
      <c r="K5629" s="12" t="inlineStr">
        <is>
          <t>MV15|1/C|2</t>
        </is>
      </c>
      <c r="L5629" s="12" t="inlineStr">
        <is>
          <t>1/C</t>
        </is>
      </c>
      <c r="M5629" s="12" t="inlineStr">
        <is>
          <t>2</t>
        </is>
      </c>
      <c r="N5629" s="12" t="n">
        <v>1</v>
      </c>
      <c r="O5629" s="12" t="n">
        <v>3</v>
      </c>
      <c r="P5629" s="12" t="n">
        <v>13800</v>
      </c>
      <c r="Q5629" s="12" t="n">
        <v>2000</v>
      </c>
      <c r="R5629" s="12" t="n">
        <v>93</v>
      </c>
      <c r="S5629" s="12" t="inlineStr">
        <is>
          <t>Surface</t>
        </is>
      </c>
      <c r="T5629" s="17" t="n">
        <v>228</v>
      </c>
      <c r="U5629" s="17" t="n">
        <v>46</v>
      </c>
      <c r="V5629" s="17">
        <f>ROUNDUP((T5629+U5629+2*'Read Me'!$B$13)*(1+'Read Me'!$B$12),-1)</f>
        <v/>
      </c>
      <c r="W5629" s="17">
        <f>V5629*N5629*O5629</f>
        <v/>
      </c>
      <c r="X5629" s="12">
        <f>IF(LEFT(I5629,2)="MV",2*N5629*IF(L5629="1/C",O5629,1),0)</f>
        <v/>
      </c>
      <c r="Y5629" s="12">
        <f>IF(OR(LEFT(K5629,4)="LVAX",LEFT(K5629,6)="MV15AX",LEFT(K5629,4)="CTAX",LEFT(K5629,2)="W|"),2*N5629*O5629,0)</f>
        <v/>
      </c>
      <c r="Z5629" s="12" t="inlineStr"/>
      <c r="AA5629" s="12">
        <f>N5629*O5629</f>
        <v/>
      </c>
    </row>
    <row r="5630">
      <c r="A5630" s="12" t="inlineStr">
        <is>
          <t>I-MV-0012</t>
        </is>
      </c>
      <c r="B5630" s="12" t="inlineStr">
        <is>
          <t>I</t>
        </is>
      </c>
      <c r="C5630" s="12" t="inlineStr">
        <is>
          <t>Modular / portable power</t>
        </is>
      </c>
      <c r="D5630" s="12" t="inlineStr">
        <is>
          <t>CONT-8 13.8 kV to PAD-EH (extension section, ground tray)</t>
        </is>
      </c>
      <c r="E5630" s="12" t="inlineStr">
        <is>
          <t>CONT-8</t>
        </is>
      </c>
      <c r="F5630" s="12" t="inlineStr">
        <is>
          <t>CONT-8: containerized gas genset 13.8 kV (40 ft)</t>
        </is>
      </c>
      <c r="G5630" s="12" t="inlineStr">
        <is>
          <t>PAD-EH</t>
        </is>
      </c>
      <c r="H5630" s="12" t="inlineStr">
        <is>
          <t>PAD-EH 13.8 kV switchgear e-house</t>
        </is>
      </c>
      <c r="I5630" s="12" t="inlineStr">
        <is>
          <t>MV 15 kV</t>
        </is>
      </c>
      <c r="J5630" s="12" t="inlineStr">
        <is>
          <t>MV-105 15 kV 1/C Cu, EPR 133%, Cu tape shield, PVC jacket (triplexed)</t>
        </is>
      </c>
      <c r="K5630" s="12" t="inlineStr">
        <is>
          <t>MV15|1/C|2</t>
        </is>
      </c>
      <c r="L5630" s="12" t="inlineStr">
        <is>
          <t>1/C</t>
        </is>
      </c>
      <c r="M5630" s="12" t="inlineStr">
        <is>
          <t>2</t>
        </is>
      </c>
      <c r="N5630" s="12" t="n">
        <v>1</v>
      </c>
      <c r="O5630" s="12" t="n">
        <v>3</v>
      </c>
      <c r="P5630" s="12" t="n">
        <v>13800</v>
      </c>
      <c r="Q5630" s="12" t="n">
        <v>2000</v>
      </c>
      <c r="R5630" s="12" t="n">
        <v>93</v>
      </c>
      <c r="S5630" s="12" t="inlineStr">
        <is>
          <t>Surface</t>
        </is>
      </c>
      <c r="T5630" s="17" t="n">
        <v>97</v>
      </c>
      <c r="U5630" s="17" t="n">
        <v>36</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I-MV-0013</t>
        </is>
      </c>
      <c r="B5631" s="12" t="inlineStr">
        <is>
          <t>I</t>
        </is>
      </c>
      <c r="C5631" s="12" t="inlineStr">
        <is>
          <t>Modular / portable power</t>
        </is>
      </c>
      <c r="D5631" s="12" t="inlineStr">
        <is>
          <t>TM-1 (TM2500) generator leads to PAD-EH</t>
        </is>
      </c>
      <c r="E5631" s="12" t="inlineStr">
        <is>
          <t>TM-1</t>
        </is>
      </c>
      <c r="F5631" s="12" t="inlineStr">
        <is>
          <t>TM-1: trailer-mounted aeroderivative GT (TM2500 class, ~35 MW)</t>
        </is>
      </c>
      <c r="G5631" s="12" t="inlineStr">
        <is>
          <t>PAD-EH</t>
        </is>
      </c>
      <c r="H5631" s="12" t="inlineStr">
        <is>
          <t>PAD-EH 13.8 kV switchgear e-house</t>
        </is>
      </c>
      <c r="I5631" s="12" t="inlineStr">
        <is>
          <t>MV 15 kV</t>
        </is>
      </c>
      <c r="J5631" s="12" t="inlineStr">
        <is>
          <t>MV-105 15 kV 1/C Cu, EPR 133%, Cu tape shield, PVC jacket (triplexed)</t>
        </is>
      </c>
      <c r="K5631" s="12" t="inlineStr">
        <is>
          <t>MV15|1/C|1000</t>
        </is>
      </c>
      <c r="L5631" s="12" t="inlineStr">
        <is>
          <t>1/C</t>
        </is>
      </c>
      <c r="M5631" s="12" t="inlineStr">
        <is>
          <t>1000 kcmil</t>
        </is>
      </c>
      <c r="N5631" s="12" t="n">
        <v>3</v>
      </c>
      <c r="O5631" s="12" t="n">
        <v>3</v>
      </c>
      <c r="P5631" s="12" t="n">
        <v>13800</v>
      </c>
      <c r="Q5631" s="12" t="n">
        <v>35000</v>
      </c>
      <c r="R5631" s="12" t="n">
        <v>1464</v>
      </c>
      <c r="S5631" s="12" t="inlineStr">
        <is>
          <t>Surface</t>
        </is>
      </c>
      <c r="T5631" s="17" t="n">
        <v>393</v>
      </c>
      <c r="U5631" s="17" t="n">
        <v>27</v>
      </c>
      <c r="V5631" s="17">
        <f>ROUNDUP((T5631+U5631+2*'Read Me'!$B$13)*(1+'Read Me'!$B$12),-1)</f>
        <v/>
      </c>
      <c r="W5631" s="17">
        <f>V5631*N5631*O5631</f>
        <v/>
      </c>
      <c r="X5631" s="12">
        <f>IF(LEFT(I5631,2)="MV",2*N5631*IF(L5631="1/C",O5631,1),0)</f>
        <v/>
      </c>
      <c r="Y5631" s="12">
        <f>IF(OR(LEFT(K5631,4)="LVAX",LEFT(K5631,6)="MV15AX",LEFT(K5631,4)="CTAX",LEFT(K5631,2)="W|"),2*N5631*O5631,0)</f>
        <v/>
      </c>
      <c r="Z5631" s="12" t="inlineStr">
        <is>
          <t>3 per phase for 125 % (the model shows 2 per phase: update the model)</t>
        </is>
      </c>
      <c r="AA5631" s="12">
        <f>N5631*O5631</f>
        <v/>
      </c>
    </row>
    <row r="5632">
      <c r="A5632" s="12" t="inlineStr">
        <is>
          <t>I-MV-0014</t>
        </is>
      </c>
      <c r="B5632" s="12" t="inlineStr">
        <is>
          <t>I</t>
        </is>
      </c>
      <c r="C5632" s="12" t="inlineStr">
        <is>
          <t>Modular / portable power</t>
        </is>
      </c>
      <c r="D5632" s="12" t="inlineStr">
        <is>
          <t>TM-2 (TM2500) generator leads to PAD-EH</t>
        </is>
      </c>
      <c r="E5632" s="12" t="inlineStr">
        <is>
          <t>TM-2</t>
        </is>
      </c>
      <c r="F5632" s="12" t="inlineStr">
        <is>
          <t>TM-2: trailer-mounted aeroderivative GT (TM2500 class, ~35 MW)</t>
        </is>
      </c>
      <c r="G5632" s="12" t="inlineStr">
        <is>
          <t>PAD-EH</t>
        </is>
      </c>
      <c r="H5632" s="12" t="inlineStr">
        <is>
          <t>PAD-EH 13.8 kV switchgear e-house</t>
        </is>
      </c>
      <c r="I5632" s="12" t="inlineStr">
        <is>
          <t>MV 15 kV</t>
        </is>
      </c>
      <c r="J5632" s="12" t="inlineStr">
        <is>
          <t>MV-105 15 kV 1/C Cu, EPR 133%, Cu tape shield, PVC jacket (triplexed)</t>
        </is>
      </c>
      <c r="K5632" s="12" t="inlineStr">
        <is>
          <t>MV15|1/C|1000</t>
        </is>
      </c>
      <c r="L5632" s="12" t="inlineStr">
        <is>
          <t>1/C</t>
        </is>
      </c>
      <c r="M5632" s="12" t="inlineStr">
        <is>
          <t>1000 kcmil</t>
        </is>
      </c>
      <c r="N5632" s="12" t="n">
        <v>3</v>
      </c>
      <c r="O5632" s="12" t="n">
        <v>3</v>
      </c>
      <c r="P5632" s="12" t="n">
        <v>13800</v>
      </c>
      <c r="Q5632" s="12" t="n">
        <v>35000</v>
      </c>
      <c r="R5632" s="12" t="n">
        <v>1464</v>
      </c>
      <c r="S5632" s="12" t="inlineStr">
        <is>
          <t>Surface</t>
        </is>
      </c>
      <c r="T5632" s="17" t="n">
        <v>399</v>
      </c>
      <c r="U5632" s="17" t="n">
        <v>27</v>
      </c>
      <c r="V5632" s="17">
        <f>ROUNDUP((T5632+U5632+2*'Read Me'!$B$13)*(1+'Read Me'!$B$12),-1)</f>
        <v/>
      </c>
      <c r="W5632" s="17">
        <f>V5632*N5632*O5632</f>
        <v/>
      </c>
      <c r="X5632" s="12">
        <f>IF(LEFT(I5632,2)="MV",2*N5632*IF(L5632="1/C",O5632,1),0)</f>
        <v/>
      </c>
      <c r="Y5632" s="12">
        <f>IF(OR(LEFT(K5632,4)="LVAX",LEFT(K5632,6)="MV15AX",LEFT(K5632,4)="CTAX",LEFT(K5632,2)="W|"),2*N5632*O5632,0)</f>
        <v/>
      </c>
      <c r="Z5632" s="12" t="inlineStr">
        <is>
          <t>3 per phase for 125 % (the model shows 2 per phase: update the model)</t>
        </is>
      </c>
      <c r="AA5632" s="12">
        <f>N5632*O5632</f>
        <v/>
      </c>
    </row>
    <row r="5633">
      <c r="A5633" s="12" t="inlineStr">
        <is>
          <t>I-MV-0015</t>
        </is>
      </c>
      <c r="B5633" s="12" t="inlineStr">
        <is>
          <t>I</t>
        </is>
      </c>
      <c r="C5633" s="12" t="inlineStr">
        <is>
          <t>Modular / portable power</t>
        </is>
      </c>
      <c r="D5633" s="12" t="inlineStr">
        <is>
          <t>Block 1 13.8 kV collection to PAD-EH</t>
        </is>
      </c>
      <c r="E5633" s="12" t="inlineStr">
        <is>
          <t>GBT-1</t>
        </is>
      </c>
      <c r="F5633" s="12" t="inlineStr">
        <is>
          <t>GBT-1: block 1 480 V : 13.8 kV 2,500 kVA pad-mount step-up</t>
        </is>
      </c>
      <c r="G5633" s="12" t="inlineStr">
        <is>
          <t>PAD-EH</t>
        </is>
      </c>
      <c r="H5633" s="12" t="inlineStr">
        <is>
          <t>PAD-EH 13.8 kV switchgear e-house</t>
        </is>
      </c>
      <c r="I5633" s="12" t="inlineStr">
        <is>
          <t>MV 15 kV</t>
        </is>
      </c>
      <c r="J5633" s="12" t="inlineStr">
        <is>
          <t>MV-105 15 kV 1/C Cu, EPR 133%, Cu tape shield, PVC jacket (triplexed)</t>
        </is>
      </c>
      <c r="K5633" s="12" t="inlineStr">
        <is>
          <t>MV15|1/C|2</t>
        </is>
      </c>
      <c r="L5633" s="12" t="inlineStr">
        <is>
          <t>1/C</t>
        </is>
      </c>
      <c r="M5633" s="12" t="inlineStr">
        <is>
          <t>2</t>
        </is>
      </c>
      <c r="N5633" s="12" t="n">
        <v>1</v>
      </c>
      <c r="O5633" s="12" t="n">
        <v>3</v>
      </c>
      <c r="P5633" s="12" t="n">
        <v>13800</v>
      </c>
      <c r="Q5633" s="12" t="n">
        <v>2250</v>
      </c>
      <c r="R5633" s="12" t="n">
        <v>94</v>
      </c>
      <c r="S5633" s="12" t="inlineStr">
        <is>
          <t>Surface</t>
        </is>
      </c>
      <c r="T5633" s="17" t="n">
        <v>131</v>
      </c>
      <c r="U5633" s="17" t="n">
        <v>27</v>
      </c>
      <c r="V5633" s="17">
        <f>ROUNDUP((T5633+U5633+2*'Read Me'!$B$13)*(1+'Read Me'!$B$12),-1)</f>
        <v/>
      </c>
      <c r="W5633" s="17">
        <f>V5633*N5633*O5633</f>
        <v/>
      </c>
      <c r="X5633" s="12">
        <f>IF(LEFT(I5633,2)="MV",2*N5633*IF(L5633="1/C",O5633,1),0)</f>
        <v/>
      </c>
      <c r="Y5633" s="12">
        <f>IF(OR(LEFT(K5633,4)="LVAX",LEFT(K5633,6)="MV15AX",LEFT(K5633,4)="CTAX",LEFT(K5633,2)="W|"),2*N5633*O5633,0)</f>
        <v/>
      </c>
      <c r="Z5633" s="12" t="inlineStr"/>
      <c r="AA5633" s="12">
        <f>N5633*O5633</f>
        <v/>
      </c>
    </row>
    <row r="5634">
      <c r="A5634" s="12" t="inlineStr">
        <is>
          <t>I-MV-0016</t>
        </is>
      </c>
      <c r="B5634" s="12" t="inlineStr">
        <is>
          <t>I</t>
        </is>
      </c>
      <c r="C5634" s="12" t="inlineStr">
        <is>
          <t>Modular / portable power</t>
        </is>
      </c>
      <c r="D5634" s="12" t="inlineStr">
        <is>
          <t>Block 2 13.8 kV collection to PAD-EH</t>
        </is>
      </c>
      <c r="E5634" s="12" t="inlineStr">
        <is>
          <t>GBT-2</t>
        </is>
      </c>
      <c r="F5634" s="12" t="inlineStr">
        <is>
          <t>GBT-2: block 2 480 V : 13.8 kV 2,500 kVA pad-mount step-up</t>
        </is>
      </c>
      <c r="G5634" s="12" t="inlineStr">
        <is>
          <t>PAD-EH</t>
        </is>
      </c>
      <c r="H5634" s="12" t="inlineStr">
        <is>
          <t>PAD-EH 13.8 kV switchgear e-house</t>
        </is>
      </c>
      <c r="I5634" s="12" t="inlineStr">
        <is>
          <t>MV 15 kV</t>
        </is>
      </c>
      <c r="J5634" s="12" t="inlineStr">
        <is>
          <t>MV-105 15 kV 1/C Cu, EPR 133%, Cu tape shield, PVC jacket (triplexed)</t>
        </is>
      </c>
      <c r="K5634" s="12" t="inlineStr">
        <is>
          <t>MV15|1/C|2</t>
        </is>
      </c>
      <c r="L5634" s="12" t="inlineStr">
        <is>
          <t>1/C</t>
        </is>
      </c>
      <c r="M5634" s="12" t="inlineStr">
        <is>
          <t>2</t>
        </is>
      </c>
      <c r="N5634" s="12" t="n">
        <v>1</v>
      </c>
      <c r="O5634" s="12" t="n">
        <v>3</v>
      </c>
      <c r="P5634" s="12" t="n">
        <v>13800</v>
      </c>
      <c r="Q5634" s="12" t="n">
        <v>2250</v>
      </c>
      <c r="R5634" s="12" t="n">
        <v>94</v>
      </c>
      <c r="S5634" s="12" t="inlineStr">
        <is>
          <t>Surface</t>
        </is>
      </c>
      <c r="T5634" s="17" t="n">
        <v>177</v>
      </c>
      <c r="U5634" s="17" t="n">
        <v>27</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I-MV-0017</t>
        </is>
      </c>
      <c r="B5635" s="12" t="inlineStr">
        <is>
          <t>I</t>
        </is>
      </c>
      <c r="C5635" s="12" t="inlineStr">
        <is>
          <t>Modular / portable power</t>
        </is>
      </c>
      <c r="D5635" s="12" t="inlineStr">
        <is>
          <t>Block 3 13.8 kV collection to PAD-EH</t>
        </is>
      </c>
      <c r="E5635" s="12" t="inlineStr">
        <is>
          <t>GBT-3</t>
        </is>
      </c>
      <c r="F5635" s="12" t="inlineStr">
        <is>
          <t>GBT-3: block 3 480 V : 13.8 kV 2,500 kVA pad-mount step-up</t>
        </is>
      </c>
      <c r="G5635" s="12" t="inlineStr">
        <is>
          <t>PAD-EH</t>
        </is>
      </c>
      <c r="H5635" s="12" t="inlineStr">
        <is>
          <t>PAD-EH 13.8 kV switchgear e-house</t>
        </is>
      </c>
      <c r="I5635" s="12" t="inlineStr">
        <is>
          <t>MV 15 kV</t>
        </is>
      </c>
      <c r="J5635" s="12" t="inlineStr">
        <is>
          <t>MV-105 15 kV 1/C Cu, EPR 133%, Cu tape shield, PVC jacket (triplexed)</t>
        </is>
      </c>
      <c r="K5635" s="12" t="inlineStr">
        <is>
          <t>MV15|1/C|2</t>
        </is>
      </c>
      <c r="L5635" s="12" t="inlineStr">
        <is>
          <t>1/C</t>
        </is>
      </c>
      <c r="M5635" s="12" t="inlineStr">
        <is>
          <t>2</t>
        </is>
      </c>
      <c r="N5635" s="12" t="n">
        <v>1</v>
      </c>
      <c r="O5635" s="12" t="n">
        <v>3</v>
      </c>
      <c r="P5635" s="12" t="n">
        <v>13800</v>
      </c>
      <c r="Q5635" s="12" t="n">
        <v>2250</v>
      </c>
      <c r="R5635" s="12" t="n">
        <v>94</v>
      </c>
      <c r="S5635" s="12" t="inlineStr">
        <is>
          <t>Surface</t>
        </is>
      </c>
      <c r="T5635" s="17" t="n">
        <v>111</v>
      </c>
      <c r="U5635" s="17" t="n">
        <v>27</v>
      </c>
      <c r="V5635" s="17">
        <f>ROUNDUP((T5635+U5635+2*'Read Me'!$B$13)*(1+'Read Me'!$B$12),-1)</f>
        <v/>
      </c>
      <c r="W5635" s="17">
        <f>V5635*N5635*O5635</f>
        <v/>
      </c>
      <c r="X5635" s="12">
        <f>IF(LEFT(I5635,2)="MV",2*N5635*IF(L5635="1/C",O5635,1),0)</f>
        <v/>
      </c>
      <c r="Y5635" s="12">
        <f>IF(OR(LEFT(K5635,4)="LVAX",LEFT(K5635,6)="MV15AX",LEFT(K5635,4)="CTAX",LEFT(K5635,2)="W|"),2*N5635*O5635,0)</f>
        <v/>
      </c>
      <c r="Z5635" s="12" t="inlineStr"/>
      <c r="AA5635" s="12">
        <f>N5635*O5635</f>
        <v/>
      </c>
    </row>
    <row r="5636">
      <c r="A5636" s="12" t="inlineStr">
        <is>
          <t>I-MV-0018</t>
        </is>
      </c>
      <c r="B5636" s="12" t="inlineStr">
        <is>
          <t>I</t>
        </is>
      </c>
      <c r="C5636" s="12" t="inlineStr">
        <is>
          <t>Modular / portable power</t>
        </is>
      </c>
      <c r="D5636" s="12" t="inlineStr">
        <is>
          <t>Block 4 13.8 kV collection to PAD-EH</t>
        </is>
      </c>
      <c r="E5636" s="12" t="inlineStr">
        <is>
          <t>GBT-4</t>
        </is>
      </c>
      <c r="F5636" s="12" t="inlineStr">
        <is>
          <t>GBT-4: block 4 480 V : 13.8 kV 2,500 kVA pad-mount step-up</t>
        </is>
      </c>
      <c r="G5636" s="12" t="inlineStr">
        <is>
          <t>PAD-EH</t>
        </is>
      </c>
      <c r="H5636" s="12" t="inlineStr">
        <is>
          <t>PAD-EH 13.8 kV switchgear e-house</t>
        </is>
      </c>
      <c r="I5636" s="12" t="inlineStr">
        <is>
          <t>MV 15 kV</t>
        </is>
      </c>
      <c r="J5636" s="12" t="inlineStr">
        <is>
          <t>MV-105 15 kV 1/C Cu, EPR 133%, Cu tape shield, PVC jacket (triplexed)</t>
        </is>
      </c>
      <c r="K5636" s="12" t="inlineStr">
        <is>
          <t>MV15|1/C|2</t>
        </is>
      </c>
      <c r="L5636" s="12" t="inlineStr">
        <is>
          <t>1/C</t>
        </is>
      </c>
      <c r="M5636" s="12" t="inlineStr">
        <is>
          <t>2</t>
        </is>
      </c>
      <c r="N5636" s="12" t="n">
        <v>1</v>
      </c>
      <c r="O5636" s="12" t="n">
        <v>3</v>
      </c>
      <c r="P5636" s="12" t="n">
        <v>13800</v>
      </c>
      <c r="Q5636" s="12" t="n">
        <v>2250</v>
      </c>
      <c r="R5636" s="12" t="n">
        <v>94</v>
      </c>
      <c r="S5636" s="12" t="inlineStr">
        <is>
          <t>Surface</t>
        </is>
      </c>
      <c r="T5636" s="17" t="n">
        <v>157</v>
      </c>
      <c r="U5636" s="17" t="n">
        <v>27</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I-MV-0019</t>
        </is>
      </c>
      <c r="B5637" s="12" t="inlineStr">
        <is>
          <t>I</t>
        </is>
      </c>
      <c r="C5637" s="12" t="inlineStr">
        <is>
          <t>Modular / portable power</t>
        </is>
      </c>
      <c r="D5637" s="12" t="inlineStr">
        <is>
          <t>Block 5 13.8 kV collection to PAD-EH</t>
        </is>
      </c>
      <c r="E5637" s="12" t="inlineStr">
        <is>
          <t>GBT-5</t>
        </is>
      </c>
      <c r="F5637" s="12" t="inlineStr">
        <is>
          <t>GBT-5: block 5 480 V : 13.8 kV 2,500 kVA pad-mount step-up</t>
        </is>
      </c>
      <c r="G5637" s="12" t="inlineStr">
        <is>
          <t>PAD-EH</t>
        </is>
      </c>
      <c r="H5637" s="12" t="inlineStr">
        <is>
          <t>PAD-EH 13.8 kV switchgear e-house</t>
        </is>
      </c>
      <c r="I5637" s="12" t="inlineStr">
        <is>
          <t>MV 15 kV</t>
        </is>
      </c>
      <c r="J5637" s="12" t="inlineStr">
        <is>
          <t>MV-105 15 kV 1/C Cu, EPR 133%, Cu tape shield, PVC jacket (triplexed)</t>
        </is>
      </c>
      <c r="K5637" s="12" t="inlineStr">
        <is>
          <t>MV15|1/C|2</t>
        </is>
      </c>
      <c r="L5637" s="12" t="inlineStr">
        <is>
          <t>1/C</t>
        </is>
      </c>
      <c r="M5637" s="12" t="inlineStr">
        <is>
          <t>2</t>
        </is>
      </c>
      <c r="N5637" s="12" t="n">
        <v>1</v>
      </c>
      <c r="O5637" s="12" t="n">
        <v>3</v>
      </c>
      <c r="P5637" s="12" t="n">
        <v>13800</v>
      </c>
      <c r="Q5637" s="12" t="n">
        <v>2250</v>
      </c>
      <c r="R5637" s="12" t="n">
        <v>94</v>
      </c>
      <c r="S5637" s="12" t="inlineStr">
        <is>
          <t>Surface</t>
        </is>
      </c>
      <c r="T5637" s="17" t="n">
        <v>255</v>
      </c>
      <c r="U5637" s="17" t="n">
        <v>27</v>
      </c>
      <c r="V5637" s="17">
        <f>ROUNDUP((T5637+U5637+2*'Read Me'!$B$13)*(1+'Read Me'!$B$12),-1)</f>
        <v/>
      </c>
      <c r="W5637" s="17">
        <f>V5637*N5637*O5637</f>
        <v/>
      </c>
      <c r="X5637" s="12">
        <f>IF(LEFT(I5637,2)="MV",2*N5637*IF(L5637="1/C",O5637,1),0)</f>
        <v/>
      </c>
      <c r="Y5637" s="12">
        <f>IF(OR(LEFT(K5637,4)="LVAX",LEFT(K5637,6)="MV15AX",LEFT(K5637,4)="CTAX",LEFT(K5637,2)="W|"),2*N5637*O5637,0)</f>
        <v/>
      </c>
      <c r="Z5637" s="12" t="inlineStr"/>
      <c r="AA5637" s="12">
        <f>N5637*O5637</f>
        <v/>
      </c>
    </row>
    <row r="5638">
      <c r="A5638" s="12" t="inlineStr">
        <is>
          <t>I-MV-0020</t>
        </is>
      </c>
      <c r="B5638" s="12" t="inlineStr">
        <is>
          <t>I</t>
        </is>
      </c>
      <c r="C5638" s="12" t="inlineStr">
        <is>
          <t>Modular / portable power</t>
        </is>
      </c>
      <c r="D5638" s="12" t="inlineStr">
        <is>
          <t>Block 6 13.8 kV collection to PAD-EH</t>
        </is>
      </c>
      <c r="E5638" s="12" t="inlineStr">
        <is>
          <t>GBT-6</t>
        </is>
      </c>
      <c r="F5638" s="12" t="inlineStr">
        <is>
          <t>GBT-6: block 6 480 V : 13.8 kV 2,500 kVA pad-mount step-up</t>
        </is>
      </c>
      <c r="G5638" s="12" t="inlineStr">
        <is>
          <t>PAD-EH</t>
        </is>
      </c>
      <c r="H5638" s="12" t="inlineStr">
        <is>
          <t>PAD-EH 13.8 kV switchgear e-house</t>
        </is>
      </c>
      <c r="I5638" s="12" t="inlineStr">
        <is>
          <t>MV 15 kV</t>
        </is>
      </c>
      <c r="J5638" s="12" t="inlineStr">
        <is>
          <t>MV-105 15 kV 1/C Cu, EPR 133%, Cu tape shield, PVC jacket (triplexed)</t>
        </is>
      </c>
      <c r="K5638" s="12" t="inlineStr">
        <is>
          <t>MV15|1/C|2</t>
        </is>
      </c>
      <c r="L5638" s="12" t="inlineStr">
        <is>
          <t>1/C</t>
        </is>
      </c>
      <c r="M5638" s="12" t="inlineStr">
        <is>
          <t>2</t>
        </is>
      </c>
      <c r="N5638" s="12" t="n">
        <v>1</v>
      </c>
      <c r="O5638" s="12" t="n">
        <v>3</v>
      </c>
      <c r="P5638" s="12" t="n">
        <v>13800</v>
      </c>
      <c r="Q5638" s="12" t="n">
        <v>2250</v>
      </c>
      <c r="R5638" s="12" t="n">
        <v>94</v>
      </c>
      <c r="S5638" s="12" t="inlineStr">
        <is>
          <t>Surface</t>
        </is>
      </c>
      <c r="T5638" s="17" t="n">
        <v>301</v>
      </c>
      <c r="U5638" s="17" t="n">
        <v>27</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I-MV-0021</t>
        </is>
      </c>
      <c r="B5639" s="12" t="inlineStr">
        <is>
          <t>I</t>
        </is>
      </c>
      <c r="C5639" s="12" t="inlineStr">
        <is>
          <t>Modular / portable power</t>
        </is>
      </c>
      <c r="D5639" s="12" t="inlineStr">
        <is>
          <t>RICE-1 generator leads to the PCM</t>
        </is>
      </c>
      <c r="E5639" s="12" t="inlineStr">
        <is>
          <t>RICE-1</t>
        </is>
      </c>
      <c r="F5639" s="12" t="inlineStr">
        <is>
          <t>RICE engine-generator 1</t>
        </is>
      </c>
      <c r="G5639" s="12" t="inlineStr"/>
      <c r="H5639" s="12" t="inlineStr">
        <is>
          <t>PCM: power control module</t>
        </is>
      </c>
      <c r="I5639" s="12" t="inlineStr">
        <is>
          <t>MV 15 kV</t>
        </is>
      </c>
      <c r="J5639" s="12" t="inlineStr">
        <is>
          <t>MV-105 15 kV 1/C Cu, EPR 133%, Cu tape shield, PVC jacket (triplexed)</t>
        </is>
      </c>
      <c r="K5639" s="12" t="inlineStr">
        <is>
          <t>MV15|1/C|750</t>
        </is>
      </c>
      <c r="L5639" s="12" t="inlineStr">
        <is>
          <t>1/C</t>
        </is>
      </c>
      <c r="M5639" s="12" t="inlineStr">
        <is>
          <t>750 kcmil</t>
        </is>
      </c>
      <c r="N5639" s="12" t="n">
        <v>2</v>
      </c>
      <c r="O5639" s="12" t="n">
        <v>3</v>
      </c>
      <c r="P5639" s="12" t="n">
        <v>13800</v>
      </c>
      <c r="Q5639" s="12" t="n">
        <v>18400</v>
      </c>
      <c r="R5639" s="12" t="n">
        <v>770</v>
      </c>
      <c r="S5639" s="12" t="inlineStr">
        <is>
          <t>Duct bank</t>
        </is>
      </c>
      <c r="T5639" s="17" t="n">
        <v>576</v>
      </c>
      <c r="U5639" s="17" t="n">
        <v>111</v>
      </c>
      <c r="V5639" s="17">
        <f>ROUNDUP((T5639+U5639+2*'Read Me'!$B$13)*(1+'Read Me'!$B$12),-1)</f>
        <v/>
      </c>
      <c r="W5639" s="17">
        <f>V5639*N5639*O5639</f>
        <v/>
      </c>
      <c r="X5639" s="12">
        <f>IF(LEFT(I5639,2)="MV",2*N5639*IF(L5639="1/C",O5639,1),0)</f>
        <v/>
      </c>
      <c r="Y5639" s="12">
        <f>IF(OR(LEFT(K5639,4)="LVAX",LEFT(K5639,6)="MV15AX",LEFT(K5639,4)="CTAX",LEFT(K5639,2)="W|"),2*N5639*O5639,0)</f>
        <v/>
      </c>
      <c r="Z5639" s="12" t="inlineStr">
        <is>
          <t>18V50 class ~18 MW (typ.)</t>
        </is>
      </c>
      <c r="AA5639" s="12">
        <f>N5639*O5639</f>
        <v/>
      </c>
    </row>
    <row r="5640">
      <c r="A5640" s="12" t="inlineStr">
        <is>
          <t>I-MV-0022</t>
        </is>
      </c>
      <c r="B5640" s="12" t="inlineStr">
        <is>
          <t>I</t>
        </is>
      </c>
      <c r="C5640" s="12" t="inlineStr">
        <is>
          <t>Modular / portable power</t>
        </is>
      </c>
      <c r="D5640" s="12" t="inlineStr">
        <is>
          <t>RICE-2 generator leads to the PCM</t>
        </is>
      </c>
      <c r="E5640" s="12" t="inlineStr">
        <is>
          <t>RICE-2</t>
        </is>
      </c>
      <c r="F5640" s="12" t="inlineStr">
        <is>
          <t>RICE engine-generator 2</t>
        </is>
      </c>
      <c r="G5640" s="12" t="inlineStr"/>
      <c r="H5640" s="12" t="inlineStr">
        <is>
          <t>PCM: power control module</t>
        </is>
      </c>
      <c r="I5640" s="12" t="inlineStr">
        <is>
          <t>MV 15 kV</t>
        </is>
      </c>
      <c r="J5640" s="12" t="inlineStr">
        <is>
          <t>MV-105 15 kV 1/C Cu, EPR 133%, Cu tape shield, PVC jacket (triplexed)</t>
        </is>
      </c>
      <c r="K5640" s="12" t="inlineStr">
        <is>
          <t>MV15|1/C|750</t>
        </is>
      </c>
      <c r="L5640" s="12" t="inlineStr">
        <is>
          <t>1/C</t>
        </is>
      </c>
      <c r="M5640" s="12" t="inlineStr">
        <is>
          <t>750 kcmil</t>
        </is>
      </c>
      <c r="N5640" s="12" t="n">
        <v>2</v>
      </c>
      <c r="O5640" s="12" t="n">
        <v>3</v>
      </c>
      <c r="P5640" s="12" t="n">
        <v>13800</v>
      </c>
      <c r="Q5640" s="12" t="n">
        <v>18400</v>
      </c>
      <c r="R5640" s="12" t="n">
        <v>770</v>
      </c>
      <c r="S5640" s="12" t="inlineStr">
        <is>
          <t>Duct bank</t>
        </is>
      </c>
      <c r="T5640" s="17" t="n">
        <v>550</v>
      </c>
      <c r="U5640" s="17" t="n">
        <v>109</v>
      </c>
      <c r="V5640" s="17">
        <f>ROUNDUP((T5640+U5640+2*'Read Me'!$B$13)*(1+'Read Me'!$B$12),-1)</f>
        <v/>
      </c>
      <c r="W5640" s="17">
        <f>V5640*N5640*O5640</f>
        <v/>
      </c>
      <c r="X5640" s="12">
        <f>IF(LEFT(I5640,2)="MV",2*N5640*IF(L5640="1/C",O5640,1),0)</f>
        <v/>
      </c>
      <c r="Y5640" s="12">
        <f>IF(OR(LEFT(K5640,4)="LVAX",LEFT(K5640,6)="MV15AX",LEFT(K5640,4)="CTAX",LEFT(K5640,2)="W|"),2*N5640*O5640,0)</f>
        <v/>
      </c>
      <c r="Z5640" s="12" t="inlineStr">
        <is>
          <t>18V50 class ~18 MW (typ.)</t>
        </is>
      </c>
      <c r="AA5640" s="12">
        <f>N5640*O5640</f>
        <v/>
      </c>
    </row>
    <row r="5641">
      <c r="A5641" s="12" t="inlineStr">
        <is>
          <t>I-MV-0023</t>
        </is>
      </c>
      <c r="B5641" s="12" t="inlineStr">
        <is>
          <t>I</t>
        </is>
      </c>
      <c r="C5641" s="12" t="inlineStr">
        <is>
          <t>Modular / portable power</t>
        </is>
      </c>
      <c r="D5641" s="12" t="inlineStr">
        <is>
          <t>RICE-3 generator leads to the PCM</t>
        </is>
      </c>
      <c r="E5641" s="12" t="inlineStr">
        <is>
          <t>RICE-3</t>
        </is>
      </c>
      <c r="F5641" s="12" t="inlineStr">
        <is>
          <t>RICE engine-generator 3</t>
        </is>
      </c>
      <c r="G5641" s="12" t="inlineStr"/>
      <c r="H5641" s="12" t="inlineStr">
        <is>
          <t>PCM: power control module</t>
        </is>
      </c>
      <c r="I5641" s="12" t="inlineStr">
        <is>
          <t>MV 15 kV</t>
        </is>
      </c>
      <c r="J5641" s="12" t="inlineStr">
        <is>
          <t>MV-105 15 kV 1/C Cu, EPR 133%, Cu tape shield, PVC jacket (triplexed)</t>
        </is>
      </c>
      <c r="K5641" s="12" t="inlineStr">
        <is>
          <t>MV15|1/C|750</t>
        </is>
      </c>
      <c r="L5641" s="12" t="inlineStr">
        <is>
          <t>1/C</t>
        </is>
      </c>
      <c r="M5641" s="12" t="inlineStr">
        <is>
          <t>750 kcmil</t>
        </is>
      </c>
      <c r="N5641" s="12" t="n">
        <v>2</v>
      </c>
      <c r="O5641" s="12" t="n">
        <v>3</v>
      </c>
      <c r="P5641" s="12" t="n">
        <v>13800</v>
      </c>
      <c r="Q5641" s="12" t="n">
        <v>18400</v>
      </c>
      <c r="R5641" s="12" t="n">
        <v>770</v>
      </c>
      <c r="S5641" s="12" t="inlineStr">
        <is>
          <t>Duct bank</t>
        </is>
      </c>
      <c r="T5641" s="17" t="n">
        <v>550</v>
      </c>
      <c r="U5641" s="17" t="n">
        <v>81</v>
      </c>
      <c r="V5641" s="17">
        <f>ROUNDUP((T5641+U5641+2*'Read Me'!$B$13)*(1+'Read Me'!$B$12),-1)</f>
        <v/>
      </c>
      <c r="W5641" s="17">
        <f>V5641*N5641*O5641</f>
        <v/>
      </c>
      <c r="X5641" s="12">
        <f>IF(LEFT(I5641,2)="MV",2*N5641*IF(L5641="1/C",O5641,1),0)</f>
        <v/>
      </c>
      <c r="Y5641" s="12">
        <f>IF(OR(LEFT(K5641,4)="LVAX",LEFT(K5641,6)="MV15AX",LEFT(K5641,4)="CTAX",LEFT(K5641,2)="W|"),2*N5641*O5641,0)</f>
        <v/>
      </c>
      <c r="Z5641" s="12" t="inlineStr">
        <is>
          <t>18V50 class ~18 MW (typ.)</t>
        </is>
      </c>
      <c r="AA5641" s="12">
        <f>N5641*O5641</f>
        <v/>
      </c>
    </row>
    <row r="5642">
      <c r="A5642" s="12" t="inlineStr">
        <is>
          <t>I-MV-0024</t>
        </is>
      </c>
      <c r="B5642" s="12" t="inlineStr">
        <is>
          <t>I</t>
        </is>
      </c>
      <c r="C5642" s="12" t="inlineStr">
        <is>
          <t>Modular / portable power</t>
        </is>
      </c>
      <c r="D5642" s="12" t="inlineStr">
        <is>
          <t>RICE-4 generator leads to the PCM</t>
        </is>
      </c>
      <c r="E5642" s="12" t="inlineStr">
        <is>
          <t>RICE-4</t>
        </is>
      </c>
      <c r="F5642" s="12" t="inlineStr">
        <is>
          <t>RICE engine-generator 4</t>
        </is>
      </c>
      <c r="G5642" s="12" t="inlineStr"/>
      <c r="H5642" s="12" t="inlineStr">
        <is>
          <t>PCM: power control module</t>
        </is>
      </c>
      <c r="I5642" s="12" t="inlineStr">
        <is>
          <t>MV 15 kV</t>
        </is>
      </c>
      <c r="J5642" s="12" t="inlineStr">
        <is>
          <t>MV-105 15 kV 1/C Cu, EPR 133%, Cu tape shield, PVC jacket (triplexed)</t>
        </is>
      </c>
      <c r="K5642" s="12" t="inlineStr">
        <is>
          <t>MV15|1/C|750</t>
        </is>
      </c>
      <c r="L5642" s="12" t="inlineStr">
        <is>
          <t>1/C</t>
        </is>
      </c>
      <c r="M5642" s="12" t="inlineStr">
        <is>
          <t>750 kcmil</t>
        </is>
      </c>
      <c r="N5642" s="12" t="n">
        <v>2</v>
      </c>
      <c r="O5642" s="12" t="n">
        <v>3</v>
      </c>
      <c r="P5642" s="12" t="n">
        <v>13800</v>
      </c>
      <c r="Q5642" s="12" t="n">
        <v>18400</v>
      </c>
      <c r="R5642" s="12" t="n">
        <v>770</v>
      </c>
      <c r="S5642" s="12" t="inlineStr">
        <is>
          <t>Duct bank</t>
        </is>
      </c>
      <c r="T5642" s="17" t="n">
        <v>550</v>
      </c>
      <c r="U5642" s="17" t="n">
        <v>53</v>
      </c>
      <c r="V5642" s="17">
        <f>ROUNDUP((T5642+U5642+2*'Read Me'!$B$13)*(1+'Read Me'!$B$12),-1)</f>
        <v/>
      </c>
      <c r="W5642" s="17">
        <f>V5642*N5642*O5642</f>
        <v/>
      </c>
      <c r="X5642" s="12">
        <f>IF(LEFT(I5642,2)="MV",2*N5642*IF(L5642="1/C",O5642,1),0)</f>
        <v/>
      </c>
      <c r="Y5642" s="12">
        <f>IF(OR(LEFT(K5642,4)="LVAX",LEFT(K5642,6)="MV15AX",LEFT(K5642,4)="CTAX",LEFT(K5642,2)="W|"),2*N5642*O5642,0)</f>
        <v/>
      </c>
      <c r="Z5642" s="12" t="inlineStr">
        <is>
          <t>18V50 class ~18 MW (typ.)</t>
        </is>
      </c>
      <c r="AA5642" s="12">
        <f>N5642*O5642</f>
        <v/>
      </c>
    </row>
    <row r="5643">
      <c r="A5643" s="12" t="inlineStr">
        <is>
          <t>I-MV-0025</t>
        </is>
      </c>
      <c r="B5643" s="12" t="inlineStr">
        <is>
          <t>I</t>
        </is>
      </c>
      <c r="C5643" s="12" t="inlineStr">
        <is>
          <t>Modular / portable power</t>
        </is>
      </c>
      <c r="D5643" s="12" t="inlineStr">
        <is>
          <t>RICE-5 generator leads to the PCM</t>
        </is>
      </c>
      <c r="E5643" s="12" t="inlineStr">
        <is>
          <t>RICE-5</t>
        </is>
      </c>
      <c r="F5643" s="12" t="inlineStr">
        <is>
          <t>RICE engine-generator 5</t>
        </is>
      </c>
      <c r="G5643" s="12" t="inlineStr"/>
      <c r="H5643" s="12" t="inlineStr">
        <is>
          <t>PCM: power control module</t>
        </is>
      </c>
      <c r="I5643" s="12" t="inlineStr">
        <is>
          <t>MV 15 kV</t>
        </is>
      </c>
      <c r="J5643" s="12" t="inlineStr">
        <is>
          <t>MV-105 15 kV 1/C Cu, EPR 133%, Cu tape shield, PVC jacket (triplexed)</t>
        </is>
      </c>
      <c r="K5643" s="12" t="inlineStr">
        <is>
          <t>MV15|1/C|750</t>
        </is>
      </c>
      <c r="L5643" s="12" t="inlineStr">
        <is>
          <t>1/C</t>
        </is>
      </c>
      <c r="M5643" s="12" t="inlineStr">
        <is>
          <t>750 kcmil</t>
        </is>
      </c>
      <c r="N5643" s="12" t="n">
        <v>2</v>
      </c>
      <c r="O5643" s="12" t="n">
        <v>3</v>
      </c>
      <c r="P5643" s="12" t="n">
        <v>13800</v>
      </c>
      <c r="Q5643" s="12" t="n">
        <v>18400</v>
      </c>
      <c r="R5643" s="12" t="n">
        <v>770</v>
      </c>
      <c r="S5643" s="12" t="inlineStr">
        <is>
          <t>Duct bank</t>
        </is>
      </c>
      <c r="T5643" s="17" t="n">
        <v>525</v>
      </c>
      <c r="U5643" s="17" t="n">
        <v>50</v>
      </c>
      <c r="V5643" s="17">
        <f>ROUNDUP((T5643+U5643+2*'Read Me'!$B$13)*(1+'Read Me'!$B$12),-1)</f>
        <v/>
      </c>
      <c r="W5643" s="17">
        <f>V5643*N5643*O5643</f>
        <v/>
      </c>
      <c r="X5643" s="12">
        <f>IF(LEFT(I5643,2)="MV",2*N5643*IF(L5643="1/C",O5643,1),0)</f>
        <v/>
      </c>
      <c r="Y5643" s="12">
        <f>IF(OR(LEFT(K5643,4)="LVAX",LEFT(K5643,6)="MV15AX",LEFT(K5643,4)="CTAX",LEFT(K5643,2)="W|"),2*N5643*O5643,0)</f>
        <v/>
      </c>
      <c r="Z5643" s="12" t="inlineStr">
        <is>
          <t>18V50 class ~18 MW (typ.)</t>
        </is>
      </c>
      <c r="AA5643" s="12">
        <f>N5643*O5643</f>
        <v/>
      </c>
    </row>
    <row r="5644">
      <c r="A5644" s="12" t="inlineStr">
        <is>
          <t>I-MV-0026</t>
        </is>
      </c>
      <c r="B5644" s="12" t="inlineStr">
        <is>
          <t>I</t>
        </is>
      </c>
      <c r="C5644" s="12" t="inlineStr">
        <is>
          <t>Modular / portable power</t>
        </is>
      </c>
      <c r="D5644" s="12" t="inlineStr">
        <is>
          <t>RICE-6 generator leads to the PCM</t>
        </is>
      </c>
      <c r="E5644" s="12" t="inlineStr">
        <is>
          <t>RICE-6</t>
        </is>
      </c>
      <c r="F5644" s="12" t="inlineStr">
        <is>
          <t>RICE engine-generator 6</t>
        </is>
      </c>
      <c r="G5644" s="12" t="inlineStr"/>
      <c r="H5644" s="12" t="inlineStr">
        <is>
          <t>PCM: power control module</t>
        </is>
      </c>
      <c r="I5644" s="12" t="inlineStr">
        <is>
          <t>MV 15 kV</t>
        </is>
      </c>
      <c r="J5644" s="12" t="inlineStr">
        <is>
          <t>MV-105 15 kV 1/C Cu, EPR 133%, Cu tape shield, PVC jacket (triplexed)</t>
        </is>
      </c>
      <c r="K5644" s="12" t="inlineStr">
        <is>
          <t>MV15|1/C|750</t>
        </is>
      </c>
      <c r="L5644" s="12" t="inlineStr">
        <is>
          <t>1/C</t>
        </is>
      </c>
      <c r="M5644" s="12" t="inlineStr">
        <is>
          <t>750 kcmil</t>
        </is>
      </c>
      <c r="N5644" s="12" t="n">
        <v>2</v>
      </c>
      <c r="O5644" s="12" t="n">
        <v>3</v>
      </c>
      <c r="P5644" s="12" t="n">
        <v>13800</v>
      </c>
      <c r="Q5644" s="12" t="n">
        <v>18400</v>
      </c>
      <c r="R5644" s="12" t="n">
        <v>770</v>
      </c>
      <c r="S5644" s="12" t="inlineStr">
        <is>
          <t>Duct bank</t>
        </is>
      </c>
      <c r="T5644" s="17" t="n">
        <v>469</v>
      </c>
      <c r="U5644" s="17" t="n">
        <v>78</v>
      </c>
      <c r="V5644" s="17">
        <f>ROUNDUP((T5644+U5644+2*'Read Me'!$B$13)*(1+'Read Me'!$B$12),-1)</f>
        <v/>
      </c>
      <c r="W5644" s="17">
        <f>V5644*N5644*O5644</f>
        <v/>
      </c>
      <c r="X5644" s="12">
        <f>IF(LEFT(I5644,2)="MV",2*N5644*IF(L5644="1/C",O5644,1),0)</f>
        <v/>
      </c>
      <c r="Y5644" s="12">
        <f>IF(OR(LEFT(K5644,4)="LVAX",LEFT(K5644,6)="MV15AX",LEFT(K5644,4)="CTAX",LEFT(K5644,2)="W|"),2*N5644*O5644,0)</f>
        <v/>
      </c>
      <c r="Z5644" s="12" t="inlineStr">
        <is>
          <t>18V50 class ~18 MW (typ.)</t>
        </is>
      </c>
      <c r="AA5644" s="12">
        <f>N5644*O5644</f>
        <v/>
      </c>
    </row>
    <row r="5645">
      <c r="A5645" s="12" t="inlineStr">
        <is>
          <t>I-MV-0027</t>
        </is>
      </c>
      <c r="B5645" s="12" t="inlineStr">
        <is>
          <t>I</t>
        </is>
      </c>
      <c r="C5645" s="12" t="inlineStr">
        <is>
          <t>Modular / portable power</t>
        </is>
      </c>
      <c r="D5645" s="12" t="inlineStr">
        <is>
          <t>RICE-7 generator leads to the PCM</t>
        </is>
      </c>
      <c r="E5645" s="12" t="inlineStr">
        <is>
          <t>RICE-7</t>
        </is>
      </c>
      <c r="F5645" s="12" t="inlineStr">
        <is>
          <t>RICE engine-generator 7</t>
        </is>
      </c>
      <c r="G5645" s="12" t="inlineStr"/>
      <c r="H5645" s="12" t="inlineStr">
        <is>
          <t>PCM: power control module</t>
        </is>
      </c>
      <c r="I5645" s="12" t="inlineStr">
        <is>
          <t>MV 15 kV</t>
        </is>
      </c>
      <c r="J5645" s="12" t="inlineStr">
        <is>
          <t>MV-105 15 kV 1/C Cu, EPR 133%, Cu tape shield, PVC jacket (triplexed)</t>
        </is>
      </c>
      <c r="K5645" s="12" t="inlineStr">
        <is>
          <t>MV15|1/C|750</t>
        </is>
      </c>
      <c r="L5645" s="12" t="inlineStr">
        <is>
          <t>1/C</t>
        </is>
      </c>
      <c r="M5645" s="12" t="inlineStr">
        <is>
          <t>750 kcmil</t>
        </is>
      </c>
      <c r="N5645" s="12" t="n">
        <v>2</v>
      </c>
      <c r="O5645" s="12" t="n">
        <v>3</v>
      </c>
      <c r="P5645" s="12" t="n">
        <v>13800</v>
      </c>
      <c r="Q5645" s="12" t="n">
        <v>18400</v>
      </c>
      <c r="R5645" s="12" t="n">
        <v>770</v>
      </c>
      <c r="S5645" s="12" t="inlineStr">
        <is>
          <t>Tray</t>
        </is>
      </c>
      <c r="T5645" s="17" t="n">
        <v>83</v>
      </c>
      <c r="U5645" s="17" t="n">
        <v>106</v>
      </c>
      <c r="V5645" s="17">
        <f>ROUNDUP((T5645+U5645+2*'Read Me'!$B$13)*(1+'Read Me'!$B$12),-1)</f>
        <v/>
      </c>
      <c r="W5645" s="17">
        <f>V5645*N5645*O5645</f>
        <v/>
      </c>
      <c r="X5645" s="12">
        <f>IF(LEFT(I5645,2)="MV",2*N5645*IF(L5645="1/C",O5645,1),0)</f>
        <v/>
      </c>
      <c r="Y5645" s="12">
        <f>IF(OR(LEFT(K5645,4)="LVAX",LEFT(K5645,6)="MV15AX",LEFT(K5645,4)="CTAX",LEFT(K5645,2)="W|"),2*N5645*O5645,0)</f>
        <v/>
      </c>
      <c r="Z5645" s="12" t="inlineStr">
        <is>
          <t>18V50 class ~18 MW (typ.)</t>
        </is>
      </c>
      <c r="AA5645" s="12">
        <f>N5645*O5645</f>
        <v/>
      </c>
    </row>
    <row r="5646">
      <c r="A5646" s="12" t="inlineStr">
        <is>
          <t>I-MV-0028</t>
        </is>
      </c>
      <c r="B5646" s="12" t="inlineStr">
        <is>
          <t>I</t>
        </is>
      </c>
      <c r="C5646" s="12" t="inlineStr">
        <is>
          <t>Modular / portable power</t>
        </is>
      </c>
      <c r="D5646" s="12" t="inlineStr">
        <is>
          <t>RICE-8 generator leads to the PCM</t>
        </is>
      </c>
      <c r="E5646" s="12" t="inlineStr">
        <is>
          <t>RICE-8</t>
        </is>
      </c>
      <c r="F5646" s="12" t="inlineStr">
        <is>
          <t>RICE engine-generator 8</t>
        </is>
      </c>
      <c r="G5646" s="12" t="inlineStr"/>
      <c r="H5646" s="12" t="inlineStr">
        <is>
          <t>PCM: power control module</t>
        </is>
      </c>
      <c r="I5646" s="12" t="inlineStr">
        <is>
          <t>MV 15 kV</t>
        </is>
      </c>
      <c r="J5646" s="12" t="inlineStr">
        <is>
          <t>MV-105 15 kV 1/C Cu, EPR 133%, Cu tape shield, PVC jacket (triplexed)</t>
        </is>
      </c>
      <c r="K5646" s="12" t="inlineStr">
        <is>
          <t>MV15|1/C|750</t>
        </is>
      </c>
      <c r="L5646" s="12" t="inlineStr">
        <is>
          <t>1/C</t>
        </is>
      </c>
      <c r="M5646" s="12" t="inlineStr">
        <is>
          <t>750 kcmil</t>
        </is>
      </c>
      <c r="N5646" s="12" t="n">
        <v>2</v>
      </c>
      <c r="O5646" s="12" t="n">
        <v>3</v>
      </c>
      <c r="P5646" s="12" t="n">
        <v>13800</v>
      </c>
      <c r="Q5646" s="12" t="n">
        <v>18400</v>
      </c>
      <c r="R5646" s="12" t="n">
        <v>770</v>
      </c>
      <c r="S5646" s="12" t="inlineStr">
        <is>
          <t>Tray</t>
        </is>
      </c>
      <c r="T5646" s="17" t="n">
        <v>37</v>
      </c>
      <c r="U5646" s="17" t="n">
        <v>124</v>
      </c>
      <c r="V5646" s="17">
        <f>ROUNDUP((T5646+U5646+2*'Read Me'!$B$13)*(1+'Read Me'!$B$12),-1)</f>
        <v/>
      </c>
      <c r="W5646" s="17">
        <f>V5646*N5646*O5646</f>
        <v/>
      </c>
      <c r="X5646" s="12">
        <f>IF(LEFT(I5646,2)="MV",2*N5646*IF(L5646="1/C",O5646,1),0)</f>
        <v/>
      </c>
      <c r="Y5646" s="12">
        <f>IF(OR(LEFT(K5646,4)="LVAX",LEFT(K5646,6)="MV15AX",LEFT(K5646,4)="CTAX",LEFT(K5646,2)="W|"),2*N5646*O5646,0)</f>
        <v/>
      </c>
      <c r="Z5646" s="12" t="inlineStr">
        <is>
          <t>18V50 class ~18 MW (typ.)</t>
        </is>
      </c>
      <c r="AA5646" s="12">
        <f>N5646*O5646</f>
        <v/>
      </c>
    </row>
    <row r="5647">
      <c r="A5647" s="12" t="inlineStr">
        <is>
          <t>I-MV-0029</t>
        </is>
      </c>
      <c r="B5647" s="12" t="inlineStr">
        <is>
          <t>I</t>
        </is>
      </c>
      <c r="C5647" s="12" t="inlineStr">
        <is>
          <t>Modular / portable power</t>
        </is>
      </c>
      <c r="D5647" s="12" t="inlineStr">
        <is>
          <t>SC-1 (LM6000 class) generator leads to its PCM / GCB</t>
        </is>
      </c>
      <c r="E5647" s="12" t="inlineStr">
        <is>
          <t>SC-1</t>
        </is>
      </c>
      <c r="F5647" s="12" t="inlineStr">
        <is>
          <t>SC-1: aeroderivative simple-cycle unit (LM6000 class)</t>
        </is>
      </c>
      <c r="G5647" s="12" t="inlineStr"/>
      <c r="H5647" s="12" t="inlineStr">
        <is>
          <t>SC-1 PCM + 15 kV GCB</t>
        </is>
      </c>
      <c r="I5647" s="12" t="inlineStr">
        <is>
          <t>MV 15 kV</t>
        </is>
      </c>
      <c r="J5647" s="12" t="inlineStr">
        <is>
          <t>MV-105 15 kV 1/C Cu, EPR 133%, Cu tape shield, PVC jacket (triplexed)</t>
        </is>
      </c>
      <c r="K5647" s="12" t="inlineStr">
        <is>
          <t>MV15|1/C|750</t>
        </is>
      </c>
      <c r="L5647" s="12" t="inlineStr">
        <is>
          <t>1/C</t>
        </is>
      </c>
      <c r="M5647" s="12" t="inlineStr">
        <is>
          <t>750 kcmil</t>
        </is>
      </c>
      <c r="N5647" s="12" t="n">
        <v>5</v>
      </c>
      <c r="O5647" s="12" t="n">
        <v>3</v>
      </c>
      <c r="P5647" s="12" t="n">
        <v>13800</v>
      </c>
      <c r="Q5647" s="12" t="n">
        <v>50000</v>
      </c>
      <c r="R5647" s="12" t="n">
        <v>2092</v>
      </c>
      <c r="S5647" s="12" t="inlineStr">
        <is>
          <t>Tray</t>
        </is>
      </c>
      <c r="T5647" s="17" t="n">
        <v>12</v>
      </c>
      <c r="U5647" s="17" t="n">
        <v>52</v>
      </c>
      <c r="V5647" s="17">
        <f>ROUNDUP((T5647+U5647+2*'Read Me'!$B$13)*(1+'Read Me'!$B$12),-1)</f>
        <v/>
      </c>
      <c r="W5647" s="17">
        <f>V5647*N5647*O5647</f>
        <v/>
      </c>
      <c r="X5647" s="12">
        <f>IF(LEFT(I5647,2)="MV",2*N5647*IF(L5647="1/C",O5647,1),0)</f>
        <v/>
      </c>
      <c r="Y5647" s="12">
        <f>IF(OR(LEFT(K5647,4)="LVAX",LEFT(K5647,6)="MV15AX",LEFT(K5647,4)="CTAX",LEFT(K5647,2)="W|"),2*N5647*O5647,0)</f>
        <v/>
      </c>
      <c r="Z5647" s="12" t="inlineStr"/>
      <c r="AA5647" s="12">
        <f>N5647*O5647</f>
        <v/>
      </c>
    </row>
    <row r="5648">
      <c r="A5648" s="12" t="inlineStr">
        <is>
          <t>I-MV-0030</t>
        </is>
      </c>
      <c r="B5648" s="12" t="inlineStr">
        <is>
          <t>I</t>
        </is>
      </c>
      <c r="C5648" s="12" t="inlineStr">
        <is>
          <t>Modular / portable power</t>
        </is>
      </c>
      <c r="D5648" s="12" t="inlineStr">
        <is>
          <t>SC-1 generator neutral to the NGR (in the terminal-box enclosure)</t>
        </is>
      </c>
      <c r="E5648" s="12" t="inlineStr">
        <is>
          <t>SC-1</t>
        </is>
      </c>
      <c r="F5648" s="12" t="inlineStr">
        <is>
          <t>SC-1: aeroderivative simple-cycle unit (LM6000 class)</t>
        </is>
      </c>
      <c r="G5648" s="12" t="inlineStr"/>
      <c r="H5648" s="12" t="inlineStr">
        <is>
          <t>SC-1 PCM + 15 kV GCB</t>
        </is>
      </c>
      <c r="I5648" s="12" t="inlineStr">
        <is>
          <t>MV 15 kV</t>
        </is>
      </c>
      <c r="J5648" s="12" t="inlineStr">
        <is>
          <t>MV-105 15 kV 1/C Cu, EPR 133%, Cu tape shield, PVC jacket (triplexed)</t>
        </is>
      </c>
      <c r="K5648" s="12" t="inlineStr">
        <is>
          <t>MV15|1/C|2</t>
        </is>
      </c>
      <c r="L5648" s="12" t="inlineStr">
        <is>
          <t>1/C</t>
        </is>
      </c>
      <c r="M5648" s="12" t="inlineStr">
        <is>
          <t>2</t>
        </is>
      </c>
      <c r="N5648" s="12" t="n">
        <v>1</v>
      </c>
      <c r="O5648" s="12" t="n">
        <v>1</v>
      </c>
      <c r="P5648" s="12" t="n">
        <v>13800</v>
      </c>
      <c r="Q5648" s="12" t="n"/>
      <c r="R5648" s="12" t="n"/>
      <c r="S5648" s="12" t="inlineStr">
        <is>
          <t>Conduit</t>
        </is>
      </c>
      <c r="T5648" s="17" t="n">
        <v>15</v>
      </c>
      <c r="U5648" s="17" t="n">
        <v>10</v>
      </c>
      <c r="V5648" s="17">
        <f>ROUNDUP((T5648+U5648+2*'Read Me'!$B$13)*(1+'Read Me'!$B$12),-1)</f>
        <v/>
      </c>
      <c r="W5648" s="17">
        <f>V5648*N5648*O5648</f>
        <v/>
      </c>
      <c r="X5648" s="12">
        <f>IF(LEFT(I5648,2)="MV",2*N5648*IF(L5648="1/C",O5648,1),0)</f>
        <v/>
      </c>
      <c r="Y5648" s="12">
        <f>IF(OR(LEFT(K5648,4)="LVAX",LEFT(K5648,6)="MV15AX",LEFT(K5648,4)="CTAX",LEFT(K5648,2)="W|"),2*N5648*O5648,0)</f>
        <v/>
      </c>
      <c r="Z5648" s="12" t="inlineStr">
        <is>
          <t>neutral grounding resistor beside the generator enclosure</t>
        </is>
      </c>
      <c r="AA5648" s="12">
        <f>N5648*O5648</f>
        <v/>
      </c>
    </row>
    <row r="5649">
      <c r="A5649" s="12" t="inlineStr">
        <is>
          <t>I-MV-0031</t>
        </is>
      </c>
      <c r="B5649" s="12" t="inlineStr">
        <is>
          <t>I</t>
        </is>
      </c>
      <c r="C5649" s="12" t="inlineStr">
        <is>
          <t>Modular / portable power</t>
        </is>
      </c>
      <c r="D5649" s="12" t="inlineStr">
        <is>
          <t>SC-1 PCM auxiliary transformer primary, 2 MVA 13.8 kV / 480 V (from the GCB bus)</t>
        </is>
      </c>
      <c r="E5649" s="12" t="inlineStr"/>
      <c r="F5649" s="12" t="inlineStr">
        <is>
          <t>SC-1 PCM + 15 kV GCB</t>
        </is>
      </c>
      <c r="G5649" s="12" t="inlineStr"/>
      <c r="H5649" s="12" t="inlineStr">
        <is>
          <t>SC-1 PCM + 15 kV GCB</t>
        </is>
      </c>
      <c r="I5649" s="12" t="inlineStr">
        <is>
          <t>MV 15 kV</t>
        </is>
      </c>
      <c r="J5649" s="12" t="inlineStr">
        <is>
          <t>MV-105 15 kV 1/C Cu, EPR 133%, Cu tape shield, PVC jacket (triplexed)</t>
        </is>
      </c>
      <c r="K5649" s="12" t="inlineStr">
        <is>
          <t>MV15|1/C|2</t>
        </is>
      </c>
      <c r="L5649" s="12" t="inlineStr">
        <is>
          <t>1/C</t>
        </is>
      </c>
      <c r="M5649" s="12" t="inlineStr">
        <is>
          <t>2</t>
        </is>
      </c>
      <c r="N5649" s="12" t="n">
        <v>1</v>
      </c>
      <c r="O5649" s="12" t="n">
        <v>3</v>
      </c>
      <c r="P5649" s="12" t="n">
        <v>13800</v>
      </c>
      <c r="Q5649" s="12" t="n">
        <v>2000</v>
      </c>
      <c r="R5649" s="12" t="n">
        <v>84</v>
      </c>
      <c r="S5649" s="12" t="inlineStr">
        <is>
          <t>Tray</t>
        </is>
      </c>
      <c r="T5649" s="17" t="n">
        <v>0</v>
      </c>
      <c r="U5649" s="17" t="n">
        <v>32</v>
      </c>
      <c r="V5649" s="17">
        <f>ROUNDUP((T5649+U5649+2*'Read Me'!$B$13)*(1+'Read Me'!$B$12),-1)</f>
        <v/>
      </c>
      <c r="W5649" s="17">
        <f>V5649*N5649*O5649</f>
        <v/>
      </c>
      <c r="X5649" s="12">
        <f>IF(LEFT(I5649,2)="MV",2*N5649*IF(L5649="1/C",O5649,1),0)</f>
        <v/>
      </c>
      <c r="Y5649" s="12">
        <f>IF(OR(LEFT(K5649,4)="LVAX",LEFT(K5649,6)="MV15AX",LEFT(K5649,4)="CTAX",LEFT(K5649,2)="W|"),2*N5649*O5649,0)</f>
        <v/>
      </c>
      <c r="Z5649" s="12" t="inlineStr">
        <is>
          <t>internal to the PCM; ~1.0-1.1 MW connected 480 V load + 0.5 MW conditional inlet chiller</t>
        </is>
      </c>
      <c r="AA5649" s="12">
        <f>N5649*O5649</f>
        <v/>
      </c>
    </row>
    <row r="5650">
      <c r="A5650" s="12" t="inlineStr">
        <is>
          <t>I-MV-0032</t>
        </is>
      </c>
      <c r="B5650" s="12" t="inlineStr">
        <is>
          <t>I</t>
        </is>
      </c>
      <c r="C5650" s="12" t="inlineStr">
        <is>
          <t>Modular / portable power</t>
        </is>
      </c>
      <c r="D5650" s="12" t="inlineStr">
        <is>
          <t>SC-2 (LM6000 class) generator leads to its PCM / GCB</t>
        </is>
      </c>
      <c r="E5650" s="12" t="inlineStr">
        <is>
          <t>SC-2</t>
        </is>
      </c>
      <c r="F5650" s="12" t="inlineStr">
        <is>
          <t>SC-2: aeroderivative simple-cycle unit (LM6000 class)</t>
        </is>
      </c>
      <c r="G5650" s="12" t="inlineStr"/>
      <c r="H5650" s="12" t="inlineStr">
        <is>
          <t>SC-2 PCM + 15 kV GCB</t>
        </is>
      </c>
      <c r="I5650" s="12" t="inlineStr">
        <is>
          <t>MV 15 kV</t>
        </is>
      </c>
      <c r="J5650" s="12" t="inlineStr">
        <is>
          <t>MV-105 15 kV 1/C Cu, EPR 133%, Cu tape shield, PVC jacket (triplexed)</t>
        </is>
      </c>
      <c r="K5650" s="12" t="inlineStr">
        <is>
          <t>MV15|1/C|750</t>
        </is>
      </c>
      <c r="L5650" s="12" t="inlineStr">
        <is>
          <t>1/C</t>
        </is>
      </c>
      <c r="M5650" s="12" t="inlineStr">
        <is>
          <t>750 kcmil</t>
        </is>
      </c>
      <c r="N5650" s="12" t="n">
        <v>5</v>
      </c>
      <c r="O5650" s="12" t="n">
        <v>3</v>
      </c>
      <c r="P5650" s="12" t="n">
        <v>13800</v>
      </c>
      <c r="Q5650" s="12" t="n">
        <v>50000</v>
      </c>
      <c r="R5650" s="12" t="n">
        <v>2092</v>
      </c>
      <c r="S5650" s="12" t="inlineStr">
        <is>
          <t>Tray</t>
        </is>
      </c>
      <c r="T5650" s="17" t="n">
        <v>0</v>
      </c>
      <c r="U5650" s="17" t="n">
        <v>57</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I-MV-0033</t>
        </is>
      </c>
      <c r="B5651" s="12" t="inlineStr">
        <is>
          <t>I</t>
        </is>
      </c>
      <c r="C5651" s="12" t="inlineStr">
        <is>
          <t>Modular / portable power</t>
        </is>
      </c>
      <c r="D5651" s="12" t="inlineStr">
        <is>
          <t>SC-2 generator neutral to the NGR (in the terminal-box enclosure)</t>
        </is>
      </c>
      <c r="E5651" s="12" t="inlineStr">
        <is>
          <t>SC-2</t>
        </is>
      </c>
      <c r="F5651" s="12" t="inlineStr">
        <is>
          <t>SC-2: aeroderivative simple-cycle unit (LM6000 class)</t>
        </is>
      </c>
      <c r="G5651" s="12" t="inlineStr"/>
      <c r="H5651" s="12" t="inlineStr">
        <is>
          <t>SC-2 PCM + 15 kV GCB</t>
        </is>
      </c>
      <c r="I5651" s="12" t="inlineStr">
        <is>
          <t>MV 15 kV</t>
        </is>
      </c>
      <c r="J5651" s="12" t="inlineStr">
        <is>
          <t>MV-105 15 kV 1/C Cu, EPR 133%, Cu tape shield, PVC jacket (triplexed)</t>
        </is>
      </c>
      <c r="K5651" s="12" t="inlineStr">
        <is>
          <t>MV15|1/C|2</t>
        </is>
      </c>
      <c r="L5651" s="12" t="inlineStr">
        <is>
          <t>1/C</t>
        </is>
      </c>
      <c r="M5651" s="12" t="inlineStr">
        <is>
          <t>2</t>
        </is>
      </c>
      <c r="N5651" s="12" t="n">
        <v>1</v>
      </c>
      <c r="O5651" s="12" t="n">
        <v>1</v>
      </c>
      <c r="P5651" s="12" t="n">
        <v>13800</v>
      </c>
      <c r="Q5651" s="12" t="n"/>
      <c r="R5651" s="12" t="n"/>
      <c r="S5651" s="12" t="inlineStr">
        <is>
          <t>Conduit</t>
        </is>
      </c>
      <c r="T5651" s="17" t="n">
        <v>15</v>
      </c>
      <c r="U5651" s="17" t="n">
        <v>10</v>
      </c>
      <c r="V5651" s="17">
        <f>ROUNDUP((T5651+U5651+2*'Read Me'!$B$13)*(1+'Read Me'!$B$12),-1)</f>
        <v/>
      </c>
      <c r="W5651" s="17">
        <f>V5651*N5651*O5651</f>
        <v/>
      </c>
      <c r="X5651" s="12">
        <f>IF(LEFT(I5651,2)="MV",2*N5651*IF(L5651="1/C",O5651,1),0)</f>
        <v/>
      </c>
      <c r="Y5651" s="12">
        <f>IF(OR(LEFT(K5651,4)="LVAX",LEFT(K5651,6)="MV15AX",LEFT(K5651,4)="CTAX",LEFT(K5651,2)="W|"),2*N5651*O5651,0)</f>
        <v/>
      </c>
      <c r="Z5651" s="12" t="inlineStr">
        <is>
          <t>neutral grounding resistor beside the generator enclosure</t>
        </is>
      </c>
      <c r="AA5651" s="12">
        <f>N5651*O5651</f>
        <v/>
      </c>
    </row>
    <row r="5652">
      <c r="A5652" s="12" t="inlineStr">
        <is>
          <t>I-MV-0034</t>
        </is>
      </c>
      <c r="B5652" s="12" t="inlineStr">
        <is>
          <t>I</t>
        </is>
      </c>
      <c r="C5652" s="12" t="inlineStr">
        <is>
          <t>Modular / portable power</t>
        </is>
      </c>
      <c r="D5652" s="12" t="inlineStr">
        <is>
          <t>SC-2 PCM auxiliary transformer primary, 2 MVA 13.8 kV / 480 V (from the GCB bus)</t>
        </is>
      </c>
      <c r="E5652" s="12" t="inlineStr"/>
      <c r="F5652" s="12" t="inlineStr">
        <is>
          <t>SC-2 PCM + 15 kV GCB</t>
        </is>
      </c>
      <c r="G5652" s="12" t="inlineStr"/>
      <c r="H5652" s="12" t="inlineStr">
        <is>
          <t>SC-2 PCM + 15 kV GCB</t>
        </is>
      </c>
      <c r="I5652" s="12" t="inlineStr">
        <is>
          <t>MV 15 kV</t>
        </is>
      </c>
      <c r="J5652" s="12" t="inlineStr">
        <is>
          <t>MV-105 15 kV 1/C Cu, EPR 133%, Cu tape shield, PVC jacket (triplexed)</t>
        </is>
      </c>
      <c r="K5652" s="12" t="inlineStr">
        <is>
          <t>MV15|1/C|2</t>
        </is>
      </c>
      <c r="L5652" s="12" t="inlineStr">
        <is>
          <t>1/C</t>
        </is>
      </c>
      <c r="M5652" s="12" t="inlineStr">
        <is>
          <t>2</t>
        </is>
      </c>
      <c r="N5652" s="12" t="n">
        <v>1</v>
      </c>
      <c r="O5652" s="12" t="n">
        <v>3</v>
      </c>
      <c r="P5652" s="12" t="n">
        <v>13800</v>
      </c>
      <c r="Q5652" s="12" t="n">
        <v>2000</v>
      </c>
      <c r="R5652" s="12" t="n">
        <v>84</v>
      </c>
      <c r="S5652" s="12" t="inlineStr">
        <is>
          <t>Tray</t>
        </is>
      </c>
      <c r="T5652" s="17" t="n">
        <v>0</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is>
          <t>internal to the PCM; ~1.0-1.1 MW connected 480 V load + 0.5 MW conditional inlet chiller</t>
        </is>
      </c>
      <c r="AA5652" s="12">
        <f>N5652*O5652</f>
        <v/>
      </c>
    </row>
    <row r="5653">
      <c r="A5653" s="12" t="inlineStr">
        <is>
          <t>I-PP-0001</t>
        </is>
      </c>
      <c r="B5653" s="12" t="inlineStr">
        <is>
          <t>I</t>
        </is>
      </c>
      <c r="C5653" s="12" t="inlineStr">
        <is>
          <t>Modular / portable power</t>
        </is>
      </c>
      <c r="D5653" s="12" t="inlineStr">
        <is>
          <t>GEN-E 480 V to PAD-LV (Type W sets, cam-lock)</t>
        </is>
      </c>
      <c r="E5653" s="12" t="inlineStr">
        <is>
          <t>GEN-E</t>
        </is>
      </c>
      <c r="F5653" s="12" t="inlineStr">
        <is>
          <t>GEN-E: enclosed industrial gas genset 2 MW</t>
        </is>
      </c>
      <c r="G5653" s="12" t="inlineStr">
        <is>
          <t>PAD-LV</t>
        </is>
      </c>
      <c r="H5653" s="12" t="inlineStr">
        <is>
          <t>PAD-LV 480 V paralleling switchboard</t>
        </is>
      </c>
      <c r="I5653" s="12" t="inlineStr">
        <is>
          <t>Portable LV</t>
        </is>
      </c>
      <c r="J5653" s="12" t="inlineStr">
        <is>
          <t>Type W 2 kV 1/C Cu, EPDM / CPE (portable, cam-lock)</t>
        </is>
      </c>
      <c r="K5653" s="12" t="inlineStr">
        <is>
          <t>W|1/C|4/0</t>
        </is>
      </c>
      <c r="L5653" s="12" t="inlineStr">
        <is>
          <t>1/C</t>
        </is>
      </c>
      <c r="M5653" s="12" t="inlineStr">
        <is>
          <t>4/0</t>
        </is>
      </c>
      <c r="N5653" s="12" t="n">
        <v>8</v>
      </c>
      <c r="O5653" s="12" t="n">
        <v>4</v>
      </c>
      <c r="P5653" s="12" t="n">
        <v>480</v>
      </c>
      <c r="Q5653" s="12" t="n">
        <v>2000</v>
      </c>
      <c r="R5653" s="12" t="n">
        <v>2406</v>
      </c>
      <c r="S5653" s="12" t="inlineStr">
        <is>
          <t>Surface</t>
        </is>
      </c>
      <c r="T5653" s="17" t="n">
        <v>143</v>
      </c>
      <c r="U5653" s="17" t="n">
        <v>27</v>
      </c>
      <c r="V5653" s="17">
        <f>ROUNDUP((T5653+U5653+2*'Read Me'!$B$13)*(1+'Read Me'!$B$12),-1)</f>
        <v/>
      </c>
      <c r="W5653" s="17">
        <f>V5653*N5653*O5653</f>
        <v/>
      </c>
      <c r="X5653" s="12">
        <f>IF(LEFT(I5653,2)="MV",2*N5653*IF(L5653="1/C",O5653,1),0)</f>
        <v/>
      </c>
      <c r="Y5653" s="12">
        <f>IF(OR(LEFT(K5653,4)="LVAX",LEFT(K5653,6)="MV15AX",LEFT(K5653,4)="CTAX",LEFT(K5653,2)="W|"),2*N5653*O5653,0)</f>
        <v/>
      </c>
      <c r="Z5653" s="12" t="inlineStr">
        <is>
          <t>4 x 1/C per set incl. ground</t>
        </is>
      </c>
      <c r="AA5653" s="12">
        <f>N5653*O5653</f>
        <v/>
      </c>
    </row>
    <row r="5654">
      <c r="A5654" s="12" t="inlineStr">
        <is>
          <t>I-PP-0002</t>
        </is>
      </c>
      <c r="B5654" s="12" t="inlineStr">
        <is>
          <t>I</t>
        </is>
      </c>
      <c r="C5654" s="12" t="inlineStr">
        <is>
          <t>Modular / portable power</t>
        </is>
      </c>
      <c r="D5654" s="12" t="inlineStr">
        <is>
          <t>GEN-O 480 V to PAD-LV (Type W sets, cam-lock)</t>
        </is>
      </c>
      <c r="E5654" s="12" t="inlineStr">
        <is>
          <t>GEN-O</t>
        </is>
      </c>
      <c r="F5654" s="12" t="inlineStr">
        <is>
          <t>GEN-O: open engine-generator skid</t>
        </is>
      </c>
      <c r="G5654" s="12" t="inlineStr">
        <is>
          <t>PAD-LV</t>
        </is>
      </c>
      <c r="H5654" s="12" t="inlineStr">
        <is>
          <t>PAD-LV 480 V paralleling switchboard</t>
        </is>
      </c>
      <c r="I5654" s="12" t="inlineStr">
        <is>
          <t>Portable LV</t>
        </is>
      </c>
      <c r="J5654" s="12" t="inlineStr">
        <is>
          <t>Type W 2 kV 1/C Cu, EPDM / CPE (portable, cam-lock)</t>
        </is>
      </c>
      <c r="K5654" s="12" t="inlineStr">
        <is>
          <t>W|1/C|4/0</t>
        </is>
      </c>
      <c r="L5654" s="12" t="inlineStr">
        <is>
          <t>1/C</t>
        </is>
      </c>
      <c r="M5654" s="12" t="inlineStr">
        <is>
          <t>4/0</t>
        </is>
      </c>
      <c r="N5654" s="12" t="n">
        <v>4</v>
      </c>
      <c r="O5654" s="12" t="n">
        <v>4</v>
      </c>
      <c r="P5654" s="12" t="n">
        <v>480</v>
      </c>
      <c r="Q5654" s="12" t="n">
        <v>1000</v>
      </c>
      <c r="R5654" s="12" t="n">
        <v>1203</v>
      </c>
      <c r="S5654" s="12" t="inlineStr">
        <is>
          <t>Surface</t>
        </is>
      </c>
      <c r="T5654" s="17" t="n">
        <v>132</v>
      </c>
      <c r="U5654" s="17" t="n">
        <v>27</v>
      </c>
      <c r="V5654" s="17">
        <f>ROUNDUP((T5654+U5654+2*'Read Me'!$B$13)*(1+'Read Me'!$B$12),-1)</f>
        <v/>
      </c>
      <c r="W5654" s="17">
        <f>V5654*N5654*O5654</f>
        <v/>
      </c>
      <c r="X5654" s="12">
        <f>IF(LEFT(I5654,2)="MV",2*N5654*IF(L5654="1/C",O5654,1),0)</f>
        <v/>
      </c>
      <c r="Y5654" s="12">
        <f>IF(OR(LEFT(K5654,4)="LVAX",LEFT(K5654,6)="MV15AX",LEFT(K5654,4)="CTAX",LEFT(K5654,2)="W|"),2*N5654*O5654,0)</f>
        <v/>
      </c>
      <c r="Z5654" s="12" t="inlineStr">
        <is>
          <t>4 x 1/C per set incl. ground</t>
        </is>
      </c>
      <c r="AA5654" s="12">
        <f>N5654*O5654</f>
        <v/>
      </c>
    </row>
    <row r="5655">
      <c r="A5655" s="12" t="inlineStr">
        <is>
          <t>I-PP-0003</t>
        </is>
      </c>
      <c r="B5655" s="12" t="inlineStr">
        <is>
          <t>I</t>
        </is>
      </c>
      <c r="C5655" s="12" t="inlineStr">
        <is>
          <t>Modular / portable power</t>
        </is>
      </c>
      <c r="D5655" s="12" t="inlineStr">
        <is>
          <t>CONT-1 13.8 kV leads to GSP-1</t>
        </is>
      </c>
      <c r="E5655" s="12" t="inlineStr">
        <is>
          <t>CONT-1</t>
        </is>
      </c>
      <c r="F5655" s="12" t="inlineStr">
        <is>
          <t>CONT-1: containerized genset 13.8 kV (40 ft)</t>
        </is>
      </c>
      <c r="G5655" s="12" t="inlineStr">
        <is>
          <t>GSP-1</t>
        </is>
      </c>
      <c r="H5655" s="12" t="inlineStr">
        <is>
          <t>GSP-1: generator breaker / protection</t>
        </is>
      </c>
      <c r="I5655" s="12" t="inlineStr">
        <is>
          <t>Portable MV</t>
        </is>
      </c>
      <c r="J5655" s="12" t="inlineStr">
        <is>
          <t>Type SHD-GC 15 kV 3/C Cu, 2 grounds + GC, yellow CPE (portable)</t>
        </is>
      </c>
      <c r="K5655" s="12" t="inlineStr">
        <is>
          <t>SHD|3/C|2</t>
        </is>
      </c>
      <c r="L5655" s="12" t="inlineStr">
        <is>
          <t>3/C</t>
        </is>
      </c>
      <c r="M5655" s="12" t="inlineStr">
        <is>
          <t>2</t>
        </is>
      </c>
      <c r="N5655" s="12" t="n">
        <v>1</v>
      </c>
      <c r="O5655" s="12" t="n">
        <v>1</v>
      </c>
      <c r="P5655" s="12" t="n">
        <v>13800</v>
      </c>
      <c r="Q5655" s="12" t="n">
        <v>2000</v>
      </c>
      <c r="R5655" s="12" t="n">
        <v>93</v>
      </c>
      <c r="S5655" s="12" t="inlineStr">
        <is>
          <t>Tray</t>
        </is>
      </c>
      <c r="T5655" s="17" t="n">
        <v>0</v>
      </c>
      <c r="U5655" s="17" t="n">
        <v>29</v>
      </c>
      <c r="V5655" s="17">
        <f>ROUNDUP((T5655+U5655+2*'Read Me'!$B$13)*(1+'Read Me'!$B$12),-1)</f>
        <v/>
      </c>
      <c r="W5655" s="17">
        <f>V5655*N5655*O5655</f>
        <v/>
      </c>
      <c r="X5655" s="12">
        <f>IF(LEFT(I5655,2)="MV",2*N5655*IF(L5655="1/C",O5655,1),0)</f>
        <v/>
      </c>
      <c r="Y5655" s="12">
        <f>IF(OR(LEFT(K5655,4)="LVAX",LEFT(K5655,6)="MV15AX",LEFT(K5655,4)="CTAX",LEFT(K5655,2)="W|"),2*N5655*O5655,0)</f>
        <v/>
      </c>
      <c r="Z5655" s="12" t="inlineStr">
        <is>
          <t>portable, on grade</t>
        </is>
      </c>
      <c r="AA5655" s="12">
        <f>N5655*O5655</f>
        <v/>
      </c>
    </row>
    <row r="5656">
      <c r="A5656" s="12" t="inlineStr">
        <is>
          <t>I-PP-0004</t>
        </is>
      </c>
      <c r="B5656" s="12" t="inlineStr">
        <is>
          <t>I</t>
        </is>
      </c>
      <c r="C5656" s="12" t="inlineStr">
        <is>
          <t>Modular / portable power</t>
        </is>
      </c>
      <c r="D5656" s="12" t="inlineStr">
        <is>
          <t>CONT-2 13.8 kV leads to GSP-2</t>
        </is>
      </c>
      <c r="E5656" s="12" t="inlineStr">
        <is>
          <t>CONT-2</t>
        </is>
      </c>
      <c r="F5656" s="12" t="inlineStr">
        <is>
          <t>CONT-2: containerized genset 13.8 kV (40 ft)</t>
        </is>
      </c>
      <c r="G5656" s="12" t="inlineStr">
        <is>
          <t>GSP-2</t>
        </is>
      </c>
      <c r="H5656" s="12" t="inlineStr">
        <is>
          <t>GSP-2: generator breaker / protection</t>
        </is>
      </c>
      <c r="I5656" s="12" t="inlineStr">
        <is>
          <t>Portable MV</t>
        </is>
      </c>
      <c r="J5656" s="12" t="inlineStr">
        <is>
          <t>Type SHD-GC 15 kV 3/C Cu, 2 grounds + GC, yellow CPE (portable)</t>
        </is>
      </c>
      <c r="K5656" s="12" t="inlineStr">
        <is>
          <t>SHD|3/C|2</t>
        </is>
      </c>
      <c r="L5656" s="12" t="inlineStr">
        <is>
          <t>3/C</t>
        </is>
      </c>
      <c r="M5656" s="12" t="inlineStr">
        <is>
          <t>2</t>
        </is>
      </c>
      <c r="N5656" s="12" t="n">
        <v>1</v>
      </c>
      <c r="O5656" s="12" t="n">
        <v>1</v>
      </c>
      <c r="P5656" s="12" t="n">
        <v>13800</v>
      </c>
      <c r="Q5656" s="12" t="n">
        <v>2000</v>
      </c>
      <c r="R5656" s="12" t="n">
        <v>93</v>
      </c>
      <c r="S5656" s="12" t="inlineStr">
        <is>
          <t>Riser</t>
        </is>
      </c>
      <c r="T5656" s="17" t="n">
        <v>2</v>
      </c>
      <c r="U5656" s="17" t="n">
        <v>27</v>
      </c>
      <c r="V5656" s="17">
        <f>ROUNDUP((T5656+U5656+2*'Read Me'!$B$13)*(1+'Read Me'!$B$12),-1)</f>
        <v/>
      </c>
      <c r="W5656" s="17">
        <f>V5656*N5656*O5656</f>
        <v/>
      </c>
      <c r="X5656" s="12">
        <f>IF(LEFT(I5656,2)="MV",2*N5656*IF(L5656="1/C",O5656,1),0)</f>
        <v/>
      </c>
      <c r="Y5656" s="12">
        <f>IF(OR(LEFT(K5656,4)="LVAX",LEFT(K5656,6)="MV15AX",LEFT(K5656,4)="CTAX",LEFT(K5656,2)="W|"),2*N5656*O5656,0)</f>
        <v/>
      </c>
      <c r="Z5656" s="12" t="inlineStr">
        <is>
          <t>portable, on grade</t>
        </is>
      </c>
      <c r="AA5656" s="12">
        <f>N5656*O5656</f>
        <v/>
      </c>
    </row>
    <row r="5657">
      <c r="A5657" s="12" t="inlineStr">
        <is>
          <t>I-PP-0005</t>
        </is>
      </c>
      <c r="B5657" s="12" t="inlineStr">
        <is>
          <t>I</t>
        </is>
      </c>
      <c r="C5657" s="12" t="inlineStr">
        <is>
          <t>Modular / portable power</t>
        </is>
      </c>
      <c r="D5657" s="12" t="inlineStr">
        <is>
          <t>PIC to commissioning load bank</t>
        </is>
      </c>
      <c r="E5657" s="12" t="inlineStr">
        <is>
          <t>PIC</t>
        </is>
      </c>
      <c r="F5657" s="12" t="inlineStr">
        <is>
          <t>PIC: portable input cabinet</t>
        </is>
      </c>
      <c r="G5657" s="12" t="inlineStr">
        <is>
          <t>LB</t>
        </is>
      </c>
      <c r="H5657" s="12" t="inlineStr">
        <is>
          <t>LB: commissioning load bank (trailer)</t>
        </is>
      </c>
      <c r="I5657" s="12" t="inlineStr">
        <is>
          <t>Portable MV</t>
        </is>
      </c>
      <c r="J5657" s="12" t="inlineStr">
        <is>
          <t>Type SHD-GC 15 kV 3/C Cu, 2 grounds + GC, yellow CPE (portable)</t>
        </is>
      </c>
      <c r="K5657" s="12" t="inlineStr">
        <is>
          <t>SHD|3/C|2</t>
        </is>
      </c>
      <c r="L5657" s="12" t="inlineStr">
        <is>
          <t>3/C</t>
        </is>
      </c>
      <c r="M5657" s="12" t="inlineStr">
        <is>
          <t>2</t>
        </is>
      </c>
      <c r="N5657" s="12" t="n">
        <v>1</v>
      </c>
      <c r="O5657" s="12" t="n">
        <v>1</v>
      </c>
      <c r="P5657" s="12" t="n">
        <v>13800</v>
      </c>
      <c r="Q5657" s="12" t="n">
        <v>2000</v>
      </c>
      <c r="R5657" s="12" t="n">
        <v>93</v>
      </c>
      <c r="S5657" s="12" t="inlineStr">
        <is>
          <t>Surface</t>
        </is>
      </c>
      <c r="T5657" s="17" t="n">
        <v>27</v>
      </c>
      <c r="U5657" s="17" t="n">
        <v>39</v>
      </c>
      <c r="V5657" s="17">
        <f>ROUNDUP((T5657+U5657+2*'Read Me'!$B$13)*(1+'Read Me'!$B$12),-1)</f>
        <v/>
      </c>
      <c r="W5657" s="17">
        <f>V5657*N5657*O5657</f>
        <v/>
      </c>
      <c r="X5657" s="12">
        <f>IF(LEFT(I5657,2)="MV",2*N5657*IF(L5657="1/C",O5657,1),0)</f>
        <v/>
      </c>
      <c r="Y5657" s="12">
        <f>IF(OR(LEFT(K5657,4)="LVAX",LEFT(K5657,6)="MV15AX",LEFT(K5657,4)="CTAX",LEFT(K5657,2)="W|"),2*N5657*O5657,0)</f>
        <v/>
      </c>
      <c r="Z5657" s="12" t="inlineStr">
        <is>
          <t>portable</t>
        </is>
      </c>
      <c r="AA5657" s="12">
        <f>N5657*O5657</f>
        <v/>
      </c>
    </row>
    <row r="5658">
      <c r="A5658" s="12" t="inlineStr">
        <is>
          <t>I-PP-0006</t>
        </is>
      </c>
      <c r="B5658" s="12" t="inlineStr">
        <is>
          <t>I</t>
        </is>
      </c>
      <c r="C5658" s="12" t="inlineStr">
        <is>
          <t>Modular / portable power</t>
        </is>
      </c>
      <c r="D5658" s="12" t="inlineStr">
        <is>
          <t>GSP-1 to PAD-EH</t>
        </is>
      </c>
      <c r="E5658" s="12" t="inlineStr">
        <is>
          <t>GSP-1</t>
        </is>
      </c>
      <c r="F5658" s="12" t="inlineStr">
        <is>
          <t>GSP-1: generator breaker / protection</t>
        </is>
      </c>
      <c r="G5658" s="12" t="inlineStr">
        <is>
          <t>PAD-EH</t>
        </is>
      </c>
      <c r="H5658" s="12" t="inlineStr">
        <is>
          <t>PAD-EH 13.8 kV switchgear e-house</t>
        </is>
      </c>
      <c r="I5658" s="12" t="inlineStr">
        <is>
          <t>Portable MV</t>
        </is>
      </c>
      <c r="J5658" s="12" t="inlineStr">
        <is>
          <t>Type SHD-GC 15 kV 3/C Cu, 2 grounds + GC, yellow CPE (portable)</t>
        </is>
      </c>
      <c r="K5658" s="12" t="inlineStr">
        <is>
          <t>SHD|3/C|2</t>
        </is>
      </c>
      <c r="L5658" s="12" t="inlineStr">
        <is>
          <t>3/C</t>
        </is>
      </c>
      <c r="M5658" s="12" t="inlineStr">
        <is>
          <t>2</t>
        </is>
      </c>
      <c r="N5658" s="12" t="n">
        <v>1</v>
      </c>
      <c r="O5658" s="12" t="n">
        <v>1</v>
      </c>
      <c r="P5658" s="12" t="n">
        <v>13800</v>
      </c>
      <c r="Q5658" s="12" t="n">
        <v>2000</v>
      </c>
      <c r="R5658" s="12" t="n">
        <v>93</v>
      </c>
      <c r="S5658" s="12" t="inlineStr">
        <is>
          <t>Surface</t>
        </is>
      </c>
      <c r="T5658" s="17" t="n">
        <v>298</v>
      </c>
      <c r="U5658" s="17" t="n">
        <v>37</v>
      </c>
      <c r="V5658" s="17">
        <f>ROUNDUP((T5658+U5658+2*'Read Me'!$B$13)*(1+'Read Me'!$B$12),-1)</f>
        <v/>
      </c>
      <c r="W5658" s="17">
        <f>V5658*N5658*O5658</f>
        <v/>
      </c>
      <c r="X5658" s="12">
        <f>IF(LEFT(I5658,2)="MV",2*N5658*IF(L5658="1/C",O5658,1),0)</f>
        <v/>
      </c>
      <c r="Y5658" s="12">
        <f>IF(OR(LEFT(K5658,4)="LVAX",LEFT(K5658,6)="MV15AX",LEFT(K5658,4)="CTAX",LEFT(K5658,2)="W|"),2*N5658*O5658,0)</f>
        <v/>
      </c>
      <c r="Z5658" s="12" t="inlineStr">
        <is>
          <t>portable, on grade</t>
        </is>
      </c>
      <c r="AA5658" s="12">
        <f>N5658*O5658</f>
        <v/>
      </c>
    </row>
    <row r="5659">
      <c r="A5659" s="12" t="inlineStr">
        <is>
          <t>I-PP-0007</t>
        </is>
      </c>
      <c r="B5659" s="12" t="inlineStr">
        <is>
          <t>I</t>
        </is>
      </c>
      <c r="C5659" s="12" t="inlineStr">
        <is>
          <t>Modular / portable power</t>
        </is>
      </c>
      <c r="D5659" s="12" t="inlineStr">
        <is>
          <t>GSP-2 to PAD-EH</t>
        </is>
      </c>
      <c r="E5659" s="12" t="inlineStr">
        <is>
          <t>GSP-2</t>
        </is>
      </c>
      <c r="F5659" s="12" t="inlineStr">
        <is>
          <t>GSP-2: generator breaker / protection</t>
        </is>
      </c>
      <c r="G5659" s="12" t="inlineStr">
        <is>
          <t>PAD-EH</t>
        </is>
      </c>
      <c r="H5659" s="12" t="inlineStr">
        <is>
          <t>PAD-EH 13.8 kV switchgear e-house</t>
        </is>
      </c>
      <c r="I5659" s="12" t="inlineStr">
        <is>
          <t>Portable MV</t>
        </is>
      </c>
      <c r="J5659" s="12" t="inlineStr">
        <is>
          <t>Type SHD-GC 15 kV 3/C Cu, 2 grounds + GC, yellow CPE (portable)</t>
        </is>
      </c>
      <c r="K5659" s="12" t="inlineStr">
        <is>
          <t>SHD|3/C|2</t>
        </is>
      </c>
      <c r="L5659" s="12" t="inlineStr">
        <is>
          <t>3/C</t>
        </is>
      </c>
      <c r="M5659" s="12" t="inlineStr">
        <is>
          <t>2</t>
        </is>
      </c>
      <c r="N5659" s="12" t="n">
        <v>1</v>
      </c>
      <c r="O5659" s="12" t="n">
        <v>1</v>
      </c>
      <c r="P5659" s="12" t="n">
        <v>13800</v>
      </c>
      <c r="Q5659" s="12" t="n">
        <v>2000</v>
      </c>
      <c r="R5659" s="12" t="n">
        <v>93</v>
      </c>
      <c r="S5659" s="12" t="inlineStr">
        <is>
          <t>Surface</t>
        </is>
      </c>
      <c r="T5659" s="17" t="n">
        <v>269</v>
      </c>
      <c r="U5659" s="17" t="n">
        <v>37</v>
      </c>
      <c r="V5659" s="17">
        <f>ROUNDUP((T5659+U5659+2*'Read Me'!$B$13)*(1+'Read Me'!$B$12),-1)</f>
        <v/>
      </c>
      <c r="W5659" s="17">
        <f>V5659*N5659*O5659</f>
        <v/>
      </c>
      <c r="X5659" s="12">
        <f>IF(LEFT(I5659,2)="MV",2*N5659*IF(L5659="1/C",O5659,1),0)</f>
        <v/>
      </c>
      <c r="Y5659" s="12">
        <f>IF(OR(LEFT(K5659,4)="LVAX",LEFT(K5659,6)="MV15AX",LEFT(K5659,4)="CTAX",LEFT(K5659,2)="W|"),2*N5659*O5659,0)</f>
        <v/>
      </c>
      <c r="Z5659" s="12" t="inlineStr">
        <is>
          <t>portable, on grade</t>
        </is>
      </c>
      <c r="AA5659" s="12">
        <f>N5659*O5659</f>
        <v/>
      </c>
    </row>
    <row r="5660">
      <c r="A5660" s="12" t="inlineStr">
        <is>
          <t>I-PP-0008</t>
        </is>
      </c>
      <c r="B5660" s="12" t="inlineStr">
        <is>
          <t>I</t>
        </is>
      </c>
      <c r="C5660" s="12" t="inlineStr">
        <is>
          <t>Modular / portable power</t>
        </is>
      </c>
      <c r="D5660" s="12" t="inlineStr">
        <is>
          <t>MOB-1 13.8 kV to PIC through the C-L01 ramp</t>
        </is>
      </c>
      <c r="E5660" s="12" t="inlineStr">
        <is>
          <t>MOB-1</t>
        </is>
      </c>
      <c r="F5660" s="12" t="inlineStr">
        <is>
          <t>MOB-1: trailer genset</t>
        </is>
      </c>
      <c r="G5660" s="12" t="inlineStr">
        <is>
          <t>PIC</t>
        </is>
      </c>
      <c r="H5660" s="12" t="inlineStr">
        <is>
          <t>PIC: portable input cabinet</t>
        </is>
      </c>
      <c r="I5660" s="12" t="inlineStr">
        <is>
          <t>Portable MV</t>
        </is>
      </c>
      <c r="J5660" s="12" t="inlineStr">
        <is>
          <t>Type SHD-GC 15 kV 3/C Cu, 2 grounds + GC, yellow CPE (portable)</t>
        </is>
      </c>
      <c r="K5660" s="12" t="inlineStr">
        <is>
          <t>SHD|3/C|2</t>
        </is>
      </c>
      <c r="L5660" s="12" t="inlineStr">
        <is>
          <t>3/C</t>
        </is>
      </c>
      <c r="M5660" s="12" t="inlineStr">
        <is>
          <t>2</t>
        </is>
      </c>
      <c r="N5660" s="12" t="n">
        <v>1</v>
      </c>
      <c r="O5660" s="12" t="n">
        <v>1</v>
      </c>
      <c r="P5660" s="12" t="n">
        <v>13800</v>
      </c>
      <c r="Q5660" s="12" t="n">
        <v>2000</v>
      </c>
      <c r="R5660" s="12" t="n">
        <v>93</v>
      </c>
      <c r="S5660" s="12" t="inlineStr">
        <is>
          <t>Surface</t>
        </is>
      </c>
      <c r="T5660" s="17" t="n">
        <v>162</v>
      </c>
      <c r="U5660" s="17" t="n">
        <v>27</v>
      </c>
      <c r="V5660" s="17">
        <f>ROUNDUP((T5660+U5660+2*'Read Me'!$B$13)*(1+'Read Me'!$B$12),-1)</f>
        <v/>
      </c>
      <c r="W5660" s="17">
        <f>V5660*N5660*O5660</f>
        <v/>
      </c>
      <c r="X5660" s="12">
        <f>IF(LEFT(I5660,2)="MV",2*N5660*IF(L5660="1/C",O5660,1),0)</f>
        <v/>
      </c>
      <c r="Y5660" s="12">
        <f>IF(OR(LEFT(K5660,4)="LVAX",LEFT(K5660,6)="MV15AX",LEFT(K5660,4)="CTAX",LEFT(K5660,2)="W|"),2*N5660*O5660,0)</f>
        <v/>
      </c>
      <c r="Z5660" s="12" t="inlineStr">
        <is>
          <t>portable</t>
        </is>
      </c>
      <c r="AA5660" s="12">
        <f>N5660*O5660</f>
        <v/>
      </c>
    </row>
    <row r="5661">
      <c r="A5661" s="12" t="inlineStr">
        <is>
          <t>J-C-0001</t>
        </is>
      </c>
      <c r="B5661" s="12" t="inlineStr">
        <is>
          <t>J</t>
        </is>
      </c>
      <c r="C5661" s="12" t="inlineStr">
        <is>
          <t>GT inlet chilling</t>
        </is>
      </c>
      <c r="D5661" s="12" t="inlineStr">
        <is>
          <t>Motor 1 of 4: control / local station</t>
        </is>
      </c>
      <c r="E5661" s="12" t="inlineStr"/>
      <c r="F5661" s="12" t="inlineStr">
        <is>
          <t>Inlet-chilling e-house / transformer</t>
        </is>
      </c>
      <c r="G5661" s="12" t="inlineStr"/>
      <c r="H5661" s="12" t="inlineStr">
        <is>
          <t>CHW pumps</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7" t="n">
        <v>579</v>
      </c>
      <c r="U5661" s="17" t="n">
        <v>32</v>
      </c>
      <c r="V5661" s="17">
        <f>ROUNDUP((T5661+U5661+2*'Read Me'!$B$13)*(1+'Read Me'!$B$12),-1)</f>
        <v/>
      </c>
      <c r="W5661" s="17">
        <f>V5661*N5661*O5661</f>
        <v/>
      </c>
      <c r="X5661" s="12">
        <f>IF(LEFT(I5661,2)="MV",2*N5661*IF(L5661="1/C",O5661,1),0)</f>
        <v/>
      </c>
      <c r="Y5661" s="12">
        <f>IF(OR(LEFT(K5661,4)="LVAX",LEFT(K5661,6)="MV15AX",LEFT(K5661,4)="CTAX",LEFT(K5661,2)="W|"),2*N5661*O5661,0)</f>
        <v/>
      </c>
      <c r="Z5661" s="12" t="inlineStr"/>
      <c r="AA5661" s="12">
        <f>N5661*O5661</f>
        <v/>
      </c>
    </row>
    <row r="5662">
      <c r="A5662" s="12" t="inlineStr">
        <is>
          <t>J-C-0002</t>
        </is>
      </c>
      <c r="B5662" s="12" t="inlineStr">
        <is>
          <t>J</t>
        </is>
      </c>
      <c r="C5662" s="12" t="inlineStr">
        <is>
          <t>GT inlet chilling</t>
        </is>
      </c>
      <c r="D5662" s="12" t="inlineStr">
        <is>
          <t>Motor 2 of 4: control / local station</t>
        </is>
      </c>
      <c r="E5662" s="12" t="inlineStr"/>
      <c r="F5662" s="12" t="inlineStr">
        <is>
          <t>Inlet-chilling e-house / transformer</t>
        </is>
      </c>
      <c r="G5662" s="12" t="inlineStr"/>
      <c r="H5662" s="12" t="inlineStr">
        <is>
          <t>CHW pumps</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7" t="n">
        <v>579</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J-C-0003</t>
        </is>
      </c>
      <c r="B5663" s="12" t="inlineStr">
        <is>
          <t>J</t>
        </is>
      </c>
      <c r="C5663" s="12" t="inlineStr">
        <is>
          <t>GT inlet chilling</t>
        </is>
      </c>
      <c r="D5663" s="12" t="inlineStr">
        <is>
          <t>Motor 3 of 4: control / local station</t>
        </is>
      </c>
      <c r="E5663" s="12" t="inlineStr"/>
      <c r="F5663" s="12" t="inlineStr">
        <is>
          <t>Inlet-chilling e-house / transformer</t>
        </is>
      </c>
      <c r="G5663" s="12" t="inlineStr"/>
      <c r="H5663" s="12" t="inlineStr">
        <is>
          <t>CHW pumps</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7" t="n">
        <v>579</v>
      </c>
      <c r="U5663" s="17" t="n">
        <v>32</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J-C-0004</t>
        </is>
      </c>
      <c r="B5664" s="12" t="inlineStr">
        <is>
          <t>J</t>
        </is>
      </c>
      <c r="C5664" s="12" t="inlineStr">
        <is>
          <t>GT inlet chilling</t>
        </is>
      </c>
      <c r="D5664" s="12" t="inlineStr">
        <is>
          <t>Motor 4 of 4: control / local station</t>
        </is>
      </c>
      <c r="E5664" s="12" t="inlineStr"/>
      <c r="F5664" s="12" t="inlineStr">
        <is>
          <t>Inlet-chilling e-house / transformer</t>
        </is>
      </c>
      <c r="G5664" s="12" t="inlineStr"/>
      <c r="H5664" s="12" t="inlineStr">
        <is>
          <t>CHW pumps</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7" t="n">
        <v>579</v>
      </c>
      <c r="U5664" s="17" t="n">
        <v>32</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J-C-0005</t>
        </is>
      </c>
      <c r="B5665" s="12" t="inlineStr">
        <is>
          <t>J</t>
        </is>
      </c>
      <c r="C5665" s="12" t="inlineStr">
        <is>
          <t>GT inlet chilling</t>
        </is>
      </c>
      <c r="D5665" s="12" t="inlineStr">
        <is>
          <t>Motor 1 of 6: control / local station</t>
        </is>
      </c>
      <c r="E5665" s="12" t="inlineStr"/>
      <c r="F5665" s="12" t="inlineStr">
        <is>
          <t>Inlet-chilling e-house / transformer</t>
        </is>
      </c>
      <c r="G5665" s="12" t="inlineStr"/>
      <c r="H5665" s="12" t="inlineStr">
        <is>
          <t>Chillers x6 (water-cooled)</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7" t="n">
        <v>10</v>
      </c>
      <c r="U5665" s="17" t="n">
        <v>32</v>
      </c>
      <c r="V5665" s="17">
        <f>ROUNDUP((T5665+U5665+2*'Read Me'!$B$13)*(1+'Read Me'!$B$12),-1)</f>
        <v/>
      </c>
      <c r="W5665" s="17">
        <f>V5665*N5665*O5665</f>
        <v/>
      </c>
      <c r="X5665" s="12">
        <f>IF(LEFT(I5665,2)="MV",2*N5665*IF(L5665="1/C",O5665,1),0)</f>
        <v/>
      </c>
      <c r="Y5665" s="12">
        <f>IF(OR(LEFT(K5665,4)="LVAX",LEFT(K5665,6)="MV15AX",LEFT(K5665,4)="CTAX",LEFT(K5665,2)="W|"),2*N5665*O5665,0)</f>
        <v/>
      </c>
      <c r="Z5665" s="12" t="inlineStr"/>
      <c r="AA5665" s="12">
        <f>N5665*O5665</f>
        <v/>
      </c>
    </row>
    <row r="5666">
      <c r="A5666" s="12" t="inlineStr">
        <is>
          <t>J-C-0006</t>
        </is>
      </c>
      <c r="B5666" s="12" t="inlineStr">
        <is>
          <t>J</t>
        </is>
      </c>
      <c r="C5666" s="12" t="inlineStr">
        <is>
          <t>GT inlet chilling</t>
        </is>
      </c>
      <c r="D5666" s="12" t="inlineStr">
        <is>
          <t>Motor 2 of 6: control / local station</t>
        </is>
      </c>
      <c r="E5666" s="12" t="inlineStr"/>
      <c r="F5666" s="12" t="inlineStr">
        <is>
          <t>Inlet-chilling e-house / transformer</t>
        </is>
      </c>
      <c r="G5666" s="12" t="inlineStr"/>
      <c r="H5666" s="12" t="inlineStr">
        <is>
          <t>Chillers x6 (water-cooled)</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7" t="n">
        <v>10</v>
      </c>
      <c r="U5666" s="17" t="n">
        <v>32</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J-C-0007</t>
        </is>
      </c>
      <c r="B5667" s="12" t="inlineStr">
        <is>
          <t>J</t>
        </is>
      </c>
      <c r="C5667" s="12" t="inlineStr">
        <is>
          <t>GT inlet chilling</t>
        </is>
      </c>
      <c r="D5667" s="12" t="inlineStr">
        <is>
          <t>Motor 3 of 6: control / local station</t>
        </is>
      </c>
      <c r="E5667" s="12" t="inlineStr"/>
      <c r="F5667" s="12" t="inlineStr">
        <is>
          <t>Inlet-chilling e-house / transformer</t>
        </is>
      </c>
      <c r="G5667" s="12" t="inlineStr"/>
      <c r="H5667" s="12" t="inlineStr">
        <is>
          <t>Chillers x6 (water-cooled)</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7" t="n">
        <v>10</v>
      </c>
      <c r="U5667" s="17" t="n">
        <v>32</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J-C-0008</t>
        </is>
      </c>
      <c r="B5668" s="12" t="inlineStr">
        <is>
          <t>J</t>
        </is>
      </c>
      <c r="C5668" s="12" t="inlineStr">
        <is>
          <t>GT inlet chilling</t>
        </is>
      </c>
      <c r="D5668" s="12" t="inlineStr">
        <is>
          <t>Motor 4 of 6: control / local station</t>
        </is>
      </c>
      <c r="E5668" s="12" t="inlineStr"/>
      <c r="F5668" s="12" t="inlineStr">
        <is>
          <t>Inlet-chilling e-house / transformer</t>
        </is>
      </c>
      <c r="G5668" s="12" t="inlineStr"/>
      <c r="H5668" s="12" t="inlineStr">
        <is>
          <t>Chillers x6 (water-cooled)</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7" t="n">
        <v>10</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J-C-0009</t>
        </is>
      </c>
      <c r="B5669" s="12" t="inlineStr">
        <is>
          <t>J</t>
        </is>
      </c>
      <c r="C5669" s="12" t="inlineStr">
        <is>
          <t>GT inlet chilling</t>
        </is>
      </c>
      <c r="D5669" s="12" t="inlineStr">
        <is>
          <t>Motor 5 of 6: control / local station</t>
        </is>
      </c>
      <c r="E5669" s="12" t="inlineStr"/>
      <c r="F5669" s="12" t="inlineStr">
        <is>
          <t>Inlet-chilling e-house / transformer</t>
        </is>
      </c>
      <c r="G5669" s="12" t="inlineStr"/>
      <c r="H5669" s="12" t="inlineStr">
        <is>
          <t>Chillers x6 (water-cooled)</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7" t="n">
        <v>10</v>
      </c>
      <c r="U5669" s="17" t="n">
        <v>32</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J-C-0010</t>
        </is>
      </c>
      <c r="B5670" s="12" t="inlineStr">
        <is>
          <t>J</t>
        </is>
      </c>
      <c r="C5670" s="12" t="inlineStr">
        <is>
          <t>GT inlet chilling</t>
        </is>
      </c>
      <c r="D5670" s="12" t="inlineStr">
        <is>
          <t>Motor 6 of 6: control / local station</t>
        </is>
      </c>
      <c r="E5670" s="12" t="inlineStr"/>
      <c r="F5670" s="12" t="inlineStr">
        <is>
          <t>Inlet-chilling e-house / transformer</t>
        </is>
      </c>
      <c r="G5670" s="12" t="inlineStr"/>
      <c r="H5670" s="12" t="inlineStr">
        <is>
          <t>Chillers x6 (water-cooled)</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7" t="n">
        <v>10</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J-C-0011</t>
        </is>
      </c>
      <c r="B5671" s="12" t="inlineStr">
        <is>
          <t>J</t>
        </is>
      </c>
      <c r="C5671" s="12" t="inlineStr">
        <is>
          <t>GT inlet chilling</t>
        </is>
      </c>
      <c r="D5671" s="12" t="inlineStr">
        <is>
          <t>Control</t>
        </is>
      </c>
      <c r="E5671" s="12" t="inlineStr"/>
      <c r="F5671" s="12" t="inlineStr">
        <is>
          <t>Inlet-chilling e-house / transformer</t>
        </is>
      </c>
      <c r="G5671" s="12" t="inlineStr"/>
      <c r="H5671" s="12" t="inlineStr">
        <is>
          <t>Inlet-chilling e-house / transformer</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Tray</t>
        </is>
      </c>
      <c r="T5671" s="17" t="n">
        <v>0</v>
      </c>
      <c r="U5671" s="17" t="n">
        <v>32</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J-C-0012</t>
        </is>
      </c>
      <c r="B5672" s="12" t="inlineStr">
        <is>
          <t>J</t>
        </is>
      </c>
      <c r="C5672" s="12" t="inlineStr">
        <is>
          <t>GT inlet chilling</t>
        </is>
      </c>
      <c r="D5672" s="12" t="inlineStr">
        <is>
          <t>Control</t>
        </is>
      </c>
      <c r="E5672" s="12" t="inlineStr"/>
      <c r="F5672" s="12" t="inlineStr">
        <is>
          <t>Inlet-chilling e-house / transformer</t>
        </is>
      </c>
      <c r="G5672" s="12" t="inlineStr"/>
      <c r="H5672" s="12" t="inlineStr">
        <is>
          <t>Inlet-chilling e-house / transformer</t>
        </is>
      </c>
      <c r="I5672" s="12" t="inlineStr">
        <is>
          <t>Control</t>
        </is>
      </c>
      <c r="J5672" s="12" t="inlineStr">
        <is>
          <t>Control cable 600 V Type TC-ER, Cu #14 AWG, PVC jacket</t>
        </is>
      </c>
      <c r="K5672" s="12" t="inlineStr">
        <is>
          <t>CT|12/C|14</t>
        </is>
      </c>
      <c r="L5672" s="12" t="inlineStr">
        <is>
          <t>12/C</t>
        </is>
      </c>
      <c r="M5672" s="12" t="inlineStr">
        <is>
          <t>14</t>
        </is>
      </c>
      <c r="N5672" s="12" t="n">
        <v>1</v>
      </c>
      <c r="O5672" s="12" t="n">
        <v>1</v>
      </c>
      <c r="P5672" s="12" t="n"/>
      <c r="Q5672" s="12" t="n"/>
      <c r="R5672" s="12" t="n"/>
      <c r="S5672" s="12" t="inlineStr">
        <is>
          <t>Tray</t>
        </is>
      </c>
      <c r="T5672" s="17" t="n">
        <v>0</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J-C-0013</t>
        </is>
      </c>
      <c r="B5673" s="12" t="inlineStr">
        <is>
          <t>J</t>
        </is>
      </c>
      <c r="C5673" s="12" t="inlineStr">
        <is>
          <t>GT inlet chilling</t>
        </is>
      </c>
      <c r="D5673" s="12" t="inlineStr">
        <is>
          <t>CT / VT</t>
        </is>
      </c>
      <c r="E5673" s="12" t="inlineStr"/>
      <c r="F5673" s="12" t="inlineStr">
        <is>
          <t>Inlet-chilling e-house / transformer</t>
        </is>
      </c>
      <c r="G5673" s="12" t="inlineStr"/>
      <c r="H5673" s="12" t="inlineStr">
        <is>
          <t>Inlet-chilling e-house / transformer</t>
        </is>
      </c>
      <c r="I5673" s="12" t="inlineStr">
        <is>
          <t>Control</t>
        </is>
      </c>
      <c r="J5673" s="12" t="inlineStr">
        <is>
          <t>Control cable 600 V Type TC-ER, Cu #10 AWG (CT / VT circuits)</t>
        </is>
      </c>
      <c r="K5673" s="12" t="inlineStr">
        <is>
          <t>CTCT|4/C|10</t>
        </is>
      </c>
      <c r="L5673" s="12" t="inlineStr">
        <is>
          <t>4/C</t>
        </is>
      </c>
      <c r="M5673" s="12" t="inlineStr">
        <is>
          <t>10</t>
        </is>
      </c>
      <c r="N5673" s="12" t="n">
        <v>1</v>
      </c>
      <c r="O5673" s="12" t="n">
        <v>1</v>
      </c>
      <c r="P5673" s="12" t="n"/>
      <c r="Q5673" s="12" t="n"/>
      <c r="R5673" s="12" t="n"/>
      <c r="S5673" s="12" t="inlineStr">
        <is>
          <t>Tray</t>
        </is>
      </c>
      <c r="T5673" s="17" t="n">
        <v>0</v>
      </c>
      <c r="U5673" s="17" t="n">
        <v>32</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J-C-0014</t>
        </is>
      </c>
      <c r="B5674" s="12" t="inlineStr">
        <is>
          <t>J</t>
        </is>
      </c>
      <c r="C5674" s="12" t="inlineStr">
        <is>
          <t>GT inlet chilling</t>
        </is>
      </c>
      <c r="D5674" s="12" t="inlineStr">
        <is>
          <t>CT / VT</t>
        </is>
      </c>
      <c r="E5674" s="12" t="inlineStr"/>
      <c r="F5674" s="12" t="inlineStr">
        <is>
          <t>Inlet-chilling e-house / transformer</t>
        </is>
      </c>
      <c r="G5674" s="12" t="inlineStr"/>
      <c r="H5674" s="12" t="inlineStr">
        <is>
          <t>Inlet-chilling e-house / transformer</t>
        </is>
      </c>
      <c r="I5674" s="12" t="inlineStr">
        <is>
          <t>Control</t>
        </is>
      </c>
      <c r="J5674" s="12" t="inlineStr">
        <is>
          <t>Control cable 600 V Type TC-ER, Cu #10 AWG (CT / VT circuits)</t>
        </is>
      </c>
      <c r="K5674" s="12" t="inlineStr">
        <is>
          <t>CTCT|4/C|10</t>
        </is>
      </c>
      <c r="L5674" s="12" t="inlineStr">
        <is>
          <t>4/C</t>
        </is>
      </c>
      <c r="M5674" s="12" t="inlineStr">
        <is>
          <t>10</t>
        </is>
      </c>
      <c r="N5674" s="12" t="n">
        <v>1</v>
      </c>
      <c r="O5674" s="12" t="n">
        <v>1</v>
      </c>
      <c r="P5674" s="12" t="n"/>
      <c r="Q5674" s="12" t="n"/>
      <c r="R5674" s="12" t="n"/>
      <c r="S5674" s="12" t="inlineStr">
        <is>
          <t>Tray</t>
        </is>
      </c>
      <c r="T5674" s="17" t="n">
        <v>0</v>
      </c>
      <c r="U5674" s="17" t="n">
        <v>32</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J-C-0015</t>
        </is>
      </c>
      <c r="B5675" s="12" t="inlineStr">
        <is>
          <t>J</t>
        </is>
      </c>
      <c r="C5675" s="12" t="inlineStr">
        <is>
          <t>GT inlet chilling</t>
        </is>
      </c>
      <c r="D5675" s="12" t="inlineStr">
        <is>
          <t>Motor 1 of 12: control / local station</t>
        </is>
      </c>
      <c r="E5675" s="12" t="inlineStr"/>
      <c r="F5675" s="12" t="inlineStr">
        <is>
          <t>Inlet-chilling e-house / transformer</t>
        </is>
      </c>
      <c r="G5675" s="12" t="inlineStr"/>
      <c r="H5675" s="12" t="inlineStr">
        <is>
          <t>Inlet-chilling tower (12 cells): chiller heat rejection</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7" t="n">
        <v>478</v>
      </c>
      <c r="U5675" s="17" t="n">
        <v>38</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J-C-0016</t>
        </is>
      </c>
      <c r="B5676" s="12" t="inlineStr">
        <is>
          <t>J</t>
        </is>
      </c>
      <c r="C5676" s="12" t="inlineStr">
        <is>
          <t>GT inlet chilling</t>
        </is>
      </c>
      <c r="D5676" s="12" t="inlineStr">
        <is>
          <t>Motor 2 of 12: control / local station</t>
        </is>
      </c>
      <c r="E5676" s="12" t="inlineStr"/>
      <c r="F5676" s="12" t="inlineStr">
        <is>
          <t>Inlet-chilling e-house / transformer</t>
        </is>
      </c>
      <c r="G5676" s="12" t="inlineStr"/>
      <c r="H5676" s="12" t="inlineStr">
        <is>
          <t>Inlet-chilling tower (12 cells): chiller heat rejection</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7" t="n">
        <v>478</v>
      </c>
      <c r="U5676" s="17" t="n">
        <v>38</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J-C-0017</t>
        </is>
      </c>
      <c r="B5677" s="12" t="inlineStr">
        <is>
          <t>J</t>
        </is>
      </c>
      <c r="C5677" s="12" t="inlineStr">
        <is>
          <t>GT inlet chilling</t>
        </is>
      </c>
      <c r="D5677" s="12" t="inlineStr">
        <is>
          <t>Motor 3 of 12: control / local station</t>
        </is>
      </c>
      <c r="E5677" s="12" t="inlineStr"/>
      <c r="F5677" s="12" t="inlineStr">
        <is>
          <t>Inlet-chilling e-house / transformer</t>
        </is>
      </c>
      <c r="G5677" s="12" t="inlineStr"/>
      <c r="H5677" s="12" t="inlineStr">
        <is>
          <t>Inlet-chilling tower (12 cells): chiller heat rejection</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7" t="n">
        <v>478</v>
      </c>
      <c r="U5677" s="17" t="n">
        <v>38</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J-C-0018</t>
        </is>
      </c>
      <c r="B5678" s="12" t="inlineStr">
        <is>
          <t>J</t>
        </is>
      </c>
      <c r="C5678" s="12" t="inlineStr">
        <is>
          <t>GT inlet chilling</t>
        </is>
      </c>
      <c r="D5678" s="12" t="inlineStr">
        <is>
          <t>Motor 4 of 12: control / local station</t>
        </is>
      </c>
      <c r="E5678" s="12" t="inlineStr"/>
      <c r="F5678" s="12" t="inlineStr">
        <is>
          <t>Inlet-chilling e-house / transformer</t>
        </is>
      </c>
      <c r="G5678" s="12" t="inlineStr"/>
      <c r="H5678" s="12" t="inlineStr">
        <is>
          <t>Inlet-chilling tower (12 cells): chiller heat rejection</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7" t="n">
        <v>478</v>
      </c>
      <c r="U5678" s="17" t="n">
        <v>38</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J-C-0019</t>
        </is>
      </c>
      <c r="B5679" s="12" t="inlineStr">
        <is>
          <t>J</t>
        </is>
      </c>
      <c r="C5679" s="12" t="inlineStr">
        <is>
          <t>GT inlet chilling</t>
        </is>
      </c>
      <c r="D5679" s="12" t="inlineStr">
        <is>
          <t>Motor 5 of 12: control / local station</t>
        </is>
      </c>
      <c r="E5679" s="12" t="inlineStr"/>
      <c r="F5679" s="12" t="inlineStr">
        <is>
          <t>Inlet-chilling e-house / transformer</t>
        </is>
      </c>
      <c r="G5679" s="12" t="inlineStr"/>
      <c r="H5679" s="12" t="inlineStr">
        <is>
          <t>Inlet-chilling tower (12 cells): chiller heat rejection</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7" t="n">
        <v>478</v>
      </c>
      <c r="U5679" s="17" t="n">
        <v>38</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J-C-0020</t>
        </is>
      </c>
      <c r="B5680" s="12" t="inlineStr">
        <is>
          <t>J</t>
        </is>
      </c>
      <c r="C5680" s="12" t="inlineStr">
        <is>
          <t>GT inlet chilling</t>
        </is>
      </c>
      <c r="D5680" s="12" t="inlineStr">
        <is>
          <t>Motor 6 of 12: control / local station</t>
        </is>
      </c>
      <c r="E5680" s="12" t="inlineStr"/>
      <c r="F5680" s="12" t="inlineStr">
        <is>
          <t>Inlet-chilling e-house / transformer</t>
        </is>
      </c>
      <c r="G5680" s="12" t="inlineStr"/>
      <c r="H5680" s="12" t="inlineStr">
        <is>
          <t>Inlet-chilling tower (12 cells): chiller heat rejection</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7" t="n">
        <v>478</v>
      </c>
      <c r="U5680" s="17" t="n">
        <v>38</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J-C-0021</t>
        </is>
      </c>
      <c r="B5681" s="12" t="inlineStr">
        <is>
          <t>J</t>
        </is>
      </c>
      <c r="C5681" s="12" t="inlineStr">
        <is>
          <t>GT inlet chilling</t>
        </is>
      </c>
      <c r="D5681" s="12" t="inlineStr">
        <is>
          <t>Motor 7 of 12: control / local station</t>
        </is>
      </c>
      <c r="E5681" s="12" t="inlineStr"/>
      <c r="F5681" s="12" t="inlineStr">
        <is>
          <t>Inlet-chilling e-house / transformer</t>
        </is>
      </c>
      <c r="G5681" s="12" t="inlineStr"/>
      <c r="H5681" s="12" t="inlineStr">
        <is>
          <t>Inlet-chilling tower (12 cells): chiller heat rejection</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7" t="n">
        <v>478</v>
      </c>
      <c r="U5681" s="17" t="n">
        <v>38</v>
      </c>
      <c r="V5681" s="17">
        <f>ROUNDUP((T5681+U5681+2*'Read Me'!$B$13)*(1+'Read Me'!$B$12),-1)</f>
        <v/>
      </c>
      <c r="W5681" s="17">
        <f>V5681*N5681*O5681</f>
        <v/>
      </c>
      <c r="X5681" s="12">
        <f>IF(LEFT(I5681,2)="MV",2*N5681*IF(L5681="1/C",O5681,1),0)</f>
        <v/>
      </c>
      <c r="Y5681" s="12">
        <f>IF(OR(LEFT(K5681,4)="LVAX",LEFT(K5681,6)="MV15AX",LEFT(K5681,4)="CTAX",LEFT(K5681,2)="W|"),2*N5681*O5681,0)</f>
        <v/>
      </c>
      <c r="Z5681" s="12" t="inlineStr"/>
      <c r="AA5681" s="12">
        <f>N5681*O5681</f>
        <v/>
      </c>
    </row>
    <row r="5682">
      <c r="A5682" s="12" t="inlineStr">
        <is>
          <t>J-C-0022</t>
        </is>
      </c>
      <c r="B5682" s="12" t="inlineStr">
        <is>
          <t>J</t>
        </is>
      </c>
      <c r="C5682" s="12" t="inlineStr">
        <is>
          <t>GT inlet chilling</t>
        </is>
      </c>
      <c r="D5682" s="12" t="inlineStr">
        <is>
          <t>Motor 8 of 12: control / local station</t>
        </is>
      </c>
      <c r="E5682" s="12" t="inlineStr"/>
      <c r="F5682" s="12" t="inlineStr">
        <is>
          <t>Inlet-chilling e-house / transformer</t>
        </is>
      </c>
      <c r="G5682" s="12" t="inlineStr"/>
      <c r="H5682" s="12" t="inlineStr">
        <is>
          <t>Inlet-chilling tower (12 cells): chiller heat rejection</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7" t="n">
        <v>478</v>
      </c>
      <c r="U5682" s="17" t="n">
        <v>38</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J-C-0023</t>
        </is>
      </c>
      <c r="B5683" s="12" t="inlineStr">
        <is>
          <t>J</t>
        </is>
      </c>
      <c r="C5683" s="12" t="inlineStr">
        <is>
          <t>GT inlet chilling</t>
        </is>
      </c>
      <c r="D5683" s="12" t="inlineStr">
        <is>
          <t>Motor 9 of 12: control / local station</t>
        </is>
      </c>
      <c r="E5683" s="12" t="inlineStr"/>
      <c r="F5683" s="12" t="inlineStr">
        <is>
          <t>Inlet-chilling e-house / transformer</t>
        </is>
      </c>
      <c r="G5683" s="12" t="inlineStr"/>
      <c r="H5683" s="12" t="inlineStr">
        <is>
          <t>Inlet-chilling tower (12 cells): chiller heat rejection</t>
        </is>
      </c>
      <c r="I5683" s="12" t="inlineStr">
        <is>
          <t>Control</t>
        </is>
      </c>
      <c r="J5683" s="12" t="inlineStr">
        <is>
          <t>Control cable 600 V Type TC-ER, Cu #14 AWG, PVC jacket</t>
        </is>
      </c>
      <c r="K5683" s="12" t="inlineStr">
        <is>
          <t>CT|7/C|14</t>
        </is>
      </c>
      <c r="L5683" s="12" t="inlineStr">
        <is>
          <t>7/C</t>
        </is>
      </c>
      <c r="M5683" s="12" t="inlineStr">
        <is>
          <t>14</t>
        </is>
      </c>
      <c r="N5683" s="12" t="n">
        <v>1</v>
      </c>
      <c r="O5683" s="12" t="n">
        <v>1</v>
      </c>
      <c r="P5683" s="12" t="n"/>
      <c r="Q5683" s="12" t="n"/>
      <c r="R5683" s="12" t="n"/>
      <c r="S5683" s="12" t="inlineStr">
        <is>
          <t>Duct bank</t>
        </is>
      </c>
      <c r="T5683" s="17" t="n">
        <v>478</v>
      </c>
      <c r="U5683" s="17" t="n">
        <v>38</v>
      </c>
      <c r="V5683" s="17">
        <f>ROUNDUP((T5683+U5683+2*'Read Me'!$B$13)*(1+'Read Me'!$B$12),-1)</f>
        <v/>
      </c>
      <c r="W5683" s="17">
        <f>V5683*N5683*O5683</f>
        <v/>
      </c>
      <c r="X5683" s="12">
        <f>IF(LEFT(I5683,2)="MV",2*N5683*IF(L5683="1/C",O5683,1),0)</f>
        <v/>
      </c>
      <c r="Y5683" s="12">
        <f>IF(OR(LEFT(K5683,4)="LVAX",LEFT(K5683,6)="MV15AX",LEFT(K5683,4)="CTAX",LEFT(K5683,2)="W|"),2*N5683*O5683,0)</f>
        <v/>
      </c>
      <c r="Z5683" s="12" t="inlineStr"/>
      <c r="AA5683" s="12">
        <f>N5683*O5683</f>
        <v/>
      </c>
    </row>
    <row r="5684">
      <c r="A5684" s="12" t="inlineStr">
        <is>
          <t>J-C-0024</t>
        </is>
      </c>
      <c r="B5684" s="12" t="inlineStr">
        <is>
          <t>J</t>
        </is>
      </c>
      <c r="C5684" s="12" t="inlineStr">
        <is>
          <t>GT inlet chilling</t>
        </is>
      </c>
      <c r="D5684" s="12" t="inlineStr">
        <is>
          <t>Motor 10 of 12: control / local station</t>
        </is>
      </c>
      <c r="E5684" s="12" t="inlineStr"/>
      <c r="F5684" s="12" t="inlineStr">
        <is>
          <t>Inlet-chilling e-house / transformer</t>
        </is>
      </c>
      <c r="G5684" s="12" t="inlineStr"/>
      <c r="H5684" s="12" t="inlineStr">
        <is>
          <t>Inlet-chilling tower (12 cells): chiller heat rejection</t>
        </is>
      </c>
      <c r="I5684" s="12" t="inlineStr">
        <is>
          <t>Control</t>
        </is>
      </c>
      <c r="J5684" s="12" t="inlineStr">
        <is>
          <t>Control cable 600 V Type TC-ER, Cu #14 AWG, PVC jacket</t>
        </is>
      </c>
      <c r="K5684" s="12" t="inlineStr">
        <is>
          <t>CT|7/C|14</t>
        </is>
      </c>
      <c r="L5684" s="12" t="inlineStr">
        <is>
          <t>7/C</t>
        </is>
      </c>
      <c r="M5684" s="12" t="inlineStr">
        <is>
          <t>14</t>
        </is>
      </c>
      <c r="N5684" s="12" t="n">
        <v>1</v>
      </c>
      <c r="O5684" s="12" t="n">
        <v>1</v>
      </c>
      <c r="P5684" s="12" t="n"/>
      <c r="Q5684" s="12" t="n"/>
      <c r="R5684" s="12" t="n"/>
      <c r="S5684" s="12" t="inlineStr">
        <is>
          <t>Duct bank</t>
        </is>
      </c>
      <c r="T5684" s="17" t="n">
        <v>478</v>
      </c>
      <c r="U5684" s="17" t="n">
        <v>38</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J-C-0025</t>
        </is>
      </c>
      <c r="B5685" s="12" t="inlineStr">
        <is>
          <t>J</t>
        </is>
      </c>
      <c r="C5685" s="12" t="inlineStr">
        <is>
          <t>GT inlet chilling</t>
        </is>
      </c>
      <c r="D5685" s="12" t="inlineStr">
        <is>
          <t>Motor 11 of 12: control / local station</t>
        </is>
      </c>
      <c r="E5685" s="12" t="inlineStr"/>
      <c r="F5685" s="12" t="inlineStr">
        <is>
          <t>Inlet-chilling e-house / transformer</t>
        </is>
      </c>
      <c r="G5685" s="12" t="inlineStr"/>
      <c r="H5685" s="12" t="inlineStr">
        <is>
          <t>Inlet-chilling tower (12 cells): chiller heat rejection</t>
        </is>
      </c>
      <c r="I5685" s="12" t="inlineStr">
        <is>
          <t>Control</t>
        </is>
      </c>
      <c r="J5685" s="12" t="inlineStr">
        <is>
          <t>Control cable 600 V Type TC-ER, Cu #14 AWG, PVC jacket</t>
        </is>
      </c>
      <c r="K5685" s="12" t="inlineStr">
        <is>
          <t>CT|7/C|14</t>
        </is>
      </c>
      <c r="L5685" s="12" t="inlineStr">
        <is>
          <t>7/C</t>
        </is>
      </c>
      <c r="M5685" s="12" t="inlineStr">
        <is>
          <t>14</t>
        </is>
      </c>
      <c r="N5685" s="12" t="n">
        <v>1</v>
      </c>
      <c r="O5685" s="12" t="n">
        <v>1</v>
      </c>
      <c r="P5685" s="12" t="n"/>
      <c r="Q5685" s="12" t="n"/>
      <c r="R5685" s="12" t="n"/>
      <c r="S5685" s="12" t="inlineStr">
        <is>
          <t>Duct bank</t>
        </is>
      </c>
      <c r="T5685" s="17" t="n">
        <v>478</v>
      </c>
      <c r="U5685" s="17" t="n">
        <v>38</v>
      </c>
      <c r="V5685" s="17">
        <f>ROUNDUP((T5685+U5685+2*'Read Me'!$B$13)*(1+'Read Me'!$B$12),-1)</f>
        <v/>
      </c>
      <c r="W5685" s="17">
        <f>V5685*N5685*O5685</f>
        <v/>
      </c>
      <c r="X5685" s="12">
        <f>IF(LEFT(I5685,2)="MV",2*N5685*IF(L5685="1/C",O5685,1),0)</f>
        <v/>
      </c>
      <c r="Y5685" s="12">
        <f>IF(OR(LEFT(K5685,4)="LVAX",LEFT(K5685,6)="MV15AX",LEFT(K5685,4)="CTAX",LEFT(K5685,2)="W|"),2*N5685*O5685,0)</f>
        <v/>
      </c>
      <c r="Z5685" s="12" t="inlineStr"/>
      <c r="AA5685" s="12">
        <f>N5685*O5685</f>
        <v/>
      </c>
    </row>
    <row r="5686">
      <c r="A5686" s="12" t="inlineStr">
        <is>
          <t>J-C-0026</t>
        </is>
      </c>
      <c r="B5686" s="12" t="inlineStr">
        <is>
          <t>J</t>
        </is>
      </c>
      <c r="C5686" s="12" t="inlineStr">
        <is>
          <t>GT inlet chilling</t>
        </is>
      </c>
      <c r="D5686" s="12" t="inlineStr">
        <is>
          <t>Motor 12 of 12: control / local station</t>
        </is>
      </c>
      <c r="E5686" s="12" t="inlineStr"/>
      <c r="F5686" s="12" t="inlineStr">
        <is>
          <t>Inlet-chilling e-house / transformer</t>
        </is>
      </c>
      <c r="G5686" s="12" t="inlineStr"/>
      <c r="H5686" s="12" t="inlineStr">
        <is>
          <t>Inlet-chilling tower (12 cells): chiller heat rejection</t>
        </is>
      </c>
      <c r="I5686" s="12" t="inlineStr">
        <is>
          <t>Control</t>
        </is>
      </c>
      <c r="J5686" s="12" t="inlineStr">
        <is>
          <t>Control cable 600 V Type TC-ER, Cu #14 AWG, PVC jacket</t>
        </is>
      </c>
      <c r="K5686" s="12" t="inlineStr">
        <is>
          <t>CT|7/C|14</t>
        </is>
      </c>
      <c r="L5686" s="12" t="inlineStr">
        <is>
          <t>7/C</t>
        </is>
      </c>
      <c r="M5686" s="12" t="inlineStr">
        <is>
          <t>14</t>
        </is>
      </c>
      <c r="N5686" s="12" t="n">
        <v>1</v>
      </c>
      <c r="O5686" s="12" t="n">
        <v>1</v>
      </c>
      <c r="P5686" s="12" t="n"/>
      <c r="Q5686" s="12" t="n"/>
      <c r="R5686" s="12" t="n"/>
      <c r="S5686" s="12" t="inlineStr">
        <is>
          <t>Duct bank</t>
        </is>
      </c>
      <c r="T5686" s="17" t="n">
        <v>478</v>
      </c>
      <c r="U5686" s="17" t="n">
        <v>38</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J-I-0001</t>
        </is>
      </c>
      <c r="B5687" s="12" t="inlineStr">
        <is>
          <t>J</t>
        </is>
      </c>
      <c r="C5687" s="12" t="inlineStr">
        <is>
          <t>GT inlet chilling</t>
        </is>
      </c>
      <c r="D5687" s="12" t="inlineStr">
        <is>
          <t>Analog instrument to JB JB-CHW pumps-AI01: 12 x 1 pr (field cables)</t>
        </is>
      </c>
      <c r="E5687" s="12" t="inlineStr"/>
      <c r="F5687" s="12" t="inlineStr">
        <is>
          <t>CHW pumps</t>
        </is>
      </c>
      <c r="G5687" s="12" t="inlineStr">
        <is>
          <t>JB-CHW pumps-AI01</t>
        </is>
      </c>
      <c r="H5687" s="12" t="inlineStr">
        <is>
          <t>CHW pumps</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12</v>
      </c>
      <c r="O5687" s="12" t="n">
        <v>1</v>
      </c>
      <c r="P5687" s="12" t="n"/>
      <c r="Q5687" s="12" t="n"/>
      <c r="R5687" s="12" t="n"/>
      <c r="S5687" s="12" t="inlineStr">
        <is>
          <t>Tray / conduit</t>
        </is>
      </c>
      <c r="T5687" s="17" t="n">
        <v>92</v>
      </c>
      <c r="U5687" s="17" t="n">
        <v>10</v>
      </c>
      <c r="V5687" s="17">
        <f>ROUNDUP((T5687+U5687+2*'Read Me'!$B$13)*(1+'Read Me'!$B$12),-1)</f>
        <v/>
      </c>
      <c r="W5687" s="17">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J-I-0002</t>
        </is>
      </c>
      <c r="B5688" s="12" t="inlineStr">
        <is>
          <t>J</t>
        </is>
      </c>
      <c r="C5688" s="12" t="inlineStr">
        <is>
          <t>GT inlet chilling</t>
        </is>
      </c>
      <c r="D5688" s="12" t="inlineStr">
        <is>
          <t>Home run JB-CHW pumps-AI01 to the control / marshalling room</t>
        </is>
      </c>
      <c r="E5688" s="12" t="inlineStr"/>
      <c r="F5688" s="12" t="inlineStr">
        <is>
          <t>Inlet-chilling e-house / transformer</t>
        </is>
      </c>
      <c r="G5688" s="12" t="inlineStr">
        <is>
          <t>JB-CHW pumps-AI01</t>
        </is>
      </c>
      <c r="H5688" s="12" t="inlineStr">
        <is>
          <t>CHW pumps</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Duct bank</t>
        </is>
      </c>
      <c r="T5688" s="17" t="n">
        <v>579</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J-I-0003</t>
        </is>
      </c>
      <c r="B5689" s="12" t="inlineStr">
        <is>
          <t>J</t>
        </is>
      </c>
      <c r="C5689" s="12" t="inlineStr">
        <is>
          <t>GT inlet chilling</t>
        </is>
      </c>
      <c r="D5689" s="12" t="inlineStr">
        <is>
          <t>Discrete device to JB JB-CHW pumps-DI01: 12 x 1 pr (field cables)</t>
        </is>
      </c>
      <c r="E5689" s="12" t="inlineStr"/>
      <c r="F5689" s="12" t="inlineStr">
        <is>
          <t>CHW pumps</t>
        </is>
      </c>
      <c r="G5689" s="12" t="inlineStr">
        <is>
          <t>JB-CHW pumps-DI01</t>
        </is>
      </c>
      <c r="H5689" s="12" t="inlineStr">
        <is>
          <t>CHW pumps</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12</v>
      </c>
      <c r="O5689" s="12" t="n">
        <v>1</v>
      </c>
      <c r="P5689" s="12" t="n"/>
      <c r="Q5689" s="12" t="n"/>
      <c r="R5689" s="12" t="n"/>
      <c r="S5689" s="12" t="inlineStr">
        <is>
          <t>Tray / conduit</t>
        </is>
      </c>
      <c r="T5689" s="17" t="n">
        <v>92</v>
      </c>
      <c r="U5689" s="17" t="n">
        <v>10</v>
      </c>
      <c r="V5689" s="17">
        <f>ROUNDUP((T5689+U5689+2*'Read Me'!$B$13)*(1+'Read Me'!$B$12),-1)</f>
        <v/>
      </c>
      <c r="W5689" s="17">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J-I-0004</t>
        </is>
      </c>
      <c r="B5690" s="12" t="inlineStr">
        <is>
          <t>J</t>
        </is>
      </c>
      <c r="C5690" s="12" t="inlineStr">
        <is>
          <t>GT inlet chilling</t>
        </is>
      </c>
      <c r="D5690" s="12" t="inlineStr">
        <is>
          <t>Home run JB-CHW pumps-DI01 to the control / marshalling room</t>
        </is>
      </c>
      <c r="E5690" s="12" t="inlineStr"/>
      <c r="F5690" s="12" t="inlineStr">
        <is>
          <t>Inlet-chilling e-house / transformer</t>
        </is>
      </c>
      <c r="G5690" s="12" t="inlineStr">
        <is>
          <t>JB-CHW pumps-DI01</t>
        </is>
      </c>
      <c r="H5690" s="12" t="inlineStr">
        <is>
          <t>CHW pumps</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Duct bank</t>
        </is>
      </c>
      <c r="T5690" s="17" t="n">
        <v>579</v>
      </c>
      <c r="U5690" s="17" t="n">
        <v>32</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J-I-0005</t>
        </is>
      </c>
      <c r="B5691" s="12" t="inlineStr">
        <is>
          <t>J</t>
        </is>
      </c>
      <c r="C5691" s="12" t="inlineStr">
        <is>
          <t>GT inlet chilling</t>
        </is>
      </c>
      <c r="D5691" s="12" t="inlineStr">
        <is>
          <t>Analog instrument to JB JB-CONDITIONAL: TES c-AI01: 4 x 1 pr (field cables)</t>
        </is>
      </c>
      <c r="E5691" s="12" t="inlineStr"/>
      <c r="F5691" s="12" t="inlineStr">
        <is>
          <t>CONDITIONAL: TES chilled-water tank</t>
        </is>
      </c>
      <c r="G5691" s="12" t="inlineStr">
        <is>
          <t>JB-CONDITIONAL: TES c-AI01</t>
        </is>
      </c>
      <c r="H5691" s="12" t="inlineStr">
        <is>
          <t>CONDITIONAL: TES chilled-water tank</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4</v>
      </c>
      <c r="O5691" s="12" t="n">
        <v>1</v>
      </c>
      <c r="P5691" s="12" t="n"/>
      <c r="Q5691" s="12" t="n"/>
      <c r="R5691" s="12" t="n"/>
      <c r="S5691" s="12" t="inlineStr">
        <is>
          <t>Tray / conduit</t>
        </is>
      </c>
      <c r="T5691" s="17" t="n">
        <v>91</v>
      </c>
      <c r="U5691" s="17" t="n">
        <v>10</v>
      </c>
      <c r="V5691" s="17">
        <f>ROUNDUP((T5691+U5691+2*'Read Me'!$B$13)*(1+'Read Me'!$B$12),-1)</f>
        <v/>
      </c>
      <c r="W5691" s="17">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J-I-0006</t>
        </is>
      </c>
      <c r="B5692" s="12" t="inlineStr">
        <is>
          <t>J</t>
        </is>
      </c>
      <c r="C5692" s="12" t="inlineStr">
        <is>
          <t>GT inlet chilling</t>
        </is>
      </c>
      <c r="D5692" s="12" t="inlineStr">
        <is>
          <t>Home run JB-CONDITIONAL: TES c-AI01 to the control / marshalling room</t>
        </is>
      </c>
      <c r="E5692" s="12" t="inlineStr"/>
      <c r="F5692" s="12" t="inlineStr">
        <is>
          <t>Inlet-chilling e-house / transformer</t>
        </is>
      </c>
      <c r="G5692" s="12" t="inlineStr">
        <is>
          <t>JB-CONDITIONAL: TES c-AI01</t>
        </is>
      </c>
      <c r="H5692" s="12" t="inlineStr">
        <is>
          <t>CONDITIONAL: TES chilled-water tank</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Duct bank</t>
        </is>
      </c>
      <c r="T5692" s="17" t="n">
        <v>271</v>
      </c>
      <c r="U5692" s="17" t="n">
        <v>217</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J-I-0007</t>
        </is>
      </c>
      <c r="B5693" s="12" t="inlineStr">
        <is>
          <t>J</t>
        </is>
      </c>
      <c r="C5693" s="12" t="inlineStr">
        <is>
          <t>GT inlet chilling</t>
        </is>
      </c>
      <c r="D5693" s="12" t="inlineStr">
        <is>
          <t>Discrete device to JB JB-CONDITIONAL: TES c-DI01: 4 x 1 pr (field cables)</t>
        </is>
      </c>
      <c r="E5693" s="12" t="inlineStr"/>
      <c r="F5693" s="12" t="inlineStr">
        <is>
          <t>CONDITIONAL: TES chilled-water tank</t>
        </is>
      </c>
      <c r="G5693" s="12" t="inlineStr">
        <is>
          <t>JB-CONDITIONAL: TES c-DI01</t>
        </is>
      </c>
      <c r="H5693" s="12" t="inlineStr">
        <is>
          <t>CONDITIONAL: TES chilled-water tank</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4</v>
      </c>
      <c r="O5693" s="12" t="n">
        <v>1</v>
      </c>
      <c r="P5693" s="12" t="n"/>
      <c r="Q5693" s="12" t="n"/>
      <c r="R5693" s="12" t="n"/>
      <c r="S5693" s="12" t="inlineStr">
        <is>
          <t>Tray / conduit</t>
        </is>
      </c>
      <c r="T5693" s="17" t="n">
        <v>91</v>
      </c>
      <c r="U5693" s="17" t="n">
        <v>10</v>
      </c>
      <c r="V5693" s="17">
        <f>ROUNDUP((T5693+U5693+2*'Read Me'!$B$13)*(1+'Read Me'!$B$12),-1)</f>
        <v/>
      </c>
      <c r="W5693" s="17">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J-I-0008</t>
        </is>
      </c>
      <c r="B5694" s="12" t="inlineStr">
        <is>
          <t>J</t>
        </is>
      </c>
      <c r="C5694" s="12" t="inlineStr">
        <is>
          <t>GT inlet chilling</t>
        </is>
      </c>
      <c r="D5694" s="12" t="inlineStr">
        <is>
          <t>Home run JB-CONDITIONAL: TES c-DI01 to the control / marshalling room</t>
        </is>
      </c>
      <c r="E5694" s="12" t="inlineStr"/>
      <c r="F5694" s="12" t="inlineStr">
        <is>
          <t>Inlet-chilling e-house / transformer</t>
        </is>
      </c>
      <c r="G5694" s="12" t="inlineStr">
        <is>
          <t>JB-CONDITIONAL: TES c-DI01</t>
        </is>
      </c>
      <c r="H5694" s="12" t="inlineStr">
        <is>
          <t>CONDITIONAL: TES chilled-water tank</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Duct bank</t>
        </is>
      </c>
      <c r="T5694" s="17" t="n">
        <v>271</v>
      </c>
      <c r="U5694" s="17" t="n">
        <v>217</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J-I-0009</t>
        </is>
      </c>
      <c r="B5695" s="12" t="inlineStr">
        <is>
          <t>J</t>
        </is>
      </c>
      <c r="C5695" s="12" t="inlineStr">
        <is>
          <t>GT inlet chilling</t>
        </is>
      </c>
      <c r="D5695" s="12" t="inlineStr">
        <is>
          <t>Analog instrument to JB JB-CW pumps (inlet ch-AI01: 20 x 1 pr (field cables)</t>
        </is>
      </c>
      <c r="E5695" s="12" t="inlineStr"/>
      <c r="F5695" s="12" t="inlineStr">
        <is>
          <t>CW pumps (inlet chilling)</t>
        </is>
      </c>
      <c r="G5695" s="12" t="inlineStr">
        <is>
          <t>JB-CW pumps (inlet ch-AI01</t>
        </is>
      </c>
      <c r="H5695" s="12" t="inlineStr">
        <is>
          <t>CW pumps (inlet chilling)</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7" t="n">
        <v>92</v>
      </c>
      <c r="U5695" s="17" t="n">
        <v>10</v>
      </c>
      <c r="V5695" s="17">
        <f>ROUNDUP((T5695+U5695+2*'Read Me'!$B$13)*(1+'Read Me'!$B$12),-1)</f>
        <v/>
      </c>
      <c r="W5695" s="17">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J-I-0010</t>
        </is>
      </c>
      <c r="B5696" s="12" t="inlineStr">
        <is>
          <t>J</t>
        </is>
      </c>
      <c r="C5696" s="12" t="inlineStr">
        <is>
          <t>GT inlet chilling</t>
        </is>
      </c>
      <c r="D5696" s="12" t="inlineStr">
        <is>
          <t>Home run JB-CW pumps (inlet ch-AI01 to the control / marshalling room</t>
        </is>
      </c>
      <c r="E5696" s="12" t="inlineStr"/>
      <c r="F5696" s="12" t="inlineStr">
        <is>
          <t>Inlet-chilling e-house / transformer</t>
        </is>
      </c>
      <c r="G5696" s="12" t="inlineStr">
        <is>
          <t>JB-CW pumps (inlet ch-AI01</t>
        </is>
      </c>
      <c r="H5696" s="12" t="inlineStr">
        <is>
          <t>CW pumps (inlet chilling)</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Tray</t>
        </is>
      </c>
      <c r="T5696" s="17" t="n">
        <v>0</v>
      </c>
      <c r="U5696" s="17" t="n">
        <v>70</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J-I-0011</t>
        </is>
      </c>
      <c r="B5697" s="12" t="inlineStr">
        <is>
          <t>J</t>
        </is>
      </c>
      <c r="C5697" s="12" t="inlineStr">
        <is>
          <t>GT inlet chilling</t>
        </is>
      </c>
      <c r="D5697" s="12" t="inlineStr">
        <is>
          <t>Analog instrument to JB JB-CW pumps (inlet ch-AI02: 4 x 1 pr (field cables)</t>
        </is>
      </c>
      <c r="E5697" s="12" t="inlineStr"/>
      <c r="F5697" s="12" t="inlineStr">
        <is>
          <t>CW pumps (inlet chilling)</t>
        </is>
      </c>
      <c r="G5697" s="12" t="inlineStr">
        <is>
          <t>JB-CW pumps (inlet ch-AI02</t>
        </is>
      </c>
      <c r="H5697" s="12" t="inlineStr">
        <is>
          <t>CW pumps (inlet chilling)</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4</v>
      </c>
      <c r="O5697" s="12" t="n">
        <v>1</v>
      </c>
      <c r="P5697" s="12" t="n"/>
      <c r="Q5697" s="12" t="n"/>
      <c r="R5697" s="12" t="n"/>
      <c r="S5697" s="12" t="inlineStr">
        <is>
          <t>Tray / conduit</t>
        </is>
      </c>
      <c r="T5697" s="17" t="n">
        <v>92</v>
      </c>
      <c r="U5697" s="17" t="n">
        <v>10</v>
      </c>
      <c r="V5697" s="17">
        <f>ROUNDUP((T5697+U5697+2*'Read Me'!$B$13)*(1+'Read Me'!$B$12),-1)</f>
        <v/>
      </c>
      <c r="W5697" s="17">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J-I-0012</t>
        </is>
      </c>
      <c r="B5698" s="12" t="inlineStr">
        <is>
          <t>J</t>
        </is>
      </c>
      <c r="C5698" s="12" t="inlineStr">
        <is>
          <t>GT inlet chilling</t>
        </is>
      </c>
      <c r="D5698" s="12" t="inlineStr">
        <is>
          <t>Home run JB-CW pumps (inlet ch-AI02 to the control / marshalling room</t>
        </is>
      </c>
      <c r="E5698" s="12" t="inlineStr"/>
      <c r="F5698" s="12" t="inlineStr">
        <is>
          <t>Inlet-chilling e-house / transformer</t>
        </is>
      </c>
      <c r="G5698" s="12" t="inlineStr">
        <is>
          <t>JB-CW pumps (inlet ch-AI02</t>
        </is>
      </c>
      <c r="H5698" s="12" t="inlineStr">
        <is>
          <t>CW pumps (inlet chilling)</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Tray</t>
        </is>
      </c>
      <c r="T5698" s="17" t="n">
        <v>0</v>
      </c>
      <c r="U5698" s="17" t="n">
        <v>70</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J-I-0013</t>
        </is>
      </c>
      <c r="B5699" s="12" t="inlineStr">
        <is>
          <t>J</t>
        </is>
      </c>
      <c r="C5699" s="12" t="inlineStr">
        <is>
          <t>GT inlet chilling</t>
        </is>
      </c>
      <c r="D5699" s="12" t="inlineStr">
        <is>
          <t>Discrete device to JB JB-CW pumps (inlet ch-DI01: 20 x 1 pr (field cables)</t>
        </is>
      </c>
      <c r="E5699" s="12" t="inlineStr"/>
      <c r="F5699" s="12" t="inlineStr">
        <is>
          <t>CW pumps (inlet chilling)</t>
        </is>
      </c>
      <c r="G5699" s="12" t="inlineStr">
        <is>
          <t>JB-CW pumps (inlet ch-DI01</t>
        </is>
      </c>
      <c r="H5699" s="12" t="inlineStr">
        <is>
          <t>CW pumps (inlet chilling)</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7" t="n">
        <v>92</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J-I-0014</t>
        </is>
      </c>
      <c r="B5700" s="12" t="inlineStr">
        <is>
          <t>J</t>
        </is>
      </c>
      <c r="C5700" s="12" t="inlineStr">
        <is>
          <t>GT inlet chilling</t>
        </is>
      </c>
      <c r="D5700" s="12" t="inlineStr">
        <is>
          <t>Home run JB-CW pumps (inlet ch-DI01 to the control / marshalling room</t>
        </is>
      </c>
      <c r="E5700" s="12" t="inlineStr"/>
      <c r="F5700" s="12" t="inlineStr">
        <is>
          <t>Inlet-chilling e-house / transformer</t>
        </is>
      </c>
      <c r="G5700" s="12" t="inlineStr">
        <is>
          <t>JB-CW pumps (inlet ch-DI01</t>
        </is>
      </c>
      <c r="H5700" s="12" t="inlineStr">
        <is>
          <t>CW pumps (inlet chilling)</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7" t="n">
        <v>0</v>
      </c>
      <c r="U5700" s="17" t="n">
        <v>70</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J-I-0015</t>
        </is>
      </c>
      <c r="B5701" s="12" t="inlineStr">
        <is>
          <t>J</t>
        </is>
      </c>
      <c r="C5701" s="12" t="inlineStr">
        <is>
          <t>GT inlet chilling</t>
        </is>
      </c>
      <c r="D5701" s="12" t="inlineStr">
        <is>
          <t>Discrete device to JB JB-CW pumps (inlet ch-DI02: 4 x 1 pr (field cables)</t>
        </is>
      </c>
      <c r="E5701" s="12" t="inlineStr"/>
      <c r="F5701" s="12" t="inlineStr">
        <is>
          <t>CW pumps (inlet chilling)</t>
        </is>
      </c>
      <c r="G5701" s="12" t="inlineStr">
        <is>
          <t>JB-CW pumps (inlet ch-DI02</t>
        </is>
      </c>
      <c r="H5701" s="12" t="inlineStr">
        <is>
          <t>CW pumps (inlet chilling)</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4</v>
      </c>
      <c r="O5701" s="12" t="n">
        <v>1</v>
      </c>
      <c r="P5701" s="12" t="n"/>
      <c r="Q5701" s="12" t="n"/>
      <c r="R5701" s="12" t="n"/>
      <c r="S5701" s="12" t="inlineStr">
        <is>
          <t>Tray / conduit</t>
        </is>
      </c>
      <c r="T5701" s="17" t="n">
        <v>92</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J-I-0016</t>
        </is>
      </c>
      <c r="B5702" s="12" t="inlineStr">
        <is>
          <t>J</t>
        </is>
      </c>
      <c r="C5702" s="12" t="inlineStr">
        <is>
          <t>GT inlet chilling</t>
        </is>
      </c>
      <c r="D5702" s="12" t="inlineStr">
        <is>
          <t>Home run JB-CW pumps (inlet ch-DI02 to the control / marshalling room</t>
        </is>
      </c>
      <c r="E5702" s="12" t="inlineStr"/>
      <c r="F5702" s="12" t="inlineStr">
        <is>
          <t>Inlet-chilling e-house / transformer</t>
        </is>
      </c>
      <c r="G5702" s="12" t="inlineStr">
        <is>
          <t>JB-CW pumps (inlet ch-DI02</t>
        </is>
      </c>
      <c r="H5702" s="12" t="inlineStr">
        <is>
          <t>CW pumps (inlet chilling)</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7" t="n">
        <v>0</v>
      </c>
      <c r="U5702" s="17" t="n">
        <v>70</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J-I-0017</t>
        </is>
      </c>
      <c r="B5703" s="12" t="inlineStr">
        <is>
          <t>J</t>
        </is>
      </c>
      <c r="C5703" s="12" t="inlineStr">
        <is>
          <t>GT inlet chilling</t>
        </is>
      </c>
      <c r="D5703" s="12" t="inlineStr">
        <is>
          <t>Analog instrument to JB JB-Chillers x6 (water-AI01: 20 x 1 pr (field cables)</t>
        </is>
      </c>
      <c r="E5703" s="12" t="inlineStr"/>
      <c r="F5703" s="12" t="inlineStr">
        <is>
          <t>Chillers x6 (water-cooled)</t>
        </is>
      </c>
      <c r="G5703" s="12" t="inlineStr">
        <is>
          <t>JB-Chillers x6 (water-AI01</t>
        </is>
      </c>
      <c r="H5703" s="12" t="inlineStr">
        <is>
          <t>Chillers x6 (water-cooled)</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7" t="n">
        <v>190</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J-I-0018</t>
        </is>
      </c>
      <c r="B5704" s="12" t="inlineStr">
        <is>
          <t>J</t>
        </is>
      </c>
      <c r="C5704" s="12" t="inlineStr">
        <is>
          <t>GT inlet chilling</t>
        </is>
      </c>
      <c r="D5704" s="12" t="inlineStr">
        <is>
          <t>Home run JB-Chillers x6 (water-AI01 to the control / marshalling room</t>
        </is>
      </c>
      <c r="E5704" s="12" t="inlineStr"/>
      <c r="F5704" s="12" t="inlineStr">
        <is>
          <t>Inlet-chilling e-house / transformer</t>
        </is>
      </c>
      <c r="G5704" s="12" t="inlineStr">
        <is>
          <t>JB-Chillers x6 (water-AI01</t>
        </is>
      </c>
      <c r="H5704" s="12" t="inlineStr">
        <is>
          <t>Chillers x6 (water-cooled)</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Duct bank</t>
        </is>
      </c>
      <c r="T5704" s="17" t="n">
        <v>10</v>
      </c>
      <c r="U5704" s="17" t="n">
        <v>32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J-I-0019</t>
        </is>
      </c>
      <c r="B5705" s="12" t="inlineStr">
        <is>
          <t>J</t>
        </is>
      </c>
      <c r="C5705" s="12" t="inlineStr">
        <is>
          <t>GT inlet chilling</t>
        </is>
      </c>
      <c r="D5705" s="12" t="inlineStr">
        <is>
          <t>Analog instrument to JB JB-Chillers x6 (water-AI02: 20 x 1 pr (field cables)</t>
        </is>
      </c>
      <c r="E5705" s="12" t="inlineStr"/>
      <c r="F5705" s="12" t="inlineStr">
        <is>
          <t>Chillers x6 (water-cooled)</t>
        </is>
      </c>
      <c r="G5705" s="12" t="inlineStr">
        <is>
          <t>JB-Chillers x6 (water-AI02</t>
        </is>
      </c>
      <c r="H5705" s="12" t="inlineStr">
        <is>
          <t>Chillers x6 (water-cooled)</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7" t="n">
        <v>190</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J-I-0020</t>
        </is>
      </c>
      <c r="B5706" s="12" t="inlineStr">
        <is>
          <t>J</t>
        </is>
      </c>
      <c r="C5706" s="12" t="inlineStr">
        <is>
          <t>GT inlet chilling</t>
        </is>
      </c>
      <c r="D5706" s="12" t="inlineStr">
        <is>
          <t>Home run JB-Chillers x6 (water-AI02 to the control / marshalling room</t>
        </is>
      </c>
      <c r="E5706" s="12" t="inlineStr"/>
      <c r="F5706" s="12" t="inlineStr">
        <is>
          <t>Inlet-chilling e-house / transformer</t>
        </is>
      </c>
      <c r="G5706" s="12" t="inlineStr">
        <is>
          <t>JB-Chillers x6 (water-AI02</t>
        </is>
      </c>
      <c r="H5706" s="12" t="inlineStr">
        <is>
          <t>Chillers x6 (water-cooled)</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Duct bank</t>
        </is>
      </c>
      <c r="T5706" s="17" t="n">
        <v>10</v>
      </c>
      <c r="U5706" s="17" t="n">
        <v>32</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J-I-0021</t>
        </is>
      </c>
      <c r="B5707" s="12" t="inlineStr">
        <is>
          <t>J</t>
        </is>
      </c>
      <c r="C5707" s="12" t="inlineStr">
        <is>
          <t>GT inlet chilling</t>
        </is>
      </c>
      <c r="D5707" s="12" t="inlineStr">
        <is>
          <t>Analog instrument to JB JB-Chillers x6 (water-AI03: 20 x 1 pr (field cables)</t>
        </is>
      </c>
      <c r="E5707" s="12" t="inlineStr"/>
      <c r="F5707" s="12" t="inlineStr">
        <is>
          <t>Chillers x6 (water-cooled)</t>
        </is>
      </c>
      <c r="G5707" s="12" t="inlineStr">
        <is>
          <t>JB-Chillers x6 (water-AI03</t>
        </is>
      </c>
      <c r="H5707" s="12" t="inlineStr">
        <is>
          <t>Chillers x6 (water-cooled)</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7" t="n">
        <v>190</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J-I-0022</t>
        </is>
      </c>
      <c r="B5708" s="12" t="inlineStr">
        <is>
          <t>J</t>
        </is>
      </c>
      <c r="C5708" s="12" t="inlineStr">
        <is>
          <t>GT inlet chilling</t>
        </is>
      </c>
      <c r="D5708" s="12" t="inlineStr">
        <is>
          <t>Home run JB-Chillers x6 (water-AI03 to the control / marshalling room</t>
        </is>
      </c>
      <c r="E5708" s="12" t="inlineStr"/>
      <c r="F5708" s="12" t="inlineStr">
        <is>
          <t>Inlet-chilling e-house / transformer</t>
        </is>
      </c>
      <c r="G5708" s="12" t="inlineStr">
        <is>
          <t>JB-Chillers x6 (water-AI03</t>
        </is>
      </c>
      <c r="H5708" s="12" t="inlineStr">
        <is>
          <t>Chillers x6 (water-cooled)</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Duct bank</t>
        </is>
      </c>
      <c r="T5708" s="17" t="n">
        <v>10</v>
      </c>
      <c r="U5708" s="17" t="n">
        <v>32</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J-I-0023</t>
        </is>
      </c>
      <c r="B5709" s="12" t="inlineStr">
        <is>
          <t>J</t>
        </is>
      </c>
      <c r="C5709" s="12" t="inlineStr">
        <is>
          <t>GT inlet chilling</t>
        </is>
      </c>
      <c r="D5709" s="12" t="inlineStr">
        <is>
          <t>Analog instrument to JB JB-Chillers x6 (water-AI04: 20 x 1 pr (field cables)</t>
        </is>
      </c>
      <c r="E5709" s="12" t="inlineStr"/>
      <c r="F5709" s="12" t="inlineStr">
        <is>
          <t>Chillers x6 (water-cooled)</t>
        </is>
      </c>
      <c r="G5709" s="12" t="inlineStr">
        <is>
          <t>JB-Chillers x6 (water-AI04</t>
        </is>
      </c>
      <c r="H5709" s="12" t="inlineStr">
        <is>
          <t>Chillers x6 (water-cooled)</t>
        </is>
      </c>
      <c r="I5709" s="12" t="inlineStr">
        <is>
          <t>Instrumentation</t>
        </is>
      </c>
      <c r="J5709" s="12" t="inlineStr">
        <is>
          <t>Instrumentation PLTC / TC-ER 300 V, #18 twisted shielded pairs, overall shield</t>
        </is>
      </c>
      <c r="K5709" s="12" t="inlineStr">
        <is>
          <t>PLTC|1 pr|16</t>
        </is>
      </c>
      <c r="L5709" s="12" t="inlineStr">
        <is>
          <t>1 pr</t>
        </is>
      </c>
      <c r="M5709" s="12" t="inlineStr">
        <is>
          <t>16</t>
        </is>
      </c>
      <c r="N5709" s="12" t="n">
        <v>20</v>
      </c>
      <c r="O5709" s="12" t="n">
        <v>1</v>
      </c>
      <c r="P5709" s="12" t="n"/>
      <c r="Q5709" s="12" t="n"/>
      <c r="R5709" s="12" t="n"/>
      <c r="S5709" s="12" t="inlineStr">
        <is>
          <t>Tray / conduit</t>
        </is>
      </c>
      <c r="T5709" s="17" t="n">
        <v>190</v>
      </c>
      <c r="U5709" s="17" t="n">
        <v>10</v>
      </c>
      <c r="V5709" s="17">
        <f>ROUNDUP((T5709+U5709+2*'Read Me'!$B$13)*(1+'Read Me'!$B$12),-1)</f>
        <v/>
      </c>
      <c r="W5709" s="17">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J-I-0024</t>
        </is>
      </c>
      <c r="B5710" s="12" t="inlineStr">
        <is>
          <t>J</t>
        </is>
      </c>
      <c r="C5710" s="12" t="inlineStr">
        <is>
          <t>GT inlet chilling</t>
        </is>
      </c>
      <c r="D5710" s="12" t="inlineStr">
        <is>
          <t>Home run JB-Chillers x6 (water-AI04 to the control / marshalling room</t>
        </is>
      </c>
      <c r="E5710" s="12" t="inlineStr"/>
      <c r="F5710" s="12" t="inlineStr">
        <is>
          <t>Inlet-chilling e-house / transformer</t>
        </is>
      </c>
      <c r="G5710" s="12" t="inlineStr">
        <is>
          <t>JB-Chillers x6 (water-AI04</t>
        </is>
      </c>
      <c r="H5710" s="12" t="inlineStr">
        <is>
          <t>Chillers x6 (water-cooled)</t>
        </is>
      </c>
      <c r="I5710" s="12" t="inlineStr">
        <is>
          <t>Instrumentation</t>
        </is>
      </c>
      <c r="J5710" s="12" t="inlineStr">
        <is>
          <t>Instrumentation PLTC / TC-ER 300 V, #18 twisted shielded pairs, overall shield</t>
        </is>
      </c>
      <c r="K5710" s="12" t="inlineStr">
        <is>
          <t>PLTC|24 pr|18</t>
        </is>
      </c>
      <c r="L5710" s="12" t="inlineStr">
        <is>
          <t>24 pr</t>
        </is>
      </c>
      <c r="M5710" s="12" t="inlineStr">
        <is>
          <t>18</t>
        </is>
      </c>
      <c r="N5710" s="12" t="n">
        <v>1</v>
      </c>
      <c r="O5710" s="12" t="n">
        <v>1</v>
      </c>
      <c r="P5710" s="12" t="n"/>
      <c r="Q5710" s="12" t="n"/>
      <c r="R5710" s="12" t="n"/>
      <c r="S5710" s="12" t="inlineStr">
        <is>
          <t>Duct bank</t>
        </is>
      </c>
      <c r="T5710" s="17" t="n">
        <v>10</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J-I-0025</t>
        </is>
      </c>
      <c r="B5711" s="12" t="inlineStr">
        <is>
          <t>J</t>
        </is>
      </c>
      <c r="C5711" s="12" t="inlineStr">
        <is>
          <t>GT inlet chilling</t>
        </is>
      </c>
      <c r="D5711" s="12" t="inlineStr">
        <is>
          <t>Analog instrument to JB JB-Chillers x6 (water-AI05: 20 x 1 pr (field cables)</t>
        </is>
      </c>
      <c r="E5711" s="12" t="inlineStr"/>
      <c r="F5711" s="12" t="inlineStr">
        <is>
          <t>Chillers x6 (water-cooled)</t>
        </is>
      </c>
      <c r="G5711" s="12" t="inlineStr">
        <is>
          <t>JB-Chillers x6 (water-AI05</t>
        </is>
      </c>
      <c r="H5711" s="12" t="inlineStr">
        <is>
          <t>Chillers x6 (water-cooled)</t>
        </is>
      </c>
      <c r="I5711" s="12" t="inlineStr">
        <is>
          <t>Instrumentation</t>
        </is>
      </c>
      <c r="J5711" s="12" t="inlineStr">
        <is>
          <t>Instrumentation PLTC / TC-ER 300 V, #18 twisted shielded pairs, overall shield</t>
        </is>
      </c>
      <c r="K5711" s="12" t="inlineStr">
        <is>
          <t>PLTC|1 pr|16</t>
        </is>
      </c>
      <c r="L5711" s="12" t="inlineStr">
        <is>
          <t>1 pr</t>
        </is>
      </c>
      <c r="M5711" s="12" t="inlineStr">
        <is>
          <t>16</t>
        </is>
      </c>
      <c r="N5711" s="12" t="n">
        <v>20</v>
      </c>
      <c r="O5711" s="12" t="n">
        <v>1</v>
      </c>
      <c r="P5711" s="12" t="n"/>
      <c r="Q5711" s="12" t="n"/>
      <c r="R5711" s="12" t="n"/>
      <c r="S5711" s="12" t="inlineStr">
        <is>
          <t>Tray / conduit</t>
        </is>
      </c>
      <c r="T5711" s="17" t="n">
        <v>190</v>
      </c>
      <c r="U5711" s="17" t="n">
        <v>10</v>
      </c>
      <c r="V5711" s="17">
        <f>ROUNDUP((T5711+U5711+2*'Read Me'!$B$13)*(1+'Read Me'!$B$12),-1)</f>
        <v/>
      </c>
      <c r="W5711" s="17">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J-I-0026</t>
        </is>
      </c>
      <c r="B5712" s="12" t="inlineStr">
        <is>
          <t>J</t>
        </is>
      </c>
      <c r="C5712" s="12" t="inlineStr">
        <is>
          <t>GT inlet chilling</t>
        </is>
      </c>
      <c r="D5712" s="12" t="inlineStr">
        <is>
          <t>Home run JB-Chillers x6 (water-AI05 to the control / marshalling room</t>
        </is>
      </c>
      <c r="E5712" s="12" t="inlineStr"/>
      <c r="F5712" s="12" t="inlineStr">
        <is>
          <t>Inlet-chilling e-house / transformer</t>
        </is>
      </c>
      <c r="G5712" s="12" t="inlineStr">
        <is>
          <t>JB-Chillers x6 (water-AI05</t>
        </is>
      </c>
      <c r="H5712" s="12" t="inlineStr">
        <is>
          <t>Chillers x6 (water-cooled)</t>
        </is>
      </c>
      <c r="I5712" s="12" t="inlineStr">
        <is>
          <t>Instrumentation</t>
        </is>
      </c>
      <c r="J5712" s="12" t="inlineStr">
        <is>
          <t>Instrumentation PLTC / TC-ER 300 V, #18 twisted shielded pairs, overall shield</t>
        </is>
      </c>
      <c r="K5712" s="12" t="inlineStr">
        <is>
          <t>PLTC|24 pr|18</t>
        </is>
      </c>
      <c r="L5712" s="12" t="inlineStr">
        <is>
          <t>24 pr</t>
        </is>
      </c>
      <c r="M5712" s="12" t="inlineStr">
        <is>
          <t>18</t>
        </is>
      </c>
      <c r="N5712" s="12" t="n">
        <v>1</v>
      </c>
      <c r="O5712" s="12" t="n">
        <v>1</v>
      </c>
      <c r="P5712" s="12" t="n"/>
      <c r="Q5712" s="12" t="n"/>
      <c r="R5712" s="12" t="n"/>
      <c r="S5712" s="12" t="inlineStr">
        <is>
          <t>Duct bank</t>
        </is>
      </c>
      <c r="T5712" s="17" t="n">
        <v>10</v>
      </c>
      <c r="U5712" s="17" t="n">
        <v>32</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J-I-0027</t>
        </is>
      </c>
      <c r="B5713" s="12" t="inlineStr">
        <is>
          <t>J</t>
        </is>
      </c>
      <c r="C5713" s="12" t="inlineStr">
        <is>
          <t>GT inlet chilling</t>
        </is>
      </c>
      <c r="D5713" s="12" t="inlineStr">
        <is>
          <t>Analog instrument to JB JB-Chillers x6 (water-AI06: 20 x 1 pr (field cables)</t>
        </is>
      </c>
      <c r="E5713" s="12" t="inlineStr"/>
      <c r="F5713" s="12" t="inlineStr">
        <is>
          <t>Chillers x6 (water-cooled)</t>
        </is>
      </c>
      <c r="G5713" s="12" t="inlineStr">
        <is>
          <t>JB-Chillers x6 (water-AI06</t>
        </is>
      </c>
      <c r="H5713" s="12" t="inlineStr">
        <is>
          <t>Chillers x6 (water-cooled)</t>
        </is>
      </c>
      <c r="I5713" s="12" t="inlineStr">
        <is>
          <t>Instrumentation</t>
        </is>
      </c>
      <c r="J5713" s="12" t="inlineStr">
        <is>
          <t>Instrumentation PLTC / TC-ER 300 V, #18 twisted shielded pairs, overall shield</t>
        </is>
      </c>
      <c r="K5713" s="12" t="inlineStr">
        <is>
          <t>PLTC|1 pr|16</t>
        </is>
      </c>
      <c r="L5713" s="12" t="inlineStr">
        <is>
          <t>1 pr</t>
        </is>
      </c>
      <c r="M5713" s="12" t="inlineStr">
        <is>
          <t>16</t>
        </is>
      </c>
      <c r="N5713" s="12" t="n">
        <v>20</v>
      </c>
      <c r="O5713" s="12" t="n">
        <v>1</v>
      </c>
      <c r="P5713" s="12" t="n"/>
      <c r="Q5713" s="12" t="n"/>
      <c r="R5713" s="12" t="n"/>
      <c r="S5713" s="12" t="inlineStr">
        <is>
          <t>Tray / conduit</t>
        </is>
      </c>
      <c r="T5713" s="17" t="n">
        <v>190</v>
      </c>
      <c r="U5713" s="17" t="n">
        <v>10</v>
      </c>
      <c r="V5713" s="17">
        <f>ROUNDUP((T5713+U5713+2*'Read Me'!$B$13)*(1+'Read Me'!$B$12),-1)</f>
        <v/>
      </c>
      <c r="W5713" s="17">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J-I-0028</t>
        </is>
      </c>
      <c r="B5714" s="12" t="inlineStr">
        <is>
          <t>J</t>
        </is>
      </c>
      <c r="C5714" s="12" t="inlineStr">
        <is>
          <t>GT inlet chilling</t>
        </is>
      </c>
      <c r="D5714" s="12" t="inlineStr">
        <is>
          <t>Home run JB-Chillers x6 (water-AI06 to the control / marshalling room</t>
        </is>
      </c>
      <c r="E5714" s="12" t="inlineStr"/>
      <c r="F5714" s="12" t="inlineStr">
        <is>
          <t>Inlet-chilling e-house / transformer</t>
        </is>
      </c>
      <c r="G5714" s="12" t="inlineStr">
        <is>
          <t>JB-Chillers x6 (water-AI06</t>
        </is>
      </c>
      <c r="H5714" s="12" t="inlineStr">
        <is>
          <t>Chillers x6 (water-cooled)</t>
        </is>
      </c>
      <c r="I5714" s="12" t="inlineStr">
        <is>
          <t>Instrumentation</t>
        </is>
      </c>
      <c r="J5714" s="12" t="inlineStr">
        <is>
          <t>Instrumentation PLTC / TC-ER 300 V, #18 twisted shielded pairs, overall shield</t>
        </is>
      </c>
      <c r="K5714" s="12" t="inlineStr">
        <is>
          <t>PLTC|24 pr|18</t>
        </is>
      </c>
      <c r="L5714" s="12" t="inlineStr">
        <is>
          <t>24 pr</t>
        </is>
      </c>
      <c r="M5714" s="12" t="inlineStr">
        <is>
          <t>18</t>
        </is>
      </c>
      <c r="N5714" s="12" t="n">
        <v>1</v>
      </c>
      <c r="O5714" s="12" t="n">
        <v>1</v>
      </c>
      <c r="P5714" s="12" t="n"/>
      <c r="Q5714" s="12" t="n"/>
      <c r="R5714" s="12" t="n"/>
      <c r="S5714" s="12" t="inlineStr">
        <is>
          <t>Duct bank</t>
        </is>
      </c>
      <c r="T5714" s="17" t="n">
        <v>10</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J-I-0029</t>
        </is>
      </c>
      <c r="B5715" s="12" t="inlineStr">
        <is>
          <t>J</t>
        </is>
      </c>
      <c r="C5715" s="12" t="inlineStr">
        <is>
          <t>GT inlet chilling</t>
        </is>
      </c>
      <c r="D5715" s="12" t="inlineStr">
        <is>
          <t>Discrete device to JB JB-Chillers x6 (water-DI01: 20 x 1 pr (field cables)</t>
        </is>
      </c>
      <c r="E5715" s="12" t="inlineStr"/>
      <c r="F5715" s="12" t="inlineStr">
        <is>
          <t>Chillers x6 (water-cooled)</t>
        </is>
      </c>
      <c r="G5715" s="12" t="inlineStr">
        <is>
          <t>JB-Chillers x6 (water-DI01</t>
        </is>
      </c>
      <c r="H5715" s="12" t="inlineStr">
        <is>
          <t>Chillers x6 (water-cooled)</t>
        </is>
      </c>
      <c r="I5715" s="12" t="inlineStr">
        <is>
          <t>Instrumentation</t>
        </is>
      </c>
      <c r="J5715" s="12" t="inlineStr">
        <is>
          <t>Instrumentation PLTC / TC-ER 300 V, #18 twisted shielded pairs, overall shield</t>
        </is>
      </c>
      <c r="K5715" s="12" t="inlineStr">
        <is>
          <t>PLTC|1 pr|16</t>
        </is>
      </c>
      <c r="L5715" s="12" t="inlineStr">
        <is>
          <t>1 pr</t>
        </is>
      </c>
      <c r="M5715" s="12" t="inlineStr">
        <is>
          <t>16</t>
        </is>
      </c>
      <c r="N5715" s="12" t="n">
        <v>20</v>
      </c>
      <c r="O5715" s="12" t="n">
        <v>1</v>
      </c>
      <c r="P5715" s="12" t="n"/>
      <c r="Q5715" s="12" t="n"/>
      <c r="R5715" s="12" t="n"/>
      <c r="S5715" s="12" t="inlineStr">
        <is>
          <t>Tray / conduit</t>
        </is>
      </c>
      <c r="T5715" s="17" t="n">
        <v>190</v>
      </c>
      <c r="U5715" s="17" t="n">
        <v>10</v>
      </c>
      <c r="V5715" s="17">
        <f>ROUNDUP((T5715+U5715+2*'Read Me'!$B$13)*(1+'Read Me'!$B$12),-1)</f>
        <v/>
      </c>
      <c r="W5715" s="17">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J-I-0030</t>
        </is>
      </c>
      <c r="B5716" s="12" t="inlineStr">
        <is>
          <t>J</t>
        </is>
      </c>
      <c r="C5716" s="12" t="inlineStr">
        <is>
          <t>GT inlet chilling</t>
        </is>
      </c>
      <c r="D5716" s="12" t="inlineStr">
        <is>
          <t>Home run JB-Chillers x6 (water-DI01 to the control / marshalling room</t>
        </is>
      </c>
      <c r="E5716" s="12" t="inlineStr"/>
      <c r="F5716" s="12" t="inlineStr">
        <is>
          <t>Inlet-chilling e-house / transformer</t>
        </is>
      </c>
      <c r="G5716" s="12" t="inlineStr">
        <is>
          <t>JB-Chillers x6 (water-DI01</t>
        </is>
      </c>
      <c r="H5716" s="12" t="inlineStr">
        <is>
          <t>Chillers x6 (water-cooled)</t>
        </is>
      </c>
      <c r="I5716" s="12" t="inlineStr">
        <is>
          <t>Instrumentation</t>
        </is>
      </c>
      <c r="J5716" s="12" t="inlineStr">
        <is>
          <t>Instrumentation PLTC / TC-ER 300 V, #18 twisted shielded pairs, overall shield</t>
        </is>
      </c>
      <c r="K5716" s="12" t="inlineStr">
        <is>
          <t>PLTC|24 pr|18</t>
        </is>
      </c>
      <c r="L5716" s="12" t="inlineStr">
        <is>
          <t>24 pr</t>
        </is>
      </c>
      <c r="M5716" s="12" t="inlineStr">
        <is>
          <t>18</t>
        </is>
      </c>
      <c r="N5716" s="12" t="n">
        <v>1</v>
      </c>
      <c r="O5716" s="12" t="n">
        <v>1</v>
      </c>
      <c r="P5716" s="12" t="n"/>
      <c r="Q5716" s="12" t="n"/>
      <c r="R5716" s="12" t="n"/>
      <c r="S5716" s="12" t="inlineStr">
        <is>
          <t>Duct bank</t>
        </is>
      </c>
      <c r="T5716" s="17" t="n">
        <v>10</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c r="AA5716" s="12">
        <f>N5716*O5716</f>
        <v/>
      </c>
    </row>
    <row r="5717">
      <c r="A5717" s="12" t="inlineStr">
        <is>
          <t>J-I-0031</t>
        </is>
      </c>
      <c r="B5717" s="12" t="inlineStr">
        <is>
          <t>J</t>
        </is>
      </c>
      <c r="C5717" s="12" t="inlineStr">
        <is>
          <t>GT inlet chilling</t>
        </is>
      </c>
      <c r="D5717" s="12" t="inlineStr">
        <is>
          <t>Discrete device to JB JB-Chillers x6 (water-DI02: 20 x 1 pr (field cables)</t>
        </is>
      </c>
      <c r="E5717" s="12" t="inlineStr"/>
      <c r="F5717" s="12" t="inlineStr">
        <is>
          <t>Chillers x6 (water-cooled)</t>
        </is>
      </c>
      <c r="G5717" s="12" t="inlineStr">
        <is>
          <t>JB-Chillers x6 (water-DI02</t>
        </is>
      </c>
      <c r="H5717" s="12" t="inlineStr">
        <is>
          <t>Chillers x6 (water-cooled)</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20</v>
      </c>
      <c r="O5717" s="12" t="n">
        <v>1</v>
      </c>
      <c r="P5717" s="12" t="n"/>
      <c r="Q5717" s="12" t="n"/>
      <c r="R5717" s="12" t="n"/>
      <c r="S5717" s="12" t="inlineStr">
        <is>
          <t>Tray / conduit</t>
        </is>
      </c>
      <c r="T5717" s="17" t="n">
        <v>190</v>
      </c>
      <c r="U5717" s="17" t="n">
        <v>10</v>
      </c>
      <c r="V5717" s="17">
        <f>ROUNDUP((T5717+U5717+2*'Read Me'!$B$13)*(1+'Read Me'!$B$12),-1)</f>
        <v/>
      </c>
      <c r="W5717" s="17">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J-I-0032</t>
        </is>
      </c>
      <c r="B5718" s="12" t="inlineStr">
        <is>
          <t>J</t>
        </is>
      </c>
      <c r="C5718" s="12" t="inlineStr">
        <is>
          <t>GT inlet chilling</t>
        </is>
      </c>
      <c r="D5718" s="12" t="inlineStr">
        <is>
          <t>Home run JB-Chillers x6 (water-DI02 to the control / marshalling room</t>
        </is>
      </c>
      <c r="E5718" s="12" t="inlineStr"/>
      <c r="F5718" s="12" t="inlineStr">
        <is>
          <t>Inlet-chilling e-house / transformer</t>
        </is>
      </c>
      <c r="G5718" s="12" t="inlineStr">
        <is>
          <t>JB-Chillers x6 (water-DI02</t>
        </is>
      </c>
      <c r="H5718" s="12" t="inlineStr">
        <is>
          <t>Chillers x6 (water-cooled)</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Duct bank</t>
        </is>
      </c>
      <c r="T5718" s="17" t="n">
        <v>10</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c r="AA5718" s="12">
        <f>N5718*O5718</f>
        <v/>
      </c>
    </row>
    <row r="5719">
      <c r="A5719" s="12" t="inlineStr">
        <is>
          <t>J-I-0033</t>
        </is>
      </c>
      <c r="B5719" s="12" t="inlineStr">
        <is>
          <t>J</t>
        </is>
      </c>
      <c r="C5719" s="12" t="inlineStr">
        <is>
          <t>GT inlet chilling</t>
        </is>
      </c>
      <c r="D5719" s="12" t="inlineStr">
        <is>
          <t>Discrete device to JB JB-Chillers x6 (water-DI03: 20 x 1 pr (field cables)</t>
        </is>
      </c>
      <c r="E5719" s="12" t="inlineStr"/>
      <c r="F5719" s="12" t="inlineStr">
        <is>
          <t>Chillers x6 (water-cooled)</t>
        </is>
      </c>
      <c r="G5719" s="12" t="inlineStr">
        <is>
          <t>JB-Chillers x6 (water-DI03</t>
        </is>
      </c>
      <c r="H5719" s="12" t="inlineStr">
        <is>
          <t>Chillers x6 (water-cooled)</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20</v>
      </c>
      <c r="O5719" s="12" t="n">
        <v>1</v>
      </c>
      <c r="P5719" s="12" t="n"/>
      <c r="Q5719" s="12" t="n"/>
      <c r="R5719" s="12" t="n"/>
      <c r="S5719" s="12" t="inlineStr">
        <is>
          <t>Tray / conduit</t>
        </is>
      </c>
      <c r="T5719" s="17" t="n">
        <v>190</v>
      </c>
      <c r="U5719" s="17" t="n">
        <v>10</v>
      </c>
      <c r="V5719" s="17">
        <f>ROUNDUP((T5719+U5719+2*'Read Me'!$B$13)*(1+'Read Me'!$B$12),-1)</f>
        <v/>
      </c>
      <c r="W5719" s="17">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J-I-0034</t>
        </is>
      </c>
      <c r="B5720" s="12" t="inlineStr">
        <is>
          <t>J</t>
        </is>
      </c>
      <c r="C5720" s="12" t="inlineStr">
        <is>
          <t>GT inlet chilling</t>
        </is>
      </c>
      <c r="D5720" s="12" t="inlineStr">
        <is>
          <t>Home run JB-Chillers x6 (water-DI03 to the control / marshalling room</t>
        </is>
      </c>
      <c r="E5720" s="12" t="inlineStr"/>
      <c r="F5720" s="12" t="inlineStr">
        <is>
          <t>Inlet-chilling e-house / transformer</t>
        </is>
      </c>
      <c r="G5720" s="12" t="inlineStr">
        <is>
          <t>JB-Chillers x6 (water-DI03</t>
        </is>
      </c>
      <c r="H5720" s="12" t="inlineStr">
        <is>
          <t>Chillers x6 (water-cooled)</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Duct bank</t>
        </is>
      </c>
      <c r="T5720" s="17" t="n">
        <v>10</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c r="AA5720" s="12">
        <f>N5720*O5720</f>
        <v/>
      </c>
    </row>
    <row r="5721">
      <c r="A5721" s="12" t="inlineStr">
        <is>
          <t>J-I-0035</t>
        </is>
      </c>
      <c r="B5721" s="12" t="inlineStr">
        <is>
          <t>J</t>
        </is>
      </c>
      <c r="C5721" s="12" t="inlineStr">
        <is>
          <t>GT inlet chilling</t>
        </is>
      </c>
      <c r="D5721" s="12" t="inlineStr">
        <is>
          <t>Discrete device to JB JB-Chillers x6 (water-DI04: 20 x 1 pr (field cables)</t>
        </is>
      </c>
      <c r="E5721" s="12" t="inlineStr"/>
      <c r="F5721" s="12" t="inlineStr">
        <is>
          <t>Chillers x6 (water-cooled)</t>
        </is>
      </c>
      <c r="G5721" s="12" t="inlineStr">
        <is>
          <t>JB-Chillers x6 (water-DI04</t>
        </is>
      </c>
      <c r="H5721" s="12" t="inlineStr">
        <is>
          <t>Chillers x6 (water-cooled)</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7" t="n">
        <v>190</v>
      </c>
      <c r="U5721" s="17" t="n">
        <v>10</v>
      </c>
      <c r="V5721" s="17">
        <f>ROUNDUP((T5721+U5721+2*'Read Me'!$B$13)*(1+'Read Me'!$B$12),-1)</f>
        <v/>
      </c>
      <c r="W5721" s="17">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J-I-0036</t>
        </is>
      </c>
      <c r="B5722" s="12" t="inlineStr">
        <is>
          <t>J</t>
        </is>
      </c>
      <c r="C5722" s="12" t="inlineStr">
        <is>
          <t>GT inlet chilling</t>
        </is>
      </c>
      <c r="D5722" s="12" t="inlineStr">
        <is>
          <t>Home run JB-Chillers x6 (water-DI04 to the control / marshalling room</t>
        </is>
      </c>
      <c r="E5722" s="12" t="inlineStr"/>
      <c r="F5722" s="12" t="inlineStr">
        <is>
          <t>Inlet-chilling e-house / transformer</t>
        </is>
      </c>
      <c r="G5722" s="12" t="inlineStr">
        <is>
          <t>JB-Chillers x6 (water-DI04</t>
        </is>
      </c>
      <c r="H5722" s="12" t="inlineStr">
        <is>
          <t>Chillers x6 (water-cooled)</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Duct bank</t>
        </is>
      </c>
      <c r="T5722" s="17" t="n">
        <v>10</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c r="AA5722" s="12">
        <f>N5722*O5722</f>
        <v/>
      </c>
    </row>
    <row r="5723">
      <c r="A5723" s="12" t="inlineStr">
        <is>
          <t>J-I-0037</t>
        </is>
      </c>
      <c r="B5723" s="12" t="inlineStr">
        <is>
          <t>J</t>
        </is>
      </c>
      <c r="C5723" s="12" t="inlineStr">
        <is>
          <t>GT inlet chilling</t>
        </is>
      </c>
      <c r="D5723" s="12" t="inlineStr">
        <is>
          <t>Discrete device to JB JB-Chillers x6 (water-DI05: 20 x 1 pr (field cables)</t>
        </is>
      </c>
      <c r="E5723" s="12" t="inlineStr"/>
      <c r="F5723" s="12" t="inlineStr">
        <is>
          <t>Chillers x6 (water-cooled)</t>
        </is>
      </c>
      <c r="G5723" s="12" t="inlineStr">
        <is>
          <t>JB-Chillers x6 (water-DI05</t>
        </is>
      </c>
      <c r="H5723" s="12" t="inlineStr">
        <is>
          <t>Chillers x6 (water-cooled)</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7" t="n">
        <v>190</v>
      </c>
      <c r="U5723" s="17" t="n">
        <v>10</v>
      </c>
      <c r="V5723" s="17">
        <f>ROUNDUP((T5723+U5723+2*'Read Me'!$B$13)*(1+'Read Me'!$B$12),-1)</f>
        <v/>
      </c>
      <c r="W5723" s="17">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J-I-0038</t>
        </is>
      </c>
      <c r="B5724" s="12" t="inlineStr">
        <is>
          <t>J</t>
        </is>
      </c>
      <c r="C5724" s="12" t="inlineStr">
        <is>
          <t>GT inlet chilling</t>
        </is>
      </c>
      <c r="D5724" s="12" t="inlineStr">
        <is>
          <t>Home run JB-Chillers x6 (water-DI05 to the control / marshalling room</t>
        </is>
      </c>
      <c r="E5724" s="12" t="inlineStr"/>
      <c r="F5724" s="12" t="inlineStr">
        <is>
          <t>Inlet-chilling e-house / transformer</t>
        </is>
      </c>
      <c r="G5724" s="12" t="inlineStr">
        <is>
          <t>JB-Chillers x6 (water-DI05</t>
        </is>
      </c>
      <c r="H5724" s="12" t="inlineStr">
        <is>
          <t>Chillers x6 (water-cooled)</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Duct bank</t>
        </is>
      </c>
      <c r="T5724" s="17" t="n">
        <v>10</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c r="AA5724" s="12">
        <f>N5724*O5724</f>
        <v/>
      </c>
    </row>
    <row r="5725">
      <c r="A5725" s="12" t="inlineStr">
        <is>
          <t>J-I-0039</t>
        </is>
      </c>
      <c r="B5725" s="12" t="inlineStr">
        <is>
          <t>J</t>
        </is>
      </c>
      <c r="C5725" s="12" t="inlineStr">
        <is>
          <t>GT inlet chilling</t>
        </is>
      </c>
      <c r="D5725" s="12" t="inlineStr">
        <is>
          <t>Discrete device to JB JB-Chillers x6 (water-DI06: 20 x 1 pr (field cables)</t>
        </is>
      </c>
      <c r="E5725" s="12" t="inlineStr"/>
      <c r="F5725" s="12" t="inlineStr">
        <is>
          <t>Chillers x6 (water-cooled)</t>
        </is>
      </c>
      <c r="G5725" s="12" t="inlineStr">
        <is>
          <t>JB-Chillers x6 (water-DI06</t>
        </is>
      </c>
      <c r="H5725" s="12" t="inlineStr">
        <is>
          <t>Chillers x6 (water-cooled)</t>
        </is>
      </c>
      <c r="I5725" s="12" t="inlineStr">
        <is>
          <t>Instrumentation</t>
        </is>
      </c>
      <c r="J5725" s="12" t="inlineStr">
        <is>
          <t>Instrumentation PLTC / TC-ER 300 V, #18 twisted shielded pairs, overall shield</t>
        </is>
      </c>
      <c r="K5725" s="12" t="inlineStr">
        <is>
          <t>PLTC|1 pr|16</t>
        </is>
      </c>
      <c r="L5725" s="12" t="inlineStr">
        <is>
          <t>1 pr</t>
        </is>
      </c>
      <c r="M5725" s="12" t="inlineStr">
        <is>
          <t>16</t>
        </is>
      </c>
      <c r="N5725" s="12" t="n">
        <v>20</v>
      </c>
      <c r="O5725" s="12" t="n">
        <v>1</v>
      </c>
      <c r="P5725" s="12" t="n"/>
      <c r="Q5725" s="12" t="n"/>
      <c r="R5725" s="12" t="n"/>
      <c r="S5725" s="12" t="inlineStr">
        <is>
          <t>Tray / conduit</t>
        </is>
      </c>
      <c r="T5725" s="17" t="n">
        <v>190</v>
      </c>
      <c r="U5725" s="17" t="n">
        <v>10</v>
      </c>
      <c r="V5725" s="17">
        <f>ROUNDUP((T5725+U5725+2*'Read Me'!$B$13)*(1+'Read Me'!$B$12),-1)</f>
        <v/>
      </c>
      <c r="W5725" s="17">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J-I-0040</t>
        </is>
      </c>
      <c r="B5726" s="12" t="inlineStr">
        <is>
          <t>J</t>
        </is>
      </c>
      <c r="C5726" s="12" t="inlineStr">
        <is>
          <t>GT inlet chilling</t>
        </is>
      </c>
      <c r="D5726" s="12" t="inlineStr">
        <is>
          <t>Home run JB-Chillers x6 (water-DI06 to the control / marshalling room</t>
        </is>
      </c>
      <c r="E5726" s="12" t="inlineStr"/>
      <c r="F5726" s="12" t="inlineStr">
        <is>
          <t>Inlet-chilling e-house / transformer</t>
        </is>
      </c>
      <c r="G5726" s="12" t="inlineStr">
        <is>
          <t>JB-Chillers x6 (water-DI06</t>
        </is>
      </c>
      <c r="H5726" s="12" t="inlineStr">
        <is>
          <t>Chillers x6 (water-cooled)</t>
        </is>
      </c>
      <c r="I5726" s="12" t="inlineStr">
        <is>
          <t>Instrumentation</t>
        </is>
      </c>
      <c r="J5726" s="12" t="inlineStr">
        <is>
          <t>Instrumentation PLTC / TC-ER 300 V, #18 twisted shielded pairs, overall shield</t>
        </is>
      </c>
      <c r="K5726" s="12" t="inlineStr">
        <is>
          <t>PLTC|24 pr|18</t>
        </is>
      </c>
      <c r="L5726" s="12" t="inlineStr">
        <is>
          <t>24 pr</t>
        </is>
      </c>
      <c r="M5726" s="12" t="inlineStr">
        <is>
          <t>18</t>
        </is>
      </c>
      <c r="N5726" s="12" t="n">
        <v>1</v>
      </c>
      <c r="O5726" s="12" t="n">
        <v>1</v>
      </c>
      <c r="P5726" s="12" t="n"/>
      <c r="Q5726" s="12" t="n"/>
      <c r="R5726" s="12" t="n"/>
      <c r="S5726" s="12" t="inlineStr">
        <is>
          <t>Duct bank</t>
        </is>
      </c>
      <c r="T5726" s="17" t="n">
        <v>10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c r="AA5726" s="12">
        <f>N5726*O5726</f>
        <v/>
      </c>
    </row>
    <row r="5727">
      <c r="A5727" s="12" t="inlineStr">
        <is>
          <t>J-I-0041</t>
        </is>
      </c>
      <c r="B5727" s="12" t="inlineStr">
        <is>
          <t>J</t>
        </is>
      </c>
      <c r="C5727" s="12" t="inlineStr">
        <is>
          <t>GT inlet chilling</t>
        </is>
      </c>
      <c r="D5727" s="12" t="inlineStr">
        <is>
          <t>Instrumentation</t>
        </is>
      </c>
      <c r="E5727" s="12" t="inlineStr"/>
      <c r="F5727" s="12" t="inlineStr">
        <is>
          <t>Inlet-chilling e-house / transformer</t>
        </is>
      </c>
      <c r="G5727" s="12" t="inlineStr"/>
      <c r="H5727" s="12" t="inlineStr">
        <is>
          <t>Inlet-chilling e-house / transformer</t>
        </is>
      </c>
      <c r="I5727" s="12" t="inlineStr">
        <is>
          <t>Instrumentation</t>
        </is>
      </c>
      <c r="J5727" s="12" t="inlineStr">
        <is>
          <t>Instrumentation PLTC / TC-ER 300 V, #18 twisted shielded pairs, overall shield</t>
        </is>
      </c>
      <c r="K5727" s="12" t="inlineStr">
        <is>
          <t>PLTC|4 pr|18</t>
        </is>
      </c>
      <c r="L5727" s="12" t="inlineStr">
        <is>
          <t>4 pr</t>
        </is>
      </c>
      <c r="M5727" s="12" t="inlineStr">
        <is>
          <t>18</t>
        </is>
      </c>
      <c r="N5727" s="12" t="n">
        <v>1</v>
      </c>
      <c r="O5727" s="12" t="n">
        <v>1</v>
      </c>
      <c r="P5727" s="12" t="n"/>
      <c r="Q5727" s="12" t="n"/>
      <c r="R5727" s="12" t="n"/>
      <c r="S5727" s="12" t="inlineStr">
        <is>
          <t>Tray</t>
        </is>
      </c>
      <c r="T5727" s="17" t="n">
        <v>0</v>
      </c>
      <c r="U5727" s="17" t="n">
        <v>32</v>
      </c>
      <c r="V5727" s="17">
        <f>ROUNDUP((T5727+U5727+2*'Read Me'!$B$13)*(1+'Read Me'!$B$12),-1)</f>
        <v/>
      </c>
      <c r="W5727" s="17">
        <f>V5727*N5727*O5727</f>
        <v/>
      </c>
      <c r="X5727" s="12">
        <f>IF(LEFT(I5727,2)="MV",2*N5727*IF(L5727="1/C",O5727,1),0)</f>
        <v/>
      </c>
      <c r="Y5727" s="12">
        <f>IF(OR(LEFT(K5727,4)="LVAX",LEFT(K5727,6)="MV15AX",LEFT(K5727,4)="CTAX",LEFT(K5727,2)="W|"),2*N5727*O5727,0)</f>
        <v/>
      </c>
      <c r="Z5727" s="12" t="inlineStr"/>
      <c r="AA5727" s="12">
        <f>N5727*O5727</f>
        <v/>
      </c>
    </row>
    <row r="5728">
      <c r="A5728" s="12" t="inlineStr">
        <is>
          <t>J-I-0042</t>
        </is>
      </c>
      <c r="B5728" s="12" t="inlineStr">
        <is>
          <t>J</t>
        </is>
      </c>
      <c r="C5728" s="12" t="inlineStr">
        <is>
          <t>GT inlet chilling</t>
        </is>
      </c>
      <c r="D5728" s="12" t="inlineStr">
        <is>
          <t>Analog instrument to JB JB-Inlet-chilling tow-AI01: 12 x 1 pr (field cables)</t>
        </is>
      </c>
      <c r="E5728" s="12" t="inlineStr"/>
      <c r="F5728" s="12" t="inlineStr">
        <is>
          <t>Inlet-chilling tower (12 cells): chiller heat rejection</t>
        </is>
      </c>
      <c r="G5728" s="12" t="inlineStr">
        <is>
          <t>JB-Inlet-chilling tow-AI01</t>
        </is>
      </c>
      <c r="H5728" s="12" t="inlineStr">
        <is>
          <t>Inlet-chilling tower (12 cells): chiller heat rejection</t>
        </is>
      </c>
      <c r="I5728" s="12" t="inlineStr">
        <is>
          <t>Instrumentation</t>
        </is>
      </c>
      <c r="J5728" s="12" t="inlineStr">
        <is>
          <t>Instrumentation PLTC / TC-ER 300 V, #18 twisted shielded pairs, overall shield</t>
        </is>
      </c>
      <c r="K5728" s="12" t="inlineStr">
        <is>
          <t>PLTC|1 pr|16</t>
        </is>
      </c>
      <c r="L5728" s="12" t="inlineStr">
        <is>
          <t>1 pr</t>
        </is>
      </c>
      <c r="M5728" s="12" t="inlineStr">
        <is>
          <t>16</t>
        </is>
      </c>
      <c r="N5728" s="12" t="n">
        <v>12</v>
      </c>
      <c r="O5728" s="12" t="n">
        <v>1</v>
      </c>
      <c r="P5728" s="12" t="n"/>
      <c r="Q5728" s="12" t="n"/>
      <c r="R5728" s="12" t="n"/>
      <c r="S5728" s="12" t="inlineStr">
        <is>
          <t>Tray / conduit</t>
        </is>
      </c>
      <c r="T5728" s="17" t="n">
        <v>205</v>
      </c>
      <c r="U5728" s="17" t="n">
        <v>10</v>
      </c>
      <c r="V5728" s="17">
        <f>ROUNDUP((T5728+U5728+2*'Read Me'!$B$13)*(1+'Read Me'!$B$12),-1)</f>
        <v/>
      </c>
      <c r="W5728" s="17">
        <f>V5728*N5728*O5728</f>
        <v/>
      </c>
      <c r="X5728" s="12">
        <f>IF(LEFT(I5728,2)="MV",2*N5728*IF(L5728="1/C",O5728,1),0)</f>
        <v/>
      </c>
      <c r="Y5728" s="12">
        <f>IF(OR(LEFT(K5728,4)="LVAX",LEFT(K5728,6)="MV15AX",LEFT(K5728,4)="CTAX",LEFT(K5728,2)="W|"),2*N5728*O5728,0)</f>
        <v/>
      </c>
      <c r="Z5728" s="12" t="inlineStr">
        <is>
          <t>device-to-JB field wiring, one cable per device</t>
        </is>
      </c>
      <c r="AA5728" s="12">
        <f>N5728*O5728</f>
        <v/>
      </c>
    </row>
    <row r="5729">
      <c r="A5729" s="12" t="inlineStr">
        <is>
          <t>J-I-0043</t>
        </is>
      </c>
      <c r="B5729" s="12" t="inlineStr">
        <is>
          <t>J</t>
        </is>
      </c>
      <c r="C5729" s="12" t="inlineStr">
        <is>
          <t>GT inlet chilling</t>
        </is>
      </c>
      <c r="D5729" s="12" t="inlineStr">
        <is>
          <t>Home run JB-Inlet-chilling tow-AI01 to the control / marshalling room</t>
        </is>
      </c>
      <c r="E5729" s="12" t="inlineStr"/>
      <c r="F5729" s="12" t="inlineStr">
        <is>
          <t>Inlet-chilling e-house / transformer</t>
        </is>
      </c>
      <c r="G5729" s="12" t="inlineStr">
        <is>
          <t>JB-Inlet-chilling tow-AI01</t>
        </is>
      </c>
      <c r="H5729" s="12" t="inlineStr">
        <is>
          <t>Inlet-chilling tower (12 cells): chiller heat rejection</t>
        </is>
      </c>
      <c r="I5729" s="12" t="inlineStr">
        <is>
          <t>Instrumentation</t>
        </is>
      </c>
      <c r="J5729" s="12" t="inlineStr">
        <is>
          <t>Instrumentation PLTC / TC-ER 300 V, #18 twisted shielded pairs, overall shield</t>
        </is>
      </c>
      <c r="K5729" s="12" t="inlineStr">
        <is>
          <t>PLTC|24 pr|18</t>
        </is>
      </c>
      <c r="L5729" s="12" t="inlineStr">
        <is>
          <t>24 pr</t>
        </is>
      </c>
      <c r="M5729" s="12" t="inlineStr">
        <is>
          <t>18</t>
        </is>
      </c>
      <c r="N5729" s="12" t="n">
        <v>1</v>
      </c>
      <c r="O5729" s="12" t="n">
        <v>1</v>
      </c>
      <c r="P5729" s="12" t="n"/>
      <c r="Q5729" s="12" t="n"/>
      <c r="R5729" s="12" t="n"/>
      <c r="S5729" s="12" t="inlineStr">
        <is>
          <t>Duct bank</t>
        </is>
      </c>
      <c r="T5729" s="17" t="n">
        <v>478</v>
      </c>
      <c r="U5729" s="17" t="n">
        <v>38</v>
      </c>
      <c r="V5729" s="17">
        <f>ROUNDUP((T5729+U5729+2*'Read Me'!$B$13)*(1+'Read Me'!$B$12),-1)</f>
        <v/>
      </c>
      <c r="W5729" s="17">
        <f>V5729*N5729*O5729</f>
        <v/>
      </c>
      <c r="X5729" s="12">
        <f>IF(LEFT(I5729,2)="MV",2*N5729*IF(L5729="1/C",O5729,1),0)</f>
        <v/>
      </c>
      <c r="Y5729" s="12">
        <f>IF(OR(LEFT(K5729,4)="LVAX",LEFT(K5729,6)="MV15AX",LEFT(K5729,4)="CTAX",LEFT(K5729,2)="W|"),2*N5729*O5729,0)</f>
        <v/>
      </c>
      <c r="Z5729" s="12" t="inlineStr"/>
      <c r="AA5729" s="12">
        <f>N5729*O5729</f>
        <v/>
      </c>
    </row>
    <row r="5730">
      <c r="A5730" s="12" t="inlineStr">
        <is>
          <t>J-I-0044</t>
        </is>
      </c>
      <c r="B5730" s="12" t="inlineStr">
        <is>
          <t>J</t>
        </is>
      </c>
      <c r="C5730" s="12" t="inlineStr">
        <is>
          <t>GT inlet chilling</t>
        </is>
      </c>
      <c r="D5730" s="12" t="inlineStr">
        <is>
          <t>Discrete device to JB JB-Inlet-chilling tow-DI01: 20 x 1 pr (field cables)</t>
        </is>
      </c>
      <c r="E5730" s="12" t="inlineStr"/>
      <c r="F5730" s="12" t="inlineStr">
        <is>
          <t>Inlet-chilling tower (12 cells): chiller heat rejection</t>
        </is>
      </c>
      <c r="G5730" s="12" t="inlineStr">
        <is>
          <t>JB-Inlet-chilling tow-DI01</t>
        </is>
      </c>
      <c r="H5730" s="12" t="inlineStr">
        <is>
          <t>Inlet-chilling tower (12 cells): chiller heat rejection</t>
        </is>
      </c>
      <c r="I5730" s="12" t="inlineStr">
        <is>
          <t>Instrumentation</t>
        </is>
      </c>
      <c r="J5730" s="12" t="inlineStr">
        <is>
          <t>Instrumentation PLTC / TC-ER 300 V, #18 twisted shielded pairs, overall shield</t>
        </is>
      </c>
      <c r="K5730" s="12" t="inlineStr">
        <is>
          <t>PLTC|1 pr|16</t>
        </is>
      </c>
      <c r="L5730" s="12" t="inlineStr">
        <is>
          <t>1 pr</t>
        </is>
      </c>
      <c r="M5730" s="12" t="inlineStr">
        <is>
          <t>16</t>
        </is>
      </c>
      <c r="N5730" s="12" t="n">
        <v>20</v>
      </c>
      <c r="O5730" s="12" t="n">
        <v>1</v>
      </c>
      <c r="P5730" s="12" t="n"/>
      <c r="Q5730" s="12" t="n"/>
      <c r="R5730" s="12" t="n"/>
      <c r="S5730" s="12" t="inlineStr">
        <is>
          <t>Tray / conduit</t>
        </is>
      </c>
      <c r="T5730" s="17" t="n">
        <v>205</v>
      </c>
      <c r="U5730" s="17" t="n">
        <v>10</v>
      </c>
      <c r="V5730" s="17">
        <f>ROUNDUP((T5730+U5730+2*'Read Me'!$B$13)*(1+'Read Me'!$B$12),-1)</f>
        <v/>
      </c>
      <c r="W5730" s="17">
        <f>V5730*N5730*O5730</f>
        <v/>
      </c>
      <c r="X5730" s="12">
        <f>IF(LEFT(I5730,2)="MV",2*N5730*IF(L5730="1/C",O5730,1),0)</f>
        <v/>
      </c>
      <c r="Y5730" s="12">
        <f>IF(OR(LEFT(K5730,4)="LVAX",LEFT(K5730,6)="MV15AX",LEFT(K5730,4)="CTAX",LEFT(K5730,2)="W|"),2*N5730*O5730,0)</f>
        <v/>
      </c>
      <c r="Z5730" s="12" t="inlineStr">
        <is>
          <t>device-to-JB field wiring, one cable per device</t>
        </is>
      </c>
      <c r="AA5730" s="12">
        <f>N5730*O5730</f>
        <v/>
      </c>
    </row>
    <row r="5731">
      <c r="A5731" s="12" t="inlineStr">
        <is>
          <t>J-I-0045</t>
        </is>
      </c>
      <c r="B5731" s="12" t="inlineStr">
        <is>
          <t>J</t>
        </is>
      </c>
      <c r="C5731" s="12" t="inlineStr">
        <is>
          <t>GT inlet chilling</t>
        </is>
      </c>
      <c r="D5731" s="12" t="inlineStr">
        <is>
          <t>Home run JB-Inlet-chilling tow-DI01 to the control / marshalling room</t>
        </is>
      </c>
      <c r="E5731" s="12" t="inlineStr"/>
      <c r="F5731" s="12" t="inlineStr">
        <is>
          <t>Inlet-chilling e-house / transformer</t>
        </is>
      </c>
      <c r="G5731" s="12" t="inlineStr">
        <is>
          <t>JB-Inlet-chilling tow-DI01</t>
        </is>
      </c>
      <c r="H5731" s="12" t="inlineStr">
        <is>
          <t>Inlet-chilling tower (12 cells): chiller heat rejection</t>
        </is>
      </c>
      <c r="I5731" s="12" t="inlineStr">
        <is>
          <t>Instrumentation</t>
        </is>
      </c>
      <c r="J5731" s="12" t="inlineStr">
        <is>
          <t>Instrumentation PLTC / TC-ER 300 V, #18 twisted shielded pairs, overall shield</t>
        </is>
      </c>
      <c r="K5731" s="12" t="inlineStr">
        <is>
          <t>PLTC|24 pr|18</t>
        </is>
      </c>
      <c r="L5731" s="12" t="inlineStr">
        <is>
          <t>24 pr</t>
        </is>
      </c>
      <c r="M5731" s="12" t="inlineStr">
        <is>
          <t>18</t>
        </is>
      </c>
      <c r="N5731" s="12" t="n">
        <v>1</v>
      </c>
      <c r="O5731" s="12" t="n">
        <v>1</v>
      </c>
      <c r="P5731" s="12" t="n"/>
      <c r="Q5731" s="12" t="n"/>
      <c r="R5731" s="12" t="n"/>
      <c r="S5731" s="12" t="inlineStr">
        <is>
          <t>Duct bank</t>
        </is>
      </c>
      <c r="T5731" s="17" t="n">
        <v>478</v>
      </c>
      <c r="U5731" s="17" t="n">
        <v>38</v>
      </c>
      <c r="V5731" s="17">
        <f>ROUNDUP((T5731+U5731+2*'Read Me'!$B$13)*(1+'Read Me'!$B$12),-1)</f>
        <v/>
      </c>
      <c r="W5731" s="17">
        <f>V5731*N5731*O5731</f>
        <v/>
      </c>
      <c r="X5731" s="12">
        <f>IF(LEFT(I5731,2)="MV",2*N5731*IF(L5731="1/C",O5731,1),0)</f>
        <v/>
      </c>
      <c r="Y5731" s="12">
        <f>IF(OR(LEFT(K5731,4)="LVAX",LEFT(K5731,6)="MV15AX",LEFT(K5731,4)="CTAX",LEFT(K5731,2)="W|"),2*N5731*O5731,0)</f>
        <v/>
      </c>
      <c r="Z5731" s="12" t="inlineStr"/>
      <c r="AA5731" s="12">
        <f>N5731*O5731</f>
        <v/>
      </c>
    </row>
    <row r="5732">
      <c r="A5732" s="12" t="inlineStr">
        <is>
          <t>J-I-0046</t>
        </is>
      </c>
      <c r="B5732" s="12" t="inlineStr">
        <is>
          <t>J</t>
        </is>
      </c>
      <c r="C5732" s="12" t="inlineStr">
        <is>
          <t>GT inlet chilling</t>
        </is>
      </c>
      <c r="D5732" s="12" t="inlineStr">
        <is>
          <t>Discrete device to JB JB-Inlet-chilling tow-DI02: 4 x 1 pr (field cables)</t>
        </is>
      </c>
      <c r="E5732" s="12" t="inlineStr"/>
      <c r="F5732" s="12" t="inlineStr">
        <is>
          <t>Inlet-chilling tower (12 cells): chiller heat rejection</t>
        </is>
      </c>
      <c r="G5732" s="12" t="inlineStr">
        <is>
          <t>JB-Inlet-chilling tow-DI02</t>
        </is>
      </c>
      <c r="H5732" s="12" t="inlineStr">
        <is>
          <t>Inlet-chilling tower (12 cells): chiller heat rejection</t>
        </is>
      </c>
      <c r="I5732" s="12" t="inlineStr">
        <is>
          <t>Instrumentation</t>
        </is>
      </c>
      <c r="J5732" s="12" t="inlineStr">
        <is>
          <t>Instrumentation PLTC / TC-ER 300 V, #18 twisted shielded pairs, overall shield</t>
        </is>
      </c>
      <c r="K5732" s="12" t="inlineStr">
        <is>
          <t>PLTC|1 pr|16</t>
        </is>
      </c>
      <c r="L5732" s="12" t="inlineStr">
        <is>
          <t>1 pr</t>
        </is>
      </c>
      <c r="M5732" s="12" t="inlineStr">
        <is>
          <t>16</t>
        </is>
      </c>
      <c r="N5732" s="12" t="n">
        <v>4</v>
      </c>
      <c r="O5732" s="12" t="n">
        <v>1</v>
      </c>
      <c r="P5732" s="12" t="n"/>
      <c r="Q5732" s="12" t="n"/>
      <c r="R5732" s="12" t="n"/>
      <c r="S5732" s="12" t="inlineStr">
        <is>
          <t>Tray / conduit</t>
        </is>
      </c>
      <c r="T5732" s="17" t="n">
        <v>205</v>
      </c>
      <c r="U5732" s="17" t="n">
        <v>10</v>
      </c>
      <c r="V5732" s="17">
        <f>ROUNDUP((T5732+U5732+2*'Read Me'!$B$13)*(1+'Read Me'!$B$12),-1)</f>
        <v/>
      </c>
      <c r="W5732" s="17">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J-I-0047</t>
        </is>
      </c>
      <c r="B5733" s="12" t="inlineStr">
        <is>
          <t>J</t>
        </is>
      </c>
      <c r="C5733" s="12" t="inlineStr">
        <is>
          <t>GT inlet chilling</t>
        </is>
      </c>
      <c r="D5733" s="12" t="inlineStr">
        <is>
          <t>Home run JB-Inlet-chilling tow-DI02 to the control / marshalling room</t>
        </is>
      </c>
      <c r="E5733" s="12" t="inlineStr"/>
      <c r="F5733" s="12" t="inlineStr">
        <is>
          <t>Inlet-chilling e-house / transformer</t>
        </is>
      </c>
      <c r="G5733" s="12" t="inlineStr">
        <is>
          <t>JB-Inlet-chilling tow-DI02</t>
        </is>
      </c>
      <c r="H5733" s="12" t="inlineStr">
        <is>
          <t>Inlet-chilling tower (12 cells): chiller heat rejection</t>
        </is>
      </c>
      <c r="I5733" s="12" t="inlineStr">
        <is>
          <t>Instrumentation</t>
        </is>
      </c>
      <c r="J5733" s="12" t="inlineStr">
        <is>
          <t>Instrumentation PLTC / TC-ER 300 V, #18 twisted shielded pairs, overall shield</t>
        </is>
      </c>
      <c r="K5733" s="12" t="inlineStr">
        <is>
          <t>PLTC|24 pr|18</t>
        </is>
      </c>
      <c r="L5733" s="12" t="inlineStr">
        <is>
          <t>24 pr</t>
        </is>
      </c>
      <c r="M5733" s="12" t="inlineStr">
        <is>
          <t>18</t>
        </is>
      </c>
      <c r="N5733" s="12" t="n">
        <v>1</v>
      </c>
      <c r="O5733" s="12" t="n">
        <v>1</v>
      </c>
      <c r="P5733" s="12" t="n"/>
      <c r="Q5733" s="12" t="n"/>
      <c r="R5733" s="12" t="n"/>
      <c r="S5733" s="12" t="inlineStr">
        <is>
          <t>Duct bank</t>
        </is>
      </c>
      <c r="T5733" s="17" t="n">
        <v>478</v>
      </c>
      <c r="U5733" s="17" t="n">
        <v>38</v>
      </c>
      <c r="V5733" s="17">
        <f>ROUNDUP((T5733+U5733+2*'Read Me'!$B$13)*(1+'Read Me'!$B$12),-1)</f>
        <v/>
      </c>
      <c r="W5733" s="17">
        <f>V5733*N5733*O5733</f>
        <v/>
      </c>
      <c r="X5733" s="12">
        <f>IF(LEFT(I5733,2)="MV",2*N5733*IF(L5733="1/C",O5733,1),0)</f>
        <v/>
      </c>
      <c r="Y5733" s="12">
        <f>IF(OR(LEFT(K5733,4)="LVAX",LEFT(K5733,6)="MV15AX",LEFT(K5733,4)="CTAX",LEFT(K5733,2)="W|"),2*N5733*O5733,0)</f>
        <v/>
      </c>
      <c r="Z5733" s="12" t="inlineStr"/>
      <c r="AA5733" s="12">
        <f>N5733*O5733</f>
        <v/>
      </c>
    </row>
    <row r="5734">
      <c r="A5734" s="12" t="inlineStr">
        <is>
          <t>J-P-0001</t>
        </is>
      </c>
      <c r="B5734" s="12" t="inlineStr">
        <is>
          <t>J</t>
        </is>
      </c>
      <c r="C5734" s="12" t="inlineStr">
        <is>
          <t>GT inlet chilling</t>
        </is>
      </c>
      <c r="D5734" s="12" t="inlineStr">
        <is>
          <t>Motor 1 of 4, 150 kW</t>
        </is>
      </c>
      <c r="E5734" s="12" t="inlineStr"/>
      <c r="F5734" s="12" t="inlineStr">
        <is>
          <t>Inlet-chilling e-house / transformer</t>
        </is>
      </c>
      <c r="G5734" s="12" t="inlineStr"/>
      <c r="H5734" s="12" t="inlineStr">
        <is>
          <t>CHW pumps</t>
        </is>
      </c>
      <c r="I5734" s="12" t="inlineStr">
        <is>
          <t>LV 600 V</t>
        </is>
      </c>
      <c r="J5734" s="12" t="inlineStr">
        <is>
          <t>Type TC-ER 600 V 3/C Cu XHHW-2 + ground, PVC jacket</t>
        </is>
      </c>
      <c r="K5734" s="12" t="inlineStr">
        <is>
          <t>LV|3/C+G|350</t>
        </is>
      </c>
      <c r="L5734" s="12" t="inlineStr">
        <is>
          <t>3/C+G</t>
        </is>
      </c>
      <c r="M5734" s="12" t="inlineStr">
        <is>
          <t>350 kcmil</t>
        </is>
      </c>
      <c r="N5734" s="12" t="n">
        <v>1</v>
      </c>
      <c r="O5734" s="12" t="n">
        <v>1</v>
      </c>
      <c r="P5734" s="12" t="n">
        <v>480</v>
      </c>
      <c r="Q5734" s="12" t="n">
        <v>150</v>
      </c>
      <c r="R5734" s="12" t="n">
        <v>212.3</v>
      </c>
      <c r="S5734" s="12" t="inlineStr">
        <is>
          <t>Duct bank</t>
        </is>
      </c>
      <c r="T5734" s="17" t="n">
        <v>579</v>
      </c>
      <c r="U5734" s="17" t="n">
        <v>32</v>
      </c>
      <c r="V5734" s="17">
        <f>ROUNDUP((T5734+U5734+2*'Read Me'!$B$13)*(1+'Read Me'!$B$12),-1)</f>
        <v/>
      </c>
      <c r="W5734" s="17">
        <f>V5734*N5734*O5734</f>
        <v/>
      </c>
      <c r="X5734" s="12">
        <f>IF(LEFT(I5734,2)="MV",2*N5734*IF(L5734="1/C",O5734,1),0)</f>
        <v/>
      </c>
      <c r="Y5734" s="12">
        <f>IF(OR(LEFT(K5734,4)="LVAX",LEFT(K5734,6)="MV15AX",LEFT(K5734,4)="CTAX",LEFT(K5734,2)="W|"),2*N5734*O5734,0)</f>
        <v/>
      </c>
      <c r="Z5734" s="12" t="inlineStr">
        <is>
          <t>VD 1.9 %</t>
        </is>
      </c>
      <c r="AA5734" s="12">
        <f>N5734*O5734</f>
        <v/>
      </c>
    </row>
    <row r="5735">
      <c r="A5735" s="12" t="inlineStr">
        <is>
          <t>J-P-0002</t>
        </is>
      </c>
      <c r="B5735" s="12" t="inlineStr">
        <is>
          <t>J</t>
        </is>
      </c>
      <c r="C5735" s="12" t="inlineStr">
        <is>
          <t>GT inlet chilling</t>
        </is>
      </c>
      <c r="D5735" s="12" t="inlineStr">
        <is>
          <t>Motor 2 of 4, 150 kW</t>
        </is>
      </c>
      <c r="E5735" s="12" t="inlineStr"/>
      <c r="F5735" s="12" t="inlineStr">
        <is>
          <t>Inlet-chilling e-house / transformer</t>
        </is>
      </c>
      <c r="G5735" s="12" t="inlineStr"/>
      <c r="H5735" s="12" t="inlineStr">
        <is>
          <t>CHW pumps</t>
        </is>
      </c>
      <c r="I5735" s="12" t="inlineStr">
        <is>
          <t>LV 600 V</t>
        </is>
      </c>
      <c r="J5735" s="12" t="inlineStr">
        <is>
          <t>Type TC-ER 600 V 3/C Cu XHHW-2 + ground, PVC jacket</t>
        </is>
      </c>
      <c r="K5735" s="12" t="inlineStr">
        <is>
          <t>LV|3/C+G|350</t>
        </is>
      </c>
      <c r="L5735" s="12" t="inlineStr">
        <is>
          <t>3/C+G</t>
        </is>
      </c>
      <c r="M5735" s="12" t="inlineStr">
        <is>
          <t>350 kcmil</t>
        </is>
      </c>
      <c r="N5735" s="12" t="n">
        <v>1</v>
      </c>
      <c r="O5735" s="12" t="n">
        <v>1</v>
      </c>
      <c r="P5735" s="12" t="n">
        <v>480</v>
      </c>
      <c r="Q5735" s="12" t="n">
        <v>150</v>
      </c>
      <c r="R5735" s="12" t="n">
        <v>212.3</v>
      </c>
      <c r="S5735" s="12" t="inlineStr">
        <is>
          <t>Duct bank</t>
        </is>
      </c>
      <c r="T5735" s="17" t="n">
        <v>579</v>
      </c>
      <c r="U5735" s="17" t="n">
        <v>32</v>
      </c>
      <c r="V5735" s="17">
        <f>ROUNDUP((T5735+U5735+2*'Read Me'!$B$13)*(1+'Read Me'!$B$12),-1)</f>
        <v/>
      </c>
      <c r="W5735" s="17">
        <f>V5735*N5735*O5735</f>
        <v/>
      </c>
      <c r="X5735" s="12">
        <f>IF(LEFT(I5735,2)="MV",2*N5735*IF(L5735="1/C",O5735,1),0)</f>
        <v/>
      </c>
      <c r="Y5735" s="12">
        <f>IF(OR(LEFT(K5735,4)="LVAX",LEFT(K5735,6)="MV15AX",LEFT(K5735,4)="CTAX",LEFT(K5735,2)="W|"),2*N5735*O5735,0)</f>
        <v/>
      </c>
      <c r="Z5735" s="12" t="inlineStr">
        <is>
          <t>VD 1.9 %</t>
        </is>
      </c>
      <c r="AA5735" s="12">
        <f>N5735*O5735</f>
        <v/>
      </c>
    </row>
    <row r="5736">
      <c r="A5736" s="12" t="inlineStr">
        <is>
          <t>J-P-0003</t>
        </is>
      </c>
      <c r="B5736" s="12" t="inlineStr">
        <is>
          <t>J</t>
        </is>
      </c>
      <c r="C5736" s="12" t="inlineStr">
        <is>
          <t>GT inlet chilling</t>
        </is>
      </c>
      <c r="D5736" s="12" t="inlineStr">
        <is>
          <t>Motor 3 of 4, 150 kW</t>
        </is>
      </c>
      <c r="E5736" s="12" t="inlineStr"/>
      <c r="F5736" s="12" t="inlineStr">
        <is>
          <t>Inlet-chilling e-house / transformer</t>
        </is>
      </c>
      <c r="G5736" s="12" t="inlineStr"/>
      <c r="H5736" s="12" t="inlineStr">
        <is>
          <t>CHW pumps</t>
        </is>
      </c>
      <c r="I5736" s="12" t="inlineStr">
        <is>
          <t>LV 600 V</t>
        </is>
      </c>
      <c r="J5736" s="12" t="inlineStr">
        <is>
          <t>Type TC-ER 600 V 3/C Cu XHHW-2 + ground, PVC jacket</t>
        </is>
      </c>
      <c r="K5736" s="12" t="inlineStr">
        <is>
          <t>LV|3/C+G|350</t>
        </is>
      </c>
      <c r="L5736" s="12" t="inlineStr">
        <is>
          <t>3/C+G</t>
        </is>
      </c>
      <c r="M5736" s="12" t="inlineStr">
        <is>
          <t>350 kcmil</t>
        </is>
      </c>
      <c r="N5736" s="12" t="n">
        <v>1</v>
      </c>
      <c r="O5736" s="12" t="n">
        <v>1</v>
      </c>
      <c r="P5736" s="12" t="n">
        <v>480</v>
      </c>
      <c r="Q5736" s="12" t="n">
        <v>150</v>
      </c>
      <c r="R5736" s="12" t="n">
        <v>212.3</v>
      </c>
      <c r="S5736" s="12" t="inlineStr">
        <is>
          <t>Duct bank</t>
        </is>
      </c>
      <c r="T5736" s="17" t="n">
        <v>579</v>
      </c>
      <c r="U5736" s="17" t="n">
        <v>32</v>
      </c>
      <c r="V5736" s="17">
        <f>ROUNDUP((T5736+U5736+2*'Read Me'!$B$13)*(1+'Read Me'!$B$12),-1)</f>
        <v/>
      </c>
      <c r="W5736" s="17">
        <f>V5736*N5736*O5736</f>
        <v/>
      </c>
      <c r="X5736" s="12">
        <f>IF(LEFT(I5736,2)="MV",2*N5736*IF(L5736="1/C",O5736,1),0)</f>
        <v/>
      </c>
      <c r="Y5736" s="12">
        <f>IF(OR(LEFT(K5736,4)="LVAX",LEFT(K5736,6)="MV15AX",LEFT(K5736,4)="CTAX",LEFT(K5736,2)="W|"),2*N5736*O5736,0)</f>
        <v/>
      </c>
      <c r="Z5736" s="12" t="inlineStr">
        <is>
          <t>VD 1.9 %</t>
        </is>
      </c>
      <c r="AA5736" s="12">
        <f>N5736*O5736</f>
        <v/>
      </c>
    </row>
    <row r="5737">
      <c r="A5737" s="12" t="inlineStr">
        <is>
          <t>J-P-0004</t>
        </is>
      </c>
      <c r="B5737" s="12" t="inlineStr">
        <is>
          <t>J</t>
        </is>
      </c>
      <c r="C5737" s="12" t="inlineStr">
        <is>
          <t>GT inlet chilling</t>
        </is>
      </c>
      <c r="D5737" s="12" t="inlineStr">
        <is>
          <t>Motor 4 of 4, 150 kW</t>
        </is>
      </c>
      <c r="E5737" s="12" t="inlineStr"/>
      <c r="F5737" s="12" t="inlineStr">
        <is>
          <t>Inlet-chilling e-house / transformer</t>
        </is>
      </c>
      <c r="G5737" s="12" t="inlineStr"/>
      <c r="H5737" s="12" t="inlineStr">
        <is>
          <t>CHW pumps</t>
        </is>
      </c>
      <c r="I5737" s="12" t="inlineStr">
        <is>
          <t>LV 600 V</t>
        </is>
      </c>
      <c r="J5737" s="12" t="inlineStr">
        <is>
          <t>Type TC-ER 600 V 3/C Cu XHHW-2 + ground, PVC jacket</t>
        </is>
      </c>
      <c r="K5737" s="12" t="inlineStr">
        <is>
          <t>LV|3/C+G|350</t>
        </is>
      </c>
      <c r="L5737" s="12" t="inlineStr">
        <is>
          <t>3/C+G</t>
        </is>
      </c>
      <c r="M5737" s="12" t="inlineStr">
        <is>
          <t>350 kcmil</t>
        </is>
      </c>
      <c r="N5737" s="12" t="n">
        <v>1</v>
      </c>
      <c r="O5737" s="12" t="n">
        <v>1</v>
      </c>
      <c r="P5737" s="12" t="n">
        <v>480</v>
      </c>
      <c r="Q5737" s="12" t="n">
        <v>150</v>
      </c>
      <c r="R5737" s="12" t="n">
        <v>212.3</v>
      </c>
      <c r="S5737" s="12" t="inlineStr">
        <is>
          <t>Duct bank</t>
        </is>
      </c>
      <c r="T5737" s="17" t="n">
        <v>579</v>
      </c>
      <c r="U5737" s="17" t="n">
        <v>32</v>
      </c>
      <c r="V5737" s="17">
        <f>ROUNDUP((T5737+U5737+2*'Read Me'!$B$13)*(1+'Read Me'!$B$12),-1)</f>
        <v/>
      </c>
      <c r="W5737" s="17">
        <f>V5737*N5737*O5737</f>
        <v/>
      </c>
      <c r="X5737" s="12">
        <f>IF(LEFT(I5737,2)="MV",2*N5737*IF(L5737="1/C",O5737,1),0)</f>
        <v/>
      </c>
      <c r="Y5737" s="12">
        <f>IF(OR(LEFT(K5737,4)="LVAX",LEFT(K5737,6)="MV15AX",LEFT(K5737,4)="CTAX",LEFT(K5737,2)="W|"),2*N5737*O5737,0)</f>
        <v/>
      </c>
      <c r="Z5737" s="12" t="inlineStr">
        <is>
          <t>VD 1.9 %</t>
        </is>
      </c>
      <c r="AA5737" s="12">
        <f>N5737*O5737</f>
        <v/>
      </c>
    </row>
    <row r="5738">
      <c r="A5738" s="12" t="inlineStr">
        <is>
          <t>J-P-0005</t>
        </is>
      </c>
      <c r="B5738" s="12" t="inlineStr">
        <is>
          <t>J</t>
        </is>
      </c>
      <c r="C5738" s="12" t="inlineStr">
        <is>
          <t>GT inlet chilling</t>
        </is>
      </c>
      <c r="D5738" s="12" t="inlineStr">
        <is>
          <t>LV power feeder</t>
        </is>
      </c>
      <c r="E5738" s="12" t="inlineStr"/>
      <c r="F5738" s="12" t="inlineStr">
        <is>
          <t>Inlet-chilling e-house / transformer</t>
        </is>
      </c>
      <c r="G5738" s="12" t="inlineStr"/>
      <c r="H5738" s="12" t="inlineStr">
        <is>
          <t>CONDITIONAL: TES chilled-water tank</t>
        </is>
      </c>
      <c r="I5738" s="12" t="inlineStr">
        <is>
          <t>LV 600 V</t>
        </is>
      </c>
      <c r="J5738" s="12" t="inlineStr">
        <is>
          <t>Type TC-ER 600 V 3/C Cu XHHW-2 + ground, PVC jacket</t>
        </is>
      </c>
      <c r="K5738" s="12" t="inlineStr">
        <is>
          <t>LV|3/C+G|8</t>
        </is>
      </c>
      <c r="L5738" s="12" t="inlineStr">
        <is>
          <t>3/C+G</t>
        </is>
      </c>
      <c r="M5738" s="12" t="inlineStr">
        <is>
          <t>8</t>
        </is>
      </c>
      <c r="N5738" s="12" t="n">
        <v>1</v>
      </c>
      <c r="O5738" s="12" t="n">
        <v>1</v>
      </c>
      <c r="P5738" s="12" t="n">
        <v>480</v>
      </c>
      <c r="Q5738" s="12" t="n">
        <v>10</v>
      </c>
      <c r="R5738" s="12" t="n">
        <v>14.2</v>
      </c>
      <c r="S5738" s="12" t="inlineStr">
        <is>
          <t>Duct bank</t>
        </is>
      </c>
      <c r="T5738" s="17" t="n">
        <v>271</v>
      </c>
      <c r="U5738" s="17" t="n">
        <v>217</v>
      </c>
      <c r="V5738" s="17">
        <f>ROUNDUP((T5738+U5738+2*'Read Me'!$B$13)*(1+'Read Me'!$B$12),-1)</f>
        <v/>
      </c>
      <c r="W5738" s="17">
        <f>V5738*N5738*O5738</f>
        <v/>
      </c>
      <c r="X5738" s="12">
        <f>IF(LEFT(I5738,2)="MV",2*N5738*IF(L5738="1/C",O5738,1),0)</f>
        <v/>
      </c>
      <c r="Y5738" s="12">
        <f>IF(OR(LEFT(K5738,4)="LVAX",LEFT(K5738,6)="MV15AX",LEFT(K5738,4)="CTAX",LEFT(K5738,2)="W|"),2*N5738*O5738,0)</f>
        <v/>
      </c>
      <c r="Z5738" s="12" t="inlineStr">
        <is>
          <t>VD 2.1 %</t>
        </is>
      </c>
      <c r="AA5738" s="12">
        <f>N5738*O5738</f>
        <v/>
      </c>
    </row>
    <row r="5739">
      <c r="A5739" s="12" t="inlineStr">
        <is>
          <t>J-P-0006</t>
        </is>
      </c>
      <c r="B5739" s="12" t="inlineStr">
        <is>
          <t>J</t>
        </is>
      </c>
      <c r="C5739" s="12" t="inlineStr">
        <is>
          <t>GT inlet chilling</t>
        </is>
      </c>
      <c r="D5739" s="12" t="inlineStr">
        <is>
          <t>Motor 1 of 6, 7 kW</t>
        </is>
      </c>
      <c r="E5739" s="12" t="inlineStr"/>
      <c r="F5739" s="12" t="inlineStr">
        <is>
          <t>Inlet-chilling e-house / transformer</t>
        </is>
      </c>
      <c r="G5739" s="12" t="inlineStr"/>
      <c r="H5739" s="12" t="inlineStr">
        <is>
          <t>Chillers x6 (water-cooled)</t>
        </is>
      </c>
      <c r="I5739" s="12" t="inlineStr">
        <is>
          <t>LV 600 V</t>
        </is>
      </c>
      <c r="J5739" s="12" t="inlineStr">
        <is>
          <t>Type TC-ER 600 V 3/C Cu XHHW-2 + ground, PVC jacket</t>
        </is>
      </c>
      <c r="K5739" s="12" t="inlineStr">
        <is>
          <t>LV|3/C+G|10</t>
        </is>
      </c>
      <c r="L5739" s="12" t="inlineStr">
        <is>
          <t>3/C+G</t>
        </is>
      </c>
      <c r="M5739" s="12" t="inlineStr">
        <is>
          <t>10</t>
        </is>
      </c>
      <c r="N5739" s="12" t="n">
        <v>1</v>
      </c>
      <c r="O5739" s="12" t="n">
        <v>1</v>
      </c>
      <c r="P5739" s="12" t="n">
        <v>480</v>
      </c>
      <c r="Q5739" s="12" t="n">
        <v>7</v>
      </c>
      <c r="R5739" s="12" t="n">
        <v>9.9</v>
      </c>
      <c r="S5739" s="12" t="inlineStr">
        <is>
          <t>Duct bank</t>
        </is>
      </c>
      <c r="T5739" s="17" t="n">
        <v>10</v>
      </c>
      <c r="U5739" s="17" t="n">
        <v>32</v>
      </c>
      <c r="V5739" s="17">
        <f>ROUNDUP((T5739+U5739+2*'Read Me'!$B$13)*(1+'Read Me'!$B$12),-1)</f>
        <v/>
      </c>
      <c r="W5739" s="17">
        <f>V5739*N5739*O5739</f>
        <v/>
      </c>
      <c r="X5739" s="12">
        <f>IF(LEFT(I5739,2)="MV",2*N5739*IF(L5739="1/C",O5739,1),0)</f>
        <v/>
      </c>
      <c r="Y5739" s="12">
        <f>IF(OR(LEFT(K5739,4)="LVAX",LEFT(K5739,6)="MV15AX",LEFT(K5739,4)="CTAX",LEFT(K5739,2)="W|"),2*N5739*O5739,0)</f>
        <v/>
      </c>
      <c r="Z5739" s="12" t="inlineStr">
        <is>
          <t>VD 0.2 %</t>
        </is>
      </c>
      <c r="AA5739" s="12">
        <f>N5739*O5739</f>
        <v/>
      </c>
    </row>
    <row r="5740">
      <c r="A5740" s="12" t="inlineStr">
        <is>
          <t>J-P-0007</t>
        </is>
      </c>
      <c r="B5740" s="12" t="inlineStr">
        <is>
          <t>J</t>
        </is>
      </c>
      <c r="C5740" s="12" t="inlineStr">
        <is>
          <t>GT inlet chilling</t>
        </is>
      </c>
      <c r="D5740" s="12" t="inlineStr">
        <is>
          <t>Motor 2 of 6, 7 kW</t>
        </is>
      </c>
      <c r="E5740" s="12" t="inlineStr"/>
      <c r="F5740" s="12" t="inlineStr">
        <is>
          <t>Inlet-chilling e-house / transformer</t>
        </is>
      </c>
      <c r="G5740" s="12" t="inlineStr"/>
      <c r="H5740" s="12" t="inlineStr">
        <is>
          <t>Chillers x6 (water-cooled)</t>
        </is>
      </c>
      <c r="I5740" s="12" t="inlineStr">
        <is>
          <t>LV 600 V</t>
        </is>
      </c>
      <c r="J5740" s="12" t="inlineStr">
        <is>
          <t>Type TC-ER 600 V 3/C Cu XHHW-2 + ground, PVC jacket</t>
        </is>
      </c>
      <c r="K5740" s="12" t="inlineStr">
        <is>
          <t>LV|3/C+G|10</t>
        </is>
      </c>
      <c r="L5740" s="12" t="inlineStr">
        <is>
          <t>3/C+G</t>
        </is>
      </c>
      <c r="M5740" s="12" t="inlineStr">
        <is>
          <t>10</t>
        </is>
      </c>
      <c r="N5740" s="12" t="n">
        <v>1</v>
      </c>
      <c r="O5740" s="12" t="n">
        <v>1</v>
      </c>
      <c r="P5740" s="12" t="n">
        <v>480</v>
      </c>
      <c r="Q5740" s="12" t="n">
        <v>7</v>
      </c>
      <c r="R5740" s="12" t="n">
        <v>9.9</v>
      </c>
      <c r="S5740" s="12" t="inlineStr">
        <is>
          <t>Duct bank</t>
        </is>
      </c>
      <c r="T5740" s="17" t="n">
        <v>10</v>
      </c>
      <c r="U5740" s="17" t="n">
        <v>32</v>
      </c>
      <c r="V5740" s="17">
        <f>ROUNDUP((T5740+U5740+2*'Read Me'!$B$13)*(1+'Read Me'!$B$12),-1)</f>
        <v/>
      </c>
      <c r="W5740" s="17">
        <f>V5740*N5740*O5740</f>
        <v/>
      </c>
      <c r="X5740" s="12">
        <f>IF(LEFT(I5740,2)="MV",2*N5740*IF(L5740="1/C",O5740,1),0)</f>
        <v/>
      </c>
      <c r="Y5740" s="12">
        <f>IF(OR(LEFT(K5740,4)="LVAX",LEFT(K5740,6)="MV15AX",LEFT(K5740,4)="CTAX",LEFT(K5740,2)="W|"),2*N5740*O5740,0)</f>
        <v/>
      </c>
      <c r="Z5740" s="12" t="inlineStr">
        <is>
          <t>VD 0.2 %</t>
        </is>
      </c>
      <c r="AA5740" s="12">
        <f>N5740*O5740</f>
        <v/>
      </c>
    </row>
    <row r="5741">
      <c r="A5741" s="12" t="inlineStr">
        <is>
          <t>J-P-0008</t>
        </is>
      </c>
      <c r="B5741" s="12" t="inlineStr">
        <is>
          <t>J</t>
        </is>
      </c>
      <c r="C5741" s="12" t="inlineStr">
        <is>
          <t>GT inlet chilling</t>
        </is>
      </c>
      <c r="D5741" s="12" t="inlineStr">
        <is>
          <t>Motor 3 of 6, 7 kW</t>
        </is>
      </c>
      <c r="E5741" s="12" t="inlineStr"/>
      <c r="F5741" s="12" t="inlineStr">
        <is>
          <t>Inlet-chilling e-house / transformer</t>
        </is>
      </c>
      <c r="G5741" s="12" t="inlineStr"/>
      <c r="H5741" s="12" t="inlineStr">
        <is>
          <t>Chillers x6 (water-cooled)</t>
        </is>
      </c>
      <c r="I5741" s="12" t="inlineStr">
        <is>
          <t>LV 600 V</t>
        </is>
      </c>
      <c r="J5741" s="12" t="inlineStr">
        <is>
          <t>Type TC-ER 600 V 3/C Cu XHHW-2 + ground, PVC jacket</t>
        </is>
      </c>
      <c r="K5741" s="12" t="inlineStr">
        <is>
          <t>LV|3/C+G|10</t>
        </is>
      </c>
      <c r="L5741" s="12" t="inlineStr">
        <is>
          <t>3/C+G</t>
        </is>
      </c>
      <c r="M5741" s="12" t="inlineStr">
        <is>
          <t>10</t>
        </is>
      </c>
      <c r="N5741" s="12" t="n">
        <v>1</v>
      </c>
      <c r="O5741" s="12" t="n">
        <v>1</v>
      </c>
      <c r="P5741" s="12" t="n">
        <v>480</v>
      </c>
      <c r="Q5741" s="12" t="n">
        <v>7</v>
      </c>
      <c r="R5741" s="12" t="n">
        <v>9.9</v>
      </c>
      <c r="S5741" s="12" t="inlineStr">
        <is>
          <t>Duct bank</t>
        </is>
      </c>
      <c r="T5741" s="17" t="n">
        <v>10</v>
      </c>
      <c r="U5741" s="17" t="n">
        <v>32</v>
      </c>
      <c r="V5741" s="17">
        <f>ROUNDUP((T5741+U5741+2*'Read Me'!$B$13)*(1+'Read Me'!$B$12),-1)</f>
        <v/>
      </c>
      <c r="W5741" s="17">
        <f>V5741*N5741*O5741</f>
        <v/>
      </c>
      <c r="X5741" s="12">
        <f>IF(LEFT(I5741,2)="MV",2*N5741*IF(L5741="1/C",O5741,1),0)</f>
        <v/>
      </c>
      <c r="Y5741" s="12">
        <f>IF(OR(LEFT(K5741,4)="LVAX",LEFT(K5741,6)="MV15AX",LEFT(K5741,4)="CTAX",LEFT(K5741,2)="W|"),2*N5741*O5741,0)</f>
        <v/>
      </c>
      <c r="Z5741" s="12" t="inlineStr">
        <is>
          <t>VD 0.2 %</t>
        </is>
      </c>
      <c r="AA5741" s="12">
        <f>N5741*O5741</f>
        <v/>
      </c>
    </row>
    <row r="5742">
      <c r="A5742" s="12" t="inlineStr">
        <is>
          <t>J-P-0009</t>
        </is>
      </c>
      <c r="B5742" s="12" t="inlineStr">
        <is>
          <t>J</t>
        </is>
      </c>
      <c r="C5742" s="12" t="inlineStr">
        <is>
          <t>GT inlet chilling</t>
        </is>
      </c>
      <c r="D5742" s="12" t="inlineStr">
        <is>
          <t>Motor 4 of 6, 7 kW</t>
        </is>
      </c>
      <c r="E5742" s="12" t="inlineStr"/>
      <c r="F5742" s="12" t="inlineStr">
        <is>
          <t>Inlet-chilling e-house / transformer</t>
        </is>
      </c>
      <c r="G5742" s="12" t="inlineStr"/>
      <c r="H5742" s="12" t="inlineStr">
        <is>
          <t>Chillers x6 (water-cooled)</t>
        </is>
      </c>
      <c r="I5742" s="12" t="inlineStr">
        <is>
          <t>LV 600 V</t>
        </is>
      </c>
      <c r="J5742" s="12" t="inlineStr">
        <is>
          <t>Type TC-ER 600 V 3/C Cu XHHW-2 + ground, PVC jacket</t>
        </is>
      </c>
      <c r="K5742" s="12" t="inlineStr">
        <is>
          <t>LV|3/C+G|10</t>
        </is>
      </c>
      <c r="L5742" s="12" t="inlineStr">
        <is>
          <t>3/C+G</t>
        </is>
      </c>
      <c r="M5742" s="12" t="inlineStr">
        <is>
          <t>10</t>
        </is>
      </c>
      <c r="N5742" s="12" t="n">
        <v>1</v>
      </c>
      <c r="O5742" s="12" t="n">
        <v>1</v>
      </c>
      <c r="P5742" s="12" t="n">
        <v>480</v>
      </c>
      <c r="Q5742" s="12" t="n">
        <v>7</v>
      </c>
      <c r="R5742" s="12" t="n">
        <v>9.9</v>
      </c>
      <c r="S5742" s="12" t="inlineStr">
        <is>
          <t>Duct bank</t>
        </is>
      </c>
      <c r="T5742" s="17" t="n">
        <v>10</v>
      </c>
      <c r="U5742" s="17" t="n">
        <v>32</v>
      </c>
      <c r="V5742" s="17">
        <f>ROUNDUP((T5742+U5742+2*'Read Me'!$B$13)*(1+'Read Me'!$B$12),-1)</f>
        <v/>
      </c>
      <c r="W5742" s="17">
        <f>V5742*N5742*O5742</f>
        <v/>
      </c>
      <c r="X5742" s="12">
        <f>IF(LEFT(I5742,2)="MV",2*N5742*IF(L5742="1/C",O5742,1),0)</f>
        <v/>
      </c>
      <c r="Y5742" s="12">
        <f>IF(OR(LEFT(K5742,4)="LVAX",LEFT(K5742,6)="MV15AX",LEFT(K5742,4)="CTAX",LEFT(K5742,2)="W|"),2*N5742*O5742,0)</f>
        <v/>
      </c>
      <c r="Z5742" s="12" t="inlineStr">
        <is>
          <t>VD 0.2 %</t>
        </is>
      </c>
      <c r="AA5742" s="12">
        <f>N5742*O5742</f>
        <v/>
      </c>
    </row>
    <row r="5743">
      <c r="A5743" s="12" t="inlineStr">
        <is>
          <t>J-P-0010</t>
        </is>
      </c>
      <c r="B5743" s="12" t="inlineStr">
        <is>
          <t>J</t>
        </is>
      </c>
      <c r="C5743" s="12" t="inlineStr">
        <is>
          <t>GT inlet chilling</t>
        </is>
      </c>
      <c r="D5743" s="12" t="inlineStr">
        <is>
          <t>Motor 5 of 6, 7 kW</t>
        </is>
      </c>
      <c r="E5743" s="12" t="inlineStr"/>
      <c r="F5743" s="12" t="inlineStr">
        <is>
          <t>Inlet-chilling e-house / transformer</t>
        </is>
      </c>
      <c r="G5743" s="12" t="inlineStr"/>
      <c r="H5743" s="12" t="inlineStr">
        <is>
          <t>Chillers x6 (water-cooled)</t>
        </is>
      </c>
      <c r="I5743" s="12" t="inlineStr">
        <is>
          <t>LV 600 V</t>
        </is>
      </c>
      <c r="J5743" s="12" t="inlineStr">
        <is>
          <t>Type TC-ER 600 V 3/C Cu XHHW-2 + ground, PVC jacket</t>
        </is>
      </c>
      <c r="K5743" s="12" t="inlineStr">
        <is>
          <t>LV|3/C+G|10</t>
        </is>
      </c>
      <c r="L5743" s="12" t="inlineStr">
        <is>
          <t>3/C+G</t>
        </is>
      </c>
      <c r="M5743" s="12" t="inlineStr">
        <is>
          <t>10</t>
        </is>
      </c>
      <c r="N5743" s="12" t="n">
        <v>1</v>
      </c>
      <c r="O5743" s="12" t="n">
        <v>1</v>
      </c>
      <c r="P5743" s="12" t="n">
        <v>480</v>
      </c>
      <c r="Q5743" s="12" t="n">
        <v>7</v>
      </c>
      <c r="R5743" s="12" t="n">
        <v>9.9</v>
      </c>
      <c r="S5743" s="12" t="inlineStr">
        <is>
          <t>Duct bank</t>
        </is>
      </c>
      <c r="T5743" s="17" t="n">
        <v>10</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is>
          <t>VD 0.2 %</t>
        </is>
      </c>
      <c r="AA5743" s="12">
        <f>N5743*O5743</f>
        <v/>
      </c>
    </row>
    <row r="5744">
      <c r="A5744" s="12" t="inlineStr">
        <is>
          <t>J-P-0011</t>
        </is>
      </c>
      <c r="B5744" s="12" t="inlineStr">
        <is>
          <t>J</t>
        </is>
      </c>
      <c r="C5744" s="12" t="inlineStr">
        <is>
          <t>GT inlet chilling</t>
        </is>
      </c>
      <c r="D5744" s="12" t="inlineStr">
        <is>
          <t>Motor 6 of 6, 7 kW</t>
        </is>
      </c>
      <c r="E5744" s="12" t="inlineStr"/>
      <c r="F5744" s="12" t="inlineStr">
        <is>
          <t>Inlet-chilling e-house / transformer</t>
        </is>
      </c>
      <c r="G5744" s="12" t="inlineStr"/>
      <c r="H5744" s="12" t="inlineStr">
        <is>
          <t>Chillers x6 (water-cooled)</t>
        </is>
      </c>
      <c r="I5744" s="12" t="inlineStr">
        <is>
          <t>LV 600 V</t>
        </is>
      </c>
      <c r="J5744" s="12" t="inlineStr">
        <is>
          <t>Type TC-ER 600 V 3/C Cu XHHW-2 + ground, PVC jacket</t>
        </is>
      </c>
      <c r="K5744" s="12" t="inlineStr">
        <is>
          <t>LV|3/C+G|10</t>
        </is>
      </c>
      <c r="L5744" s="12" t="inlineStr">
        <is>
          <t>3/C+G</t>
        </is>
      </c>
      <c r="M5744" s="12" t="inlineStr">
        <is>
          <t>10</t>
        </is>
      </c>
      <c r="N5744" s="12" t="n">
        <v>1</v>
      </c>
      <c r="O5744" s="12" t="n">
        <v>1</v>
      </c>
      <c r="P5744" s="12" t="n">
        <v>480</v>
      </c>
      <c r="Q5744" s="12" t="n">
        <v>7</v>
      </c>
      <c r="R5744" s="12" t="n">
        <v>9.9</v>
      </c>
      <c r="S5744" s="12" t="inlineStr">
        <is>
          <t>Duct bank</t>
        </is>
      </c>
      <c r="T5744" s="17" t="n">
        <v>10</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is>
          <t>VD 0.2 %</t>
        </is>
      </c>
      <c r="AA5744" s="12">
        <f>N5744*O5744</f>
        <v/>
      </c>
    </row>
    <row r="5745">
      <c r="A5745" s="12" t="inlineStr">
        <is>
          <t>J-P-0012</t>
        </is>
      </c>
      <c r="B5745" s="12" t="inlineStr">
        <is>
          <t>J</t>
        </is>
      </c>
      <c r="C5745" s="12" t="inlineStr">
        <is>
          <t>GT inlet chilling</t>
        </is>
      </c>
      <c r="D5745" s="12" t="inlineStr">
        <is>
          <t>Motor 1 of 12, 75 kW (VFD output)</t>
        </is>
      </c>
      <c r="E5745" s="12" t="inlineStr"/>
      <c r="F5745" s="12" t="inlineStr">
        <is>
          <t>Inlet-chilling e-house / transformer</t>
        </is>
      </c>
      <c r="G5745" s="12" t="inlineStr"/>
      <c r="H5745" s="12" t="inlineStr">
        <is>
          <t>Inlet-chilling tower (12 cells): chiller heat rejection</t>
        </is>
      </c>
      <c r="I5745" s="12" t="inlineStr">
        <is>
          <t>LV 600 V</t>
        </is>
      </c>
      <c r="J5745" s="12" t="inlineStr">
        <is>
          <t>VFD cable 600 V 3/C Cu XHHW-2, 3 symmetrical grounds, overall Cu tape shield, TC-ER</t>
        </is>
      </c>
      <c r="K5745" s="12" t="inlineStr">
        <is>
          <t>VFD|3/C+3G|2/0</t>
        </is>
      </c>
      <c r="L5745" s="12" t="inlineStr">
        <is>
          <t>3/C+3G</t>
        </is>
      </c>
      <c r="M5745" s="12" t="inlineStr">
        <is>
          <t>2/0</t>
        </is>
      </c>
      <c r="N5745" s="12" t="n">
        <v>1</v>
      </c>
      <c r="O5745" s="12" t="n">
        <v>1</v>
      </c>
      <c r="P5745" s="12" t="n">
        <v>480</v>
      </c>
      <c r="Q5745" s="12" t="n">
        <v>75</v>
      </c>
      <c r="R5745" s="12" t="n">
        <v>106</v>
      </c>
      <c r="S5745" s="12" t="inlineStr">
        <is>
          <t>Duct bank</t>
        </is>
      </c>
      <c r="T5745" s="17" t="n">
        <v>683</v>
      </c>
      <c r="U5745" s="17" t="n">
        <v>38</v>
      </c>
      <c r="V5745" s="17">
        <f>ROUNDUP((T5745+U5745+2*'Read Me'!$B$13)*(1+'Read Me'!$B$12),-1)</f>
        <v/>
      </c>
      <c r="W5745" s="17">
        <f>V5745*N5745*O5745</f>
        <v/>
      </c>
      <c r="X5745" s="12">
        <f>IF(LEFT(I5745,2)="MV",2*N5745*IF(L5745="1/C",O5745,1),0)</f>
        <v/>
      </c>
      <c r="Y5745" s="12">
        <f>IF(OR(LEFT(K5745,4)="LVAX",LEFT(K5745,6)="MV15AX",LEFT(K5745,4)="CTAX",LEFT(K5745,2)="W|"),2*N5745*O5745,0)</f>
        <v/>
      </c>
      <c r="Z5745" s="12" t="inlineStr">
        <is>
          <t>VD 2.9 %</t>
        </is>
      </c>
      <c r="AA5745" s="12">
        <f>N5745*O5745</f>
        <v/>
      </c>
    </row>
    <row r="5746">
      <c r="A5746" s="12" t="inlineStr">
        <is>
          <t>J-P-0013</t>
        </is>
      </c>
      <c r="B5746" s="12" t="inlineStr">
        <is>
          <t>J</t>
        </is>
      </c>
      <c r="C5746" s="12" t="inlineStr">
        <is>
          <t>GT inlet chilling</t>
        </is>
      </c>
      <c r="D5746" s="12" t="inlineStr">
        <is>
          <t>Motor 2 of 12, 75 kW (VFD output)</t>
        </is>
      </c>
      <c r="E5746" s="12" t="inlineStr"/>
      <c r="F5746" s="12" t="inlineStr">
        <is>
          <t>Inlet-chilling e-house / transformer</t>
        </is>
      </c>
      <c r="G5746" s="12" t="inlineStr"/>
      <c r="H5746" s="12" t="inlineStr">
        <is>
          <t>Inlet-chilling tower (12 cells): chiller heat rejection</t>
        </is>
      </c>
      <c r="I5746" s="12" t="inlineStr">
        <is>
          <t>LV 600 V</t>
        </is>
      </c>
      <c r="J5746" s="12" t="inlineStr">
        <is>
          <t>VFD cable 600 V 3/C Cu XHHW-2, 3 symmetrical grounds, overall Cu tape shield, TC-ER</t>
        </is>
      </c>
      <c r="K5746" s="12" t="inlineStr">
        <is>
          <t>VFD|3/C+3G|2/0</t>
        </is>
      </c>
      <c r="L5746" s="12" t="inlineStr">
        <is>
          <t>3/C+3G</t>
        </is>
      </c>
      <c r="M5746" s="12" t="inlineStr">
        <is>
          <t>2/0</t>
        </is>
      </c>
      <c r="N5746" s="12" t="n">
        <v>1</v>
      </c>
      <c r="O5746" s="12" t="n">
        <v>1</v>
      </c>
      <c r="P5746" s="12" t="n">
        <v>480</v>
      </c>
      <c r="Q5746" s="12" t="n">
        <v>75</v>
      </c>
      <c r="R5746" s="12" t="n">
        <v>106</v>
      </c>
      <c r="S5746" s="12" t="inlineStr">
        <is>
          <t>Duct bank</t>
        </is>
      </c>
      <c r="T5746" s="17" t="n">
        <v>683</v>
      </c>
      <c r="U5746" s="17" t="n">
        <v>38</v>
      </c>
      <c r="V5746" s="17">
        <f>ROUNDUP((T5746+U5746+2*'Read Me'!$B$13)*(1+'Read Me'!$B$12),-1)</f>
        <v/>
      </c>
      <c r="W5746" s="17">
        <f>V5746*N5746*O5746</f>
        <v/>
      </c>
      <c r="X5746" s="12">
        <f>IF(LEFT(I5746,2)="MV",2*N5746*IF(L5746="1/C",O5746,1),0)</f>
        <v/>
      </c>
      <c r="Y5746" s="12">
        <f>IF(OR(LEFT(K5746,4)="LVAX",LEFT(K5746,6)="MV15AX",LEFT(K5746,4)="CTAX",LEFT(K5746,2)="W|"),2*N5746*O5746,0)</f>
        <v/>
      </c>
      <c r="Z5746" s="12" t="inlineStr">
        <is>
          <t>VD 2.9 %</t>
        </is>
      </c>
      <c r="AA5746" s="12">
        <f>N5746*O5746</f>
        <v/>
      </c>
    </row>
    <row r="5747">
      <c r="A5747" s="12" t="inlineStr">
        <is>
          <t>J-P-0014</t>
        </is>
      </c>
      <c r="B5747" s="12" t="inlineStr">
        <is>
          <t>J</t>
        </is>
      </c>
      <c r="C5747" s="12" t="inlineStr">
        <is>
          <t>GT inlet chilling</t>
        </is>
      </c>
      <c r="D5747" s="12" t="inlineStr">
        <is>
          <t>Motor 3 of 12, 75 kW (VFD output)</t>
        </is>
      </c>
      <c r="E5747" s="12" t="inlineStr"/>
      <c r="F5747" s="12" t="inlineStr">
        <is>
          <t>Inlet-chilling e-house / transformer</t>
        </is>
      </c>
      <c r="G5747" s="12" t="inlineStr"/>
      <c r="H5747" s="12" t="inlineStr">
        <is>
          <t>Inlet-chilling tower (12 cells): chiller heat rejection</t>
        </is>
      </c>
      <c r="I5747" s="12" t="inlineStr">
        <is>
          <t>LV 600 V</t>
        </is>
      </c>
      <c r="J5747" s="12" t="inlineStr">
        <is>
          <t>VFD cable 600 V 3/C Cu XHHW-2, 3 symmetrical grounds, overall Cu tape shield, TC-ER</t>
        </is>
      </c>
      <c r="K5747" s="12" t="inlineStr">
        <is>
          <t>VFD|3/C+3G|2/0</t>
        </is>
      </c>
      <c r="L5747" s="12" t="inlineStr">
        <is>
          <t>3/C+3G</t>
        </is>
      </c>
      <c r="M5747" s="12" t="inlineStr">
        <is>
          <t>2/0</t>
        </is>
      </c>
      <c r="N5747" s="12" t="n">
        <v>1</v>
      </c>
      <c r="O5747" s="12" t="n">
        <v>1</v>
      </c>
      <c r="P5747" s="12" t="n">
        <v>480</v>
      </c>
      <c r="Q5747" s="12" t="n">
        <v>75</v>
      </c>
      <c r="R5747" s="12" t="n">
        <v>106</v>
      </c>
      <c r="S5747" s="12" t="inlineStr">
        <is>
          <t>Duct bank</t>
        </is>
      </c>
      <c r="T5747" s="17" t="n">
        <v>683</v>
      </c>
      <c r="U5747" s="17" t="n">
        <v>38</v>
      </c>
      <c r="V5747" s="17">
        <f>ROUNDUP((T5747+U5747+2*'Read Me'!$B$13)*(1+'Read Me'!$B$12),-1)</f>
        <v/>
      </c>
      <c r="W5747" s="17">
        <f>V5747*N5747*O5747</f>
        <v/>
      </c>
      <c r="X5747" s="12">
        <f>IF(LEFT(I5747,2)="MV",2*N5747*IF(L5747="1/C",O5747,1),0)</f>
        <v/>
      </c>
      <c r="Y5747" s="12">
        <f>IF(OR(LEFT(K5747,4)="LVAX",LEFT(K5747,6)="MV15AX",LEFT(K5747,4)="CTAX",LEFT(K5747,2)="W|"),2*N5747*O5747,0)</f>
        <v/>
      </c>
      <c r="Z5747" s="12" t="inlineStr">
        <is>
          <t>VD 2.9 %</t>
        </is>
      </c>
      <c r="AA5747" s="12">
        <f>N5747*O5747</f>
        <v/>
      </c>
    </row>
    <row r="5748">
      <c r="A5748" s="12" t="inlineStr">
        <is>
          <t>J-P-0015</t>
        </is>
      </c>
      <c r="B5748" s="12" t="inlineStr">
        <is>
          <t>J</t>
        </is>
      </c>
      <c r="C5748" s="12" t="inlineStr">
        <is>
          <t>GT inlet chilling</t>
        </is>
      </c>
      <c r="D5748" s="12" t="inlineStr">
        <is>
          <t>Motor 4 of 12, 75 kW (VFD output)</t>
        </is>
      </c>
      <c r="E5748" s="12" t="inlineStr"/>
      <c r="F5748" s="12" t="inlineStr">
        <is>
          <t>Inlet-chilling e-house / transformer</t>
        </is>
      </c>
      <c r="G5748" s="12" t="inlineStr"/>
      <c r="H5748" s="12" t="inlineStr">
        <is>
          <t>Inlet-chilling tower (12 cells): chiller heat rejection</t>
        </is>
      </c>
      <c r="I5748" s="12" t="inlineStr">
        <is>
          <t>LV 600 V</t>
        </is>
      </c>
      <c r="J5748" s="12" t="inlineStr">
        <is>
          <t>VFD cable 600 V 3/C Cu XHHW-2, 3 symmetrical grounds, overall Cu tape shield, TC-ER</t>
        </is>
      </c>
      <c r="K5748" s="12" t="inlineStr">
        <is>
          <t>VFD|3/C+3G|2/0</t>
        </is>
      </c>
      <c r="L5748" s="12" t="inlineStr">
        <is>
          <t>3/C+3G</t>
        </is>
      </c>
      <c r="M5748" s="12" t="inlineStr">
        <is>
          <t>2/0</t>
        </is>
      </c>
      <c r="N5748" s="12" t="n">
        <v>1</v>
      </c>
      <c r="O5748" s="12" t="n">
        <v>1</v>
      </c>
      <c r="P5748" s="12" t="n">
        <v>480</v>
      </c>
      <c r="Q5748" s="12" t="n">
        <v>75</v>
      </c>
      <c r="R5748" s="12" t="n">
        <v>106</v>
      </c>
      <c r="S5748" s="12" t="inlineStr">
        <is>
          <t>Duct bank</t>
        </is>
      </c>
      <c r="T5748" s="17" t="n">
        <v>683</v>
      </c>
      <c r="U5748" s="17" t="n">
        <v>38</v>
      </c>
      <c r="V5748" s="17">
        <f>ROUNDUP((T5748+U5748+2*'Read Me'!$B$13)*(1+'Read Me'!$B$12),-1)</f>
        <v/>
      </c>
      <c r="W5748" s="17">
        <f>V5748*N5748*O5748</f>
        <v/>
      </c>
      <c r="X5748" s="12">
        <f>IF(LEFT(I5748,2)="MV",2*N5748*IF(L5748="1/C",O5748,1),0)</f>
        <v/>
      </c>
      <c r="Y5748" s="12">
        <f>IF(OR(LEFT(K5748,4)="LVAX",LEFT(K5748,6)="MV15AX",LEFT(K5748,4)="CTAX",LEFT(K5748,2)="W|"),2*N5748*O5748,0)</f>
        <v/>
      </c>
      <c r="Z5748" s="12" t="inlineStr">
        <is>
          <t>VD 2.9 %</t>
        </is>
      </c>
      <c r="AA5748" s="12">
        <f>N5748*O5748</f>
        <v/>
      </c>
    </row>
    <row r="5749">
      <c r="A5749" s="12" t="inlineStr">
        <is>
          <t>J-P-0016</t>
        </is>
      </c>
      <c r="B5749" s="12" t="inlineStr">
        <is>
          <t>J</t>
        </is>
      </c>
      <c r="C5749" s="12" t="inlineStr">
        <is>
          <t>GT inlet chilling</t>
        </is>
      </c>
      <c r="D5749" s="12" t="inlineStr">
        <is>
          <t>Motor 5 of 12, 75 kW (VFD output)</t>
        </is>
      </c>
      <c r="E5749" s="12" t="inlineStr"/>
      <c r="F5749" s="12" t="inlineStr">
        <is>
          <t>Inlet-chilling e-house / transformer</t>
        </is>
      </c>
      <c r="G5749" s="12" t="inlineStr"/>
      <c r="H5749" s="12" t="inlineStr">
        <is>
          <t>Inlet-chilling tower (12 cells): chiller heat rejection</t>
        </is>
      </c>
      <c r="I5749" s="12" t="inlineStr">
        <is>
          <t>LV 600 V</t>
        </is>
      </c>
      <c r="J5749" s="12" t="inlineStr">
        <is>
          <t>VFD cable 600 V 3/C Cu XHHW-2, 3 symmetrical grounds, overall Cu tape shield, TC-ER</t>
        </is>
      </c>
      <c r="K5749" s="12" t="inlineStr">
        <is>
          <t>VFD|3/C+3G|2/0</t>
        </is>
      </c>
      <c r="L5749" s="12" t="inlineStr">
        <is>
          <t>3/C+3G</t>
        </is>
      </c>
      <c r="M5749" s="12" t="inlineStr">
        <is>
          <t>2/0</t>
        </is>
      </c>
      <c r="N5749" s="12" t="n">
        <v>1</v>
      </c>
      <c r="O5749" s="12" t="n">
        <v>1</v>
      </c>
      <c r="P5749" s="12" t="n">
        <v>480</v>
      </c>
      <c r="Q5749" s="12" t="n">
        <v>75</v>
      </c>
      <c r="R5749" s="12" t="n">
        <v>106</v>
      </c>
      <c r="S5749" s="12" t="inlineStr">
        <is>
          <t>Duct bank</t>
        </is>
      </c>
      <c r="T5749" s="17" t="n">
        <v>683</v>
      </c>
      <c r="U5749" s="17" t="n">
        <v>38</v>
      </c>
      <c r="V5749" s="17">
        <f>ROUNDUP((T5749+U5749+2*'Read Me'!$B$13)*(1+'Read Me'!$B$12),-1)</f>
        <v/>
      </c>
      <c r="W5749" s="17">
        <f>V5749*N5749*O5749</f>
        <v/>
      </c>
      <c r="X5749" s="12">
        <f>IF(LEFT(I5749,2)="MV",2*N5749*IF(L5749="1/C",O5749,1),0)</f>
        <v/>
      </c>
      <c r="Y5749" s="12">
        <f>IF(OR(LEFT(K5749,4)="LVAX",LEFT(K5749,6)="MV15AX",LEFT(K5749,4)="CTAX",LEFT(K5749,2)="W|"),2*N5749*O5749,0)</f>
        <v/>
      </c>
      <c r="Z5749" s="12" t="inlineStr">
        <is>
          <t>VD 2.9 %</t>
        </is>
      </c>
      <c r="AA5749" s="12">
        <f>N5749*O5749</f>
        <v/>
      </c>
    </row>
    <row r="5750">
      <c r="A5750" s="12" t="inlineStr">
        <is>
          <t>J-P-0017</t>
        </is>
      </c>
      <c r="B5750" s="12" t="inlineStr">
        <is>
          <t>J</t>
        </is>
      </c>
      <c r="C5750" s="12" t="inlineStr">
        <is>
          <t>GT inlet chilling</t>
        </is>
      </c>
      <c r="D5750" s="12" t="inlineStr">
        <is>
          <t>Motor 6 of 12, 75 kW (VFD output)</t>
        </is>
      </c>
      <c r="E5750" s="12" t="inlineStr"/>
      <c r="F5750" s="12" t="inlineStr">
        <is>
          <t>Inlet-chilling e-house / transformer</t>
        </is>
      </c>
      <c r="G5750" s="12" t="inlineStr"/>
      <c r="H5750" s="12" t="inlineStr">
        <is>
          <t>Inlet-chilling tower (12 cells): chiller heat rejection</t>
        </is>
      </c>
      <c r="I5750" s="12" t="inlineStr">
        <is>
          <t>LV 600 V</t>
        </is>
      </c>
      <c r="J5750" s="12" t="inlineStr">
        <is>
          <t>VFD cable 600 V 3/C Cu XHHW-2, 3 symmetrical grounds, overall Cu tape shield, TC-ER</t>
        </is>
      </c>
      <c r="K5750" s="12" t="inlineStr">
        <is>
          <t>VFD|3/C+3G|2/0</t>
        </is>
      </c>
      <c r="L5750" s="12" t="inlineStr">
        <is>
          <t>3/C+3G</t>
        </is>
      </c>
      <c r="M5750" s="12" t="inlineStr">
        <is>
          <t>2/0</t>
        </is>
      </c>
      <c r="N5750" s="12" t="n">
        <v>1</v>
      </c>
      <c r="O5750" s="12" t="n">
        <v>1</v>
      </c>
      <c r="P5750" s="12" t="n">
        <v>480</v>
      </c>
      <c r="Q5750" s="12" t="n">
        <v>75</v>
      </c>
      <c r="R5750" s="12" t="n">
        <v>106</v>
      </c>
      <c r="S5750" s="12" t="inlineStr">
        <is>
          <t>Duct bank</t>
        </is>
      </c>
      <c r="T5750" s="17" t="n">
        <v>683</v>
      </c>
      <c r="U5750" s="17" t="n">
        <v>38</v>
      </c>
      <c r="V5750" s="17">
        <f>ROUNDUP((T5750+U5750+2*'Read Me'!$B$13)*(1+'Read Me'!$B$12),-1)</f>
        <v/>
      </c>
      <c r="W5750" s="17">
        <f>V5750*N5750*O5750</f>
        <v/>
      </c>
      <c r="X5750" s="12">
        <f>IF(LEFT(I5750,2)="MV",2*N5750*IF(L5750="1/C",O5750,1),0)</f>
        <v/>
      </c>
      <c r="Y5750" s="12">
        <f>IF(OR(LEFT(K5750,4)="LVAX",LEFT(K5750,6)="MV15AX",LEFT(K5750,4)="CTAX",LEFT(K5750,2)="W|"),2*N5750*O5750,0)</f>
        <v/>
      </c>
      <c r="Z5750" s="12" t="inlineStr">
        <is>
          <t>VD 2.9 %</t>
        </is>
      </c>
      <c r="AA5750" s="12">
        <f>N5750*O5750</f>
        <v/>
      </c>
    </row>
    <row r="5751">
      <c r="A5751" s="12" t="inlineStr">
        <is>
          <t>J-P-0018</t>
        </is>
      </c>
      <c r="B5751" s="12" t="inlineStr">
        <is>
          <t>J</t>
        </is>
      </c>
      <c r="C5751" s="12" t="inlineStr">
        <is>
          <t>GT inlet chilling</t>
        </is>
      </c>
      <c r="D5751" s="12" t="inlineStr">
        <is>
          <t>Motor 7 of 12, 75 kW (VFD output)</t>
        </is>
      </c>
      <c r="E5751" s="12" t="inlineStr"/>
      <c r="F5751" s="12" t="inlineStr">
        <is>
          <t>Inlet-chilling e-house / transformer</t>
        </is>
      </c>
      <c r="G5751" s="12" t="inlineStr"/>
      <c r="H5751" s="12" t="inlineStr">
        <is>
          <t>Inlet-chilling tower (12 cells): chiller heat rejection</t>
        </is>
      </c>
      <c r="I5751" s="12" t="inlineStr">
        <is>
          <t>LV 600 V</t>
        </is>
      </c>
      <c r="J5751" s="12" t="inlineStr">
        <is>
          <t>VFD cable 600 V 3/C Cu XHHW-2, 3 symmetrical grounds, overall Cu tape shield, TC-ER</t>
        </is>
      </c>
      <c r="K5751" s="12" t="inlineStr">
        <is>
          <t>VFD|3/C+3G|2/0</t>
        </is>
      </c>
      <c r="L5751" s="12" t="inlineStr">
        <is>
          <t>3/C+3G</t>
        </is>
      </c>
      <c r="M5751" s="12" t="inlineStr">
        <is>
          <t>2/0</t>
        </is>
      </c>
      <c r="N5751" s="12" t="n">
        <v>1</v>
      </c>
      <c r="O5751" s="12" t="n">
        <v>1</v>
      </c>
      <c r="P5751" s="12" t="n">
        <v>480</v>
      </c>
      <c r="Q5751" s="12" t="n">
        <v>75</v>
      </c>
      <c r="R5751" s="12" t="n">
        <v>106</v>
      </c>
      <c r="S5751" s="12" t="inlineStr">
        <is>
          <t>Duct bank</t>
        </is>
      </c>
      <c r="T5751" s="17" t="n">
        <v>683</v>
      </c>
      <c r="U5751" s="17" t="n">
        <v>38</v>
      </c>
      <c r="V5751" s="17">
        <f>ROUNDUP((T5751+U5751+2*'Read Me'!$B$13)*(1+'Read Me'!$B$12),-1)</f>
        <v/>
      </c>
      <c r="W5751" s="17">
        <f>V5751*N5751*O5751</f>
        <v/>
      </c>
      <c r="X5751" s="12">
        <f>IF(LEFT(I5751,2)="MV",2*N5751*IF(L5751="1/C",O5751,1),0)</f>
        <v/>
      </c>
      <c r="Y5751" s="12">
        <f>IF(OR(LEFT(K5751,4)="LVAX",LEFT(K5751,6)="MV15AX",LEFT(K5751,4)="CTAX",LEFT(K5751,2)="W|"),2*N5751*O5751,0)</f>
        <v/>
      </c>
      <c r="Z5751" s="12" t="inlineStr">
        <is>
          <t>VD 2.9 %</t>
        </is>
      </c>
      <c r="AA5751" s="12">
        <f>N5751*O5751</f>
        <v/>
      </c>
    </row>
    <row r="5752">
      <c r="A5752" s="12" t="inlineStr">
        <is>
          <t>J-P-0019</t>
        </is>
      </c>
      <c r="B5752" s="12" t="inlineStr">
        <is>
          <t>J</t>
        </is>
      </c>
      <c r="C5752" s="12" t="inlineStr">
        <is>
          <t>GT inlet chilling</t>
        </is>
      </c>
      <c r="D5752" s="12" t="inlineStr">
        <is>
          <t>Motor 8 of 12, 75 kW (VFD output)</t>
        </is>
      </c>
      <c r="E5752" s="12" t="inlineStr"/>
      <c r="F5752" s="12" t="inlineStr">
        <is>
          <t>Inlet-chilling e-house / transformer</t>
        </is>
      </c>
      <c r="G5752" s="12" t="inlineStr"/>
      <c r="H5752" s="12" t="inlineStr">
        <is>
          <t>Inlet-chilling tower (12 cells): chiller heat rejection</t>
        </is>
      </c>
      <c r="I5752" s="12" t="inlineStr">
        <is>
          <t>LV 600 V</t>
        </is>
      </c>
      <c r="J5752" s="12" t="inlineStr">
        <is>
          <t>VFD cable 600 V 3/C Cu XHHW-2, 3 symmetrical grounds, overall Cu tape shield, TC-ER</t>
        </is>
      </c>
      <c r="K5752" s="12" t="inlineStr">
        <is>
          <t>VFD|3/C+3G|2/0</t>
        </is>
      </c>
      <c r="L5752" s="12" t="inlineStr">
        <is>
          <t>3/C+3G</t>
        </is>
      </c>
      <c r="M5752" s="12" t="inlineStr">
        <is>
          <t>2/0</t>
        </is>
      </c>
      <c r="N5752" s="12" t="n">
        <v>1</v>
      </c>
      <c r="O5752" s="12" t="n">
        <v>1</v>
      </c>
      <c r="P5752" s="12" t="n">
        <v>480</v>
      </c>
      <c r="Q5752" s="12" t="n">
        <v>75</v>
      </c>
      <c r="R5752" s="12" t="n">
        <v>106</v>
      </c>
      <c r="S5752" s="12" t="inlineStr">
        <is>
          <t>Duct bank</t>
        </is>
      </c>
      <c r="T5752" s="17" t="n">
        <v>683</v>
      </c>
      <c r="U5752" s="17" t="n">
        <v>38</v>
      </c>
      <c r="V5752" s="17">
        <f>ROUNDUP((T5752+U5752+2*'Read Me'!$B$13)*(1+'Read Me'!$B$12),-1)</f>
        <v/>
      </c>
      <c r="W5752" s="17">
        <f>V5752*N5752*O5752</f>
        <v/>
      </c>
      <c r="X5752" s="12">
        <f>IF(LEFT(I5752,2)="MV",2*N5752*IF(L5752="1/C",O5752,1),0)</f>
        <v/>
      </c>
      <c r="Y5752" s="12">
        <f>IF(OR(LEFT(K5752,4)="LVAX",LEFT(K5752,6)="MV15AX",LEFT(K5752,4)="CTAX",LEFT(K5752,2)="W|"),2*N5752*O5752,0)</f>
        <v/>
      </c>
      <c r="Z5752" s="12" t="inlineStr">
        <is>
          <t>VD 2.9 %</t>
        </is>
      </c>
      <c r="AA5752" s="12">
        <f>N5752*O5752</f>
        <v/>
      </c>
    </row>
    <row r="5753">
      <c r="A5753" s="12" t="inlineStr">
        <is>
          <t>J-P-0020</t>
        </is>
      </c>
      <c r="B5753" s="12" t="inlineStr">
        <is>
          <t>J</t>
        </is>
      </c>
      <c r="C5753" s="12" t="inlineStr">
        <is>
          <t>GT inlet chilling</t>
        </is>
      </c>
      <c r="D5753" s="12" t="inlineStr">
        <is>
          <t>Motor 9 of 12, 75 kW (VFD output)</t>
        </is>
      </c>
      <c r="E5753" s="12" t="inlineStr"/>
      <c r="F5753" s="12" t="inlineStr">
        <is>
          <t>Inlet-chilling e-house / transformer</t>
        </is>
      </c>
      <c r="G5753" s="12" t="inlineStr"/>
      <c r="H5753" s="12" t="inlineStr">
        <is>
          <t>Inlet-chilling tower (12 cells): chiller heat rejection</t>
        </is>
      </c>
      <c r="I5753" s="12" t="inlineStr">
        <is>
          <t>LV 600 V</t>
        </is>
      </c>
      <c r="J5753" s="12" t="inlineStr">
        <is>
          <t>VFD cable 600 V 3/C Cu XHHW-2, 3 symmetrical grounds, overall Cu tape shield, TC-ER</t>
        </is>
      </c>
      <c r="K5753" s="12" t="inlineStr">
        <is>
          <t>VFD|3/C+3G|2/0</t>
        </is>
      </c>
      <c r="L5753" s="12" t="inlineStr">
        <is>
          <t>3/C+3G</t>
        </is>
      </c>
      <c r="M5753" s="12" t="inlineStr">
        <is>
          <t>2/0</t>
        </is>
      </c>
      <c r="N5753" s="12" t="n">
        <v>1</v>
      </c>
      <c r="O5753" s="12" t="n">
        <v>1</v>
      </c>
      <c r="P5753" s="12" t="n">
        <v>480</v>
      </c>
      <c r="Q5753" s="12" t="n">
        <v>75</v>
      </c>
      <c r="R5753" s="12" t="n">
        <v>106</v>
      </c>
      <c r="S5753" s="12" t="inlineStr">
        <is>
          <t>Duct bank</t>
        </is>
      </c>
      <c r="T5753" s="17" t="n">
        <v>683</v>
      </c>
      <c r="U5753" s="17" t="n">
        <v>38</v>
      </c>
      <c r="V5753" s="17">
        <f>ROUNDUP((T5753+U5753+2*'Read Me'!$B$13)*(1+'Read Me'!$B$12),-1)</f>
        <v/>
      </c>
      <c r="W5753" s="17">
        <f>V5753*N5753*O5753</f>
        <v/>
      </c>
      <c r="X5753" s="12">
        <f>IF(LEFT(I5753,2)="MV",2*N5753*IF(L5753="1/C",O5753,1),0)</f>
        <v/>
      </c>
      <c r="Y5753" s="12">
        <f>IF(OR(LEFT(K5753,4)="LVAX",LEFT(K5753,6)="MV15AX",LEFT(K5753,4)="CTAX",LEFT(K5753,2)="W|"),2*N5753*O5753,0)</f>
        <v/>
      </c>
      <c r="Z5753" s="12" t="inlineStr">
        <is>
          <t>VD 2.9 %</t>
        </is>
      </c>
      <c r="AA5753" s="12">
        <f>N5753*O5753</f>
        <v/>
      </c>
    </row>
    <row r="5754">
      <c r="A5754" s="12" t="inlineStr">
        <is>
          <t>J-P-0021</t>
        </is>
      </c>
      <c r="B5754" s="12" t="inlineStr">
        <is>
          <t>J</t>
        </is>
      </c>
      <c r="C5754" s="12" t="inlineStr">
        <is>
          <t>GT inlet chilling</t>
        </is>
      </c>
      <c r="D5754" s="12" t="inlineStr">
        <is>
          <t>Motor 10 of 12, 75 kW (VFD output)</t>
        </is>
      </c>
      <c r="E5754" s="12" t="inlineStr"/>
      <c r="F5754" s="12" t="inlineStr">
        <is>
          <t>Inlet-chilling e-house / transformer</t>
        </is>
      </c>
      <c r="G5754" s="12" t="inlineStr"/>
      <c r="H5754" s="12" t="inlineStr">
        <is>
          <t>Inlet-chilling tower (12 cells): chiller heat rejection</t>
        </is>
      </c>
      <c r="I5754" s="12" t="inlineStr">
        <is>
          <t>LV 600 V</t>
        </is>
      </c>
      <c r="J5754" s="12" t="inlineStr">
        <is>
          <t>VFD cable 600 V 3/C Cu XHHW-2, 3 symmetrical grounds, overall Cu tape shield, TC-ER</t>
        </is>
      </c>
      <c r="K5754" s="12" t="inlineStr">
        <is>
          <t>VFD|3/C+3G|2/0</t>
        </is>
      </c>
      <c r="L5754" s="12" t="inlineStr">
        <is>
          <t>3/C+3G</t>
        </is>
      </c>
      <c r="M5754" s="12" t="inlineStr">
        <is>
          <t>2/0</t>
        </is>
      </c>
      <c r="N5754" s="12" t="n">
        <v>1</v>
      </c>
      <c r="O5754" s="12" t="n">
        <v>1</v>
      </c>
      <c r="P5754" s="12" t="n">
        <v>480</v>
      </c>
      <c r="Q5754" s="12" t="n">
        <v>75</v>
      </c>
      <c r="R5754" s="12" t="n">
        <v>106</v>
      </c>
      <c r="S5754" s="12" t="inlineStr">
        <is>
          <t>Duct bank</t>
        </is>
      </c>
      <c r="T5754" s="17" t="n">
        <v>683</v>
      </c>
      <c r="U5754" s="17" t="n">
        <v>38</v>
      </c>
      <c r="V5754" s="17">
        <f>ROUNDUP((T5754+U5754+2*'Read Me'!$B$13)*(1+'Read Me'!$B$12),-1)</f>
        <v/>
      </c>
      <c r="W5754" s="17">
        <f>V5754*N5754*O5754</f>
        <v/>
      </c>
      <c r="X5754" s="12">
        <f>IF(LEFT(I5754,2)="MV",2*N5754*IF(L5754="1/C",O5754,1),0)</f>
        <v/>
      </c>
      <c r="Y5754" s="12">
        <f>IF(OR(LEFT(K5754,4)="LVAX",LEFT(K5754,6)="MV15AX",LEFT(K5754,4)="CTAX",LEFT(K5754,2)="W|"),2*N5754*O5754,0)</f>
        <v/>
      </c>
      <c r="Z5754" s="12" t="inlineStr">
        <is>
          <t>VD 2.9 %</t>
        </is>
      </c>
      <c r="AA5754" s="12">
        <f>N5754*O5754</f>
        <v/>
      </c>
    </row>
    <row r="5755">
      <c r="A5755" s="12" t="inlineStr">
        <is>
          <t>J-P-0022</t>
        </is>
      </c>
      <c r="B5755" s="12" t="inlineStr">
        <is>
          <t>J</t>
        </is>
      </c>
      <c r="C5755" s="12" t="inlineStr">
        <is>
          <t>GT inlet chilling</t>
        </is>
      </c>
      <c r="D5755" s="12" t="inlineStr">
        <is>
          <t>Motor 11 of 12, 75 kW (VFD output)</t>
        </is>
      </c>
      <c r="E5755" s="12" t="inlineStr"/>
      <c r="F5755" s="12" t="inlineStr">
        <is>
          <t>Inlet-chilling e-house / transformer</t>
        </is>
      </c>
      <c r="G5755" s="12" t="inlineStr"/>
      <c r="H5755" s="12" t="inlineStr">
        <is>
          <t>Inlet-chilling tower (12 cells): chiller heat rejection</t>
        </is>
      </c>
      <c r="I5755" s="12" t="inlineStr">
        <is>
          <t>LV 600 V</t>
        </is>
      </c>
      <c r="J5755" s="12" t="inlineStr">
        <is>
          <t>VFD cable 600 V 3/C Cu XHHW-2, 3 symmetrical grounds, overall Cu tape shield, TC-ER</t>
        </is>
      </c>
      <c r="K5755" s="12" t="inlineStr">
        <is>
          <t>VFD|3/C+3G|2/0</t>
        </is>
      </c>
      <c r="L5755" s="12" t="inlineStr">
        <is>
          <t>3/C+3G</t>
        </is>
      </c>
      <c r="M5755" s="12" t="inlineStr">
        <is>
          <t>2/0</t>
        </is>
      </c>
      <c r="N5755" s="12" t="n">
        <v>1</v>
      </c>
      <c r="O5755" s="12" t="n">
        <v>1</v>
      </c>
      <c r="P5755" s="12" t="n">
        <v>480</v>
      </c>
      <c r="Q5755" s="12" t="n">
        <v>75</v>
      </c>
      <c r="R5755" s="12" t="n">
        <v>106</v>
      </c>
      <c r="S5755" s="12" t="inlineStr">
        <is>
          <t>Duct bank</t>
        </is>
      </c>
      <c r="T5755" s="17" t="n">
        <v>683</v>
      </c>
      <c r="U5755" s="17" t="n">
        <v>38</v>
      </c>
      <c r="V5755" s="17">
        <f>ROUNDUP((T5755+U5755+2*'Read Me'!$B$13)*(1+'Read Me'!$B$12),-1)</f>
        <v/>
      </c>
      <c r="W5755" s="17">
        <f>V5755*N5755*O5755</f>
        <v/>
      </c>
      <c r="X5755" s="12">
        <f>IF(LEFT(I5755,2)="MV",2*N5755*IF(L5755="1/C",O5755,1),0)</f>
        <v/>
      </c>
      <c r="Y5755" s="12">
        <f>IF(OR(LEFT(K5755,4)="LVAX",LEFT(K5755,6)="MV15AX",LEFT(K5755,4)="CTAX",LEFT(K5755,2)="W|"),2*N5755*O5755,0)</f>
        <v/>
      </c>
      <c r="Z5755" s="12" t="inlineStr">
        <is>
          <t>VD 2.9 %</t>
        </is>
      </c>
      <c r="AA5755" s="12">
        <f>N5755*O5755</f>
        <v/>
      </c>
    </row>
    <row r="5756">
      <c r="A5756" s="12" t="inlineStr">
        <is>
          <t>J-P-0023</t>
        </is>
      </c>
      <c r="B5756" s="12" t="inlineStr">
        <is>
          <t>J</t>
        </is>
      </c>
      <c r="C5756" s="12" t="inlineStr">
        <is>
          <t>GT inlet chilling</t>
        </is>
      </c>
      <c r="D5756" s="12" t="inlineStr">
        <is>
          <t>Motor 12 of 12, 75 kW (VFD output)</t>
        </is>
      </c>
      <c r="E5756" s="12" t="inlineStr"/>
      <c r="F5756" s="12" t="inlineStr">
        <is>
          <t>Inlet-chilling e-house / transformer</t>
        </is>
      </c>
      <c r="G5756" s="12" t="inlineStr"/>
      <c r="H5756" s="12" t="inlineStr">
        <is>
          <t>Inlet-chilling tower (12 cells): chiller heat rejection</t>
        </is>
      </c>
      <c r="I5756" s="12" t="inlineStr">
        <is>
          <t>LV 600 V</t>
        </is>
      </c>
      <c r="J5756" s="12" t="inlineStr">
        <is>
          <t>VFD cable 600 V 3/C Cu XHHW-2, 3 symmetrical grounds, overall Cu tape shield, TC-ER</t>
        </is>
      </c>
      <c r="K5756" s="12" t="inlineStr">
        <is>
          <t>VFD|3/C+3G|2/0</t>
        </is>
      </c>
      <c r="L5756" s="12" t="inlineStr">
        <is>
          <t>3/C+3G</t>
        </is>
      </c>
      <c r="M5756" s="12" t="inlineStr">
        <is>
          <t>2/0</t>
        </is>
      </c>
      <c r="N5756" s="12" t="n">
        <v>1</v>
      </c>
      <c r="O5756" s="12" t="n">
        <v>1</v>
      </c>
      <c r="P5756" s="12" t="n">
        <v>480</v>
      </c>
      <c r="Q5756" s="12" t="n">
        <v>75</v>
      </c>
      <c r="R5756" s="12" t="n">
        <v>106</v>
      </c>
      <c r="S5756" s="12" t="inlineStr">
        <is>
          <t>Duct bank</t>
        </is>
      </c>
      <c r="T5756" s="17" t="n">
        <v>683</v>
      </c>
      <c r="U5756" s="17" t="n">
        <v>38</v>
      </c>
      <c r="V5756" s="17">
        <f>ROUNDUP((T5756+U5756+2*'Read Me'!$B$13)*(1+'Read Me'!$B$12),-1)</f>
        <v/>
      </c>
      <c r="W5756" s="17">
        <f>V5756*N5756*O5756</f>
        <v/>
      </c>
      <c r="X5756" s="12">
        <f>IF(LEFT(I5756,2)="MV",2*N5756*IF(L5756="1/C",O5756,1),0)</f>
        <v/>
      </c>
      <c r="Y5756" s="12">
        <f>IF(OR(LEFT(K5756,4)="LVAX",LEFT(K5756,6)="MV15AX",LEFT(K5756,4)="CTAX",LEFT(K5756,2)="W|"),2*N5756*O5756,0)</f>
        <v/>
      </c>
      <c r="Z5756" s="12" t="inlineStr">
        <is>
          <t>VD 2.9 %</t>
        </is>
      </c>
      <c r="AA5756" s="12">
        <f>N5756*O5756</f>
        <v/>
      </c>
    </row>
    <row r="5757">
      <c r="A5757" s="12" t="inlineStr">
        <is>
          <t>J-P-0024</t>
        </is>
      </c>
      <c r="B5757" s="12" t="inlineStr">
        <is>
          <t>J</t>
        </is>
      </c>
      <c r="C5757" s="12" t="inlineStr">
        <is>
          <t>GT inlet chilling</t>
        </is>
      </c>
      <c r="D5757" s="12" t="inlineStr">
        <is>
          <t>Area / platform lighting circuit 1 (12 fixtures)</t>
        </is>
      </c>
      <c r="E5757" s="12" t="inlineStr"/>
      <c r="F5757" s="12" t="inlineStr">
        <is>
          <t>Inlet-chilling e-house / transformer</t>
        </is>
      </c>
      <c r="G5757" s="12" t="inlineStr"/>
      <c r="H5757" s="12" t="inlineStr">
        <is>
          <t>Inlet-chilling tower (12 cells): chiller heat rejection</t>
        </is>
      </c>
      <c r="I5757" s="12" t="inlineStr">
        <is>
          <t>LV 600 V</t>
        </is>
      </c>
      <c r="J5757" s="12" t="inlineStr">
        <is>
          <t>Type TC-ER 600 V 3/C Cu XHHW-2 + ground, PVC jacket</t>
        </is>
      </c>
      <c r="K5757" s="12" t="inlineStr">
        <is>
          <t>LV|3/C+G|10</t>
        </is>
      </c>
      <c r="L5757" s="12" t="inlineStr">
        <is>
          <t>3/C+G</t>
        </is>
      </c>
      <c r="M5757" s="12" t="inlineStr">
        <is>
          <t>10</t>
        </is>
      </c>
      <c r="N5757" s="12" t="n">
        <v>1</v>
      </c>
      <c r="O5757" s="12" t="n">
        <v>1</v>
      </c>
      <c r="P5757" s="12" t="n">
        <v>480</v>
      </c>
      <c r="Q5757" s="12" t="n">
        <v>3</v>
      </c>
      <c r="R5757" s="12" t="n">
        <v>5</v>
      </c>
      <c r="S5757" s="12" t="inlineStr">
        <is>
          <t>Duct bank</t>
        </is>
      </c>
      <c r="T5757" s="17" t="n">
        <v>778</v>
      </c>
      <c r="U5757" s="17" t="n">
        <v>38</v>
      </c>
      <c r="V5757" s="17">
        <f>ROUNDUP((T5757+U5757+2*'Read Me'!$B$13)*(1+'Read Me'!$B$12),-1)</f>
        <v/>
      </c>
      <c r="W5757" s="17">
        <f>V5757*N5757*O5757</f>
        <v/>
      </c>
      <c r="X5757" s="12">
        <f>IF(LEFT(I5757,2)="MV",2*N5757*IF(L5757="1/C",O5757,1),0)</f>
        <v/>
      </c>
      <c r="Y5757" s="12">
        <f>IF(OR(LEFT(K5757,4)="LVAX",LEFT(K5757,6)="MV15AX",LEFT(K5757,4)="CTAX",LEFT(K5757,2)="W|"),2*N5757*O5757,0)</f>
        <v/>
      </c>
      <c r="Z5757" s="12" t="inlineStr">
        <is>
          <t>fixture-to-fixture run included</t>
        </is>
      </c>
      <c r="AA5757" s="12">
        <f>N5757*O5757</f>
        <v/>
      </c>
    </row>
    <row r="5758">
      <c r="A5758" s="12" t="inlineStr">
        <is>
          <t>J-MV-0001</t>
        </is>
      </c>
      <c r="B5758" s="12" t="inlineStr">
        <is>
          <t>J</t>
        </is>
      </c>
      <c r="C5758" s="12" t="inlineStr">
        <is>
          <t>GT inlet chilling</t>
        </is>
      </c>
      <c r="D5758" s="12" t="inlineStr">
        <is>
          <t>Inlet-chilling e-house / transformer</t>
        </is>
      </c>
      <c r="E5758" s="12" t="inlineStr">
        <is>
          <t>SWGR-13.8-1</t>
        </is>
      </c>
      <c r="F5758" s="12" t="inlineStr">
        <is>
          <t>R1 SWGR-13.8-1 (11 x 36 in cubicles, 15 kV metal-clad)</t>
        </is>
      </c>
      <c r="G5758" s="12" t="inlineStr"/>
      <c r="H5758" s="12" t="inlineStr">
        <is>
          <t>Inlet-chilling e-house / transformer</t>
        </is>
      </c>
      <c r="I5758" s="12" t="inlineStr">
        <is>
          <t>MV 15 kV</t>
        </is>
      </c>
      <c r="J5758" s="12" t="inlineStr">
        <is>
          <t>MV-105 15 kV 1/C Cu, EPR 133%, Cu tape shield, PVC jacket (triplexed)</t>
        </is>
      </c>
      <c r="K5758" s="12" t="inlineStr">
        <is>
          <t>MV15|1/C|1000</t>
        </is>
      </c>
      <c r="L5758" s="12" t="inlineStr">
        <is>
          <t>1/C</t>
        </is>
      </c>
      <c r="M5758" s="12" t="inlineStr">
        <is>
          <t>1000 kcmil</t>
        </is>
      </c>
      <c r="N5758" s="12" t="n">
        <v>1</v>
      </c>
      <c r="O5758" s="12" t="n">
        <v>3</v>
      </c>
      <c r="P5758" s="12" t="n">
        <v>13800</v>
      </c>
      <c r="Q5758" s="12" t="n">
        <v>12000</v>
      </c>
      <c r="R5758" s="12" t="n">
        <v>502</v>
      </c>
      <c r="S5758" s="12" t="inlineStr">
        <is>
          <t>Duct bank</t>
        </is>
      </c>
      <c r="T5758" s="17" t="n">
        <v>629</v>
      </c>
      <c r="U5758" s="17" t="n">
        <v>38</v>
      </c>
      <c r="V5758" s="17">
        <f>ROUNDUP((T5758+U5758+2*'Read Me'!$B$13)*(1+'Read Me'!$B$12),-1)</f>
        <v/>
      </c>
      <c r="W5758" s="17">
        <f>V5758*N5758*O5758</f>
        <v/>
      </c>
      <c r="X5758" s="12">
        <f>IF(LEFT(I5758,2)="MV",2*N5758*IF(L5758="1/C",O5758,1),0)</f>
        <v/>
      </c>
      <c r="Y5758" s="12">
        <f>IF(OR(LEFT(K5758,4)="LVAX",LEFT(K5758,6)="MV15AX",LEFT(K5758,4)="CTAX",LEFT(K5758,2)="W|"),2*N5758*O5758,0)</f>
        <v/>
      </c>
      <c r="Z5758" s="12" t="inlineStr"/>
      <c r="AA5758" s="12">
        <f>N5758*O5758</f>
        <v/>
      </c>
    </row>
    <row r="5759">
      <c r="A5759" s="12" t="inlineStr">
        <is>
          <t>J-MV-0002</t>
        </is>
      </c>
      <c r="B5759" s="12" t="inlineStr">
        <is>
          <t>J</t>
        </is>
      </c>
      <c r="C5759" s="12" t="inlineStr">
        <is>
          <t>GT inlet chilling</t>
        </is>
      </c>
      <c r="D5759" s="12" t="inlineStr">
        <is>
          <t>Inlet-chilling CW pump 1</t>
        </is>
      </c>
      <c r="E5759" s="12" t="inlineStr"/>
      <c r="F5759" s="12" t="inlineStr">
        <is>
          <t>Inlet-chilling e-house / transformer</t>
        </is>
      </c>
      <c r="G5759" s="12" t="inlineStr"/>
      <c r="H5759" s="12" t="inlineStr">
        <is>
          <t>CW pumps (inlet chilling)</t>
        </is>
      </c>
      <c r="I5759" s="12" t="inlineStr">
        <is>
          <t>MV 5 kV</t>
        </is>
      </c>
      <c r="J5759" s="12" t="inlineStr">
        <is>
          <t>MV-105 5 kV 3/C Cu, EPR 133%, tape shield, gnd, PVC jacket</t>
        </is>
      </c>
      <c r="K5759" s="12" t="inlineStr">
        <is>
          <t>MV5|3/C|2</t>
        </is>
      </c>
      <c r="L5759" s="12" t="inlineStr">
        <is>
          <t>3/C</t>
        </is>
      </c>
      <c r="M5759" s="12" t="inlineStr">
        <is>
          <t>2</t>
        </is>
      </c>
      <c r="N5759" s="12" t="n">
        <v>1</v>
      </c>
      <c r="O5759" s="12" t="n">
        <v>1</v>
      </c>
      <c r="P5759" s="12" t="n">
        <v>4160</v>
      </c>
      <c r="Q5759" s="12" t="n">
        <v>450</v>
      </c>
      <c r="R5759" s="12" t="n">
        <v>69</v>
      </c>
      <c r="S5759" s="12" t="inlineStr">
        <is>
          <t>Tray</t>
        </is>
      </c>
      <c r="T5759" s="17" t="n">
        <v>0</v>
      </c>
      <c r="U5759" s="17" t="n">
        <v>70</v>
      </c>
      <c r="V5759" s="17">
        <f>ROUNDUP((T5759+U5759+2*'Read Me'!$B$13)*(1+'Read Me'!$B$12),-1)</f>
        <v/>
      </c>
      <c r="W5759" s="17">
        <f>V5759*N5759*O5759</f>
        <v/>
      </c>
      <c r="X5759" s="12">
        <f>IF(LEFT(I5759,2)="MV",2*N5759*IF(L5759="1/C",O5759,1),0)</f>
        <v/>
      </c>
      <c r="Y5759" s="12">
        <f>IF(OR(LEFT(K5759,4)="LVAX",LEFT(K5759,6)="MV15AX",LEFT(K5759,4)="CTAX",LEFT(K5759,2)="W|"),2*N5759*O5759,0)</f>
        <v/>
      </c>
      <c r="Z5759" s="12" t="inlineStr"/>
      <c r="AA5759" s="12">
        <f>N5759*O5759</f>
        <v/>
      </c>
    </row>
    <row r="5760">
      <c r="A5760" s="12" t="inlineStr">
        <is>
          <t>J-MV-0003</t>
        </is>
      </c>
      <c r="B5760" s="12" t="inlineStr">
        <is>
          <t>J</t>
        </is>
      </c>
      <c r="C5760" s="12" t="inlineStr">
        <is>
          <t>GT inlet chilling</t>
        </is>
      </c>
      <c r="D5760" s="12" t="inlineStr">
        <is>
          <t>Inlet-chilling CW pump 2</t>
        </is>
      </c>
      <c r="E5760" s="12" t="inlineStr"/>
      <c r="F5760" s="12" t="inlineStr">
        <is>
          <t>Inlet-chilling e-house / transformer</t>
        </is>
      </c>
      <c r="G5760" s="12" t="inlineStr"/>
      <c r="H5760" s="12" t="inlineStr">
        <is>
          <t>CW pumps (inlet chilling)</t>
        </is>
      </c>
      <c r="I5760" s="12" t="inlineStr">
        <is>
          <t>MV 5 kV</t>
        </is>
      </c>
      <c r="J5760" s="12" t="inlineStr">
        <is>
          <t>MV-105 5 kV 3/C Cu, EPR 133%, tape shield, gnd, PVC jacket</t>
        </is>
      </c>
      <c r="K5760" s="12" t="inlineStr">
        <is>
          <t>MV5|3/C|2</t>
        </is>
      </c>
      <c r="L5760" s="12" t="inlineStr">
        <is>
          <t>3/C</t>
        </is>
      </c>
      <c r="M5760" s="12" t="inlineStr">
        <is>
          <t>2</t>
        </is>
      </c>
      <c r="N5760" s="12" t="n">
        <v>1</v>
      </c>
      <c r="O5760" s="12" t="n">
        <v>1</v>
      </c>
      <c r="P5760" s="12" t="n">
        <v>4160</v>
      </c>
      <c r="Q5760" s="12" t="n">
        <v>450</v>
      </c>
      <c r="R5760" s="12" t="n">
        <v>69</v>
      </c>
      <c r="S5760" s="12" t="inlineStr">
        <is>
          <t>Tray</t>
        </is>
      </c>
      <c r="T5760" s="17" t="n">
        <v>0</v>
      </c>
      <c r="U5760" s="17" t="n">
        <v>70</v>
      </c>
      <c r="V5760" s="17">
        <f>ROUNDUP((T5760+U5760+2*'Read Me'!$B$13)*(1+'Read Me'!$B$12),-1)</f>
        <v/>
      </c>
      <c r="W5760" s="17">
        <f>V5760*N5760*O5760</f>
        <v/>
      </c>
      <c r="X5760" s="12">
        <f>IF(LEFT(I5760,2)="MV",2*N5760*IF(L5760="1/C",O5760,1),0)</f>
        <v/>
      </c>
      <c r="Y5760" s="12">
        <f>IF(OR(LEFT(K5760,4)="LVAX",LEFT(K5760,6)="MV15AX",LEFT(K5760,4)="CTAX",LEFT(K5760,2)="W|"),2*N5760*O5760,0)</f>
        <v/>
      </c>
      <c r="Z5760" s="12" t="inlineStr"/>
      <c r="AA5760" s="12">
        <f>N5760*O5760</f>
        <v/>
      </c>
    </row>
    <row r="5761">
      <c r="A5761" s="12" t="inlineStr">
        <is>
          <t>J-MV-0004</t>
        </is>
      </c>
      <c r="B5761" s="12" t="inlineStr">
        <is>
          <t>J</t>
        </is>
      </c>
      <c r="C5761" s="12" t="inlineStr">
        <is>
          <t>GT inlet chilling</t>
        </is>
      </c>
      <c r="D5761" s="12" t="inlineStr">
        <is>
          <t>Inlet-chilling CW pump 3</t>
        </is>
      </c>
      <c r="E5761" s="12" t="inlineStr"/>
      <c r="F5761" s="12" t="inlineStr">
        <is>
          <t>Inlet-chilling e-house / transformer</t>
        </is>
      </c>
      <c r="G5761" s="12" t="inlineStr"/>
      <c r="H5761" s="12" t="inlineStr">
        <is>
          <t>CW pumps (inlet chilling)</t>
        </is>
      </c>
      <c r="I5761" s="12" t="inlineStr">
        <is>
          <t>MV 5 kV</t>
        </is>
      </c>
      <c r="J5761" s="12" t="inlineStr">
        <is>
          <t>MV-105 5 kV 3/C Cu, EPR 133%, tape shield, gnd, PVC jacket</t>
        </is>
      </c>
      <c r="K5761" s="12" t="inlineStr">
        <is>
          <t>MV5|3/C|2</t>
        </is>
      </c>
      <c r="L5761" s="12" t="inlineStr">
        <is>
          <t>3/C</t>
        </is>
      </c>
      <c r="M5761" s="12" t="inlineStr">
        <is>
          <t>2</t>
        </is>
      </c>
      <c r="N5761" s="12" t="n">
        <v>1</v>
      </c>
      <c r="O5761" s="12" t="n">
        <v>1</v>
      </c>
      <c r="P5761" s="12" t="n">
        <v>4160</v>
      </c>
      <c r="Q5761" s="12" t="n">
        <v>450</v>
      </c>
      <c r="R5761" s="12" t="n">
        <v>69</v>
      </c>
      <c r="S5761" s="12" t="inlineStr">
        <is>
          <t>Tray</t>
        </is>
      </c>
      <c r="T5761" s="17" t="n">
        <v>0</v>
      </c>
      <c r="U5761" s="17" t="n">
        <v>70</v>
      </c>
      <c r="V5761" s="17">
        <f>ROUNDUP((T5761+U5761+2*'Read Me'!$B$13)*(1+'Read Me'!$B$12),-1)</f>
        <v/>
      </c>
      <c r="W5761" s="17">
        <f>V5761*N5761*O5761</f>
        <v/>
      </c>
      <c r="X5761" s="12">
        <f>IF(LEFT(I5761,2)="MV",2*N5761*IF(L5761="1/C",O5761,1),0)</f>
        <v/>
      </c>
      <c r="Y5761" s="12">
        <f>IF(OR(LEFT(K5761,4)="LVAX",LEFT(K5761,6)="MV15AX",LEFT(K5761,4)="CTAX",LEFT(K5761,2)="W|"),2*N5761*O5761,0)</f>
        <v/>
      </c>
      <c r="Z5761" s="12" t="inlineStr"/>
      <c r="AA5761" s="12">
        <f>N5761*O5761</f>
        <v/>
      </c>
    </row>
    <row r="5762">
      <c r="A5762" s="12" t="inlineStr">
        <is>
          <t>J-MV-0005</t>
        </is>
      </c>
      <c r="B5762" s="12" t="inlineStr">
        <is>
          <t>J</t>
        </is>
      </c>
      <c r="C5762" s="12" t="inlineStr">
        <is>
          <t>GT inlet chilling</t>
        </is>
      </c>
      <c r="D5762" s="12" t="inlineStr">
        <is>
          <t>Inlet-chilling CW pump 4</t>
        </is>
      </c>
      <c r="E5762" s="12" t="inlineStr"/>
      <c r="F5762" s="12" t="inlineStr">
        <is>
          <t>Inlet-chilling e-house / transformer</t>
        </is>
      </c>
      <c r="G5762" s="12" t="inlineStr"/>
      <c r="H5762" s="12" t="inlineStr">
        <is>
          <t>CW pumps (inlet chilling)</t>
        </is>
      </c>
      <c r="I5762" s="12" t="inlineStr">
        <is>
          <t>MV 5 kV</t>
        </is>
      </c>
      <c r="J5762" s="12" t="inlineStr">
        <is>
          <t>MV-105 5 kV 3/C Cu, EPR 133%, tape shield, gnd, PVC jacket</t>
        </is>
      </c>
      <c r="K5762" s="12" t="inlineStr">
        <is>
          <t>MV5|3/C|2</t>
        </is>
      </c>
      <c r="L5762" s="12" t="inlineStr">
        <is>
          <t>3/C</t>
        </is>
      </c>
      <c r="M5762" s="12" t="inlineStr">
        <is>
          <t>2</t>
        </is>
      </c>
      <c r="N5762" s="12" t="n">
        <v>1</v>
      </c>
      <c r="O5762" s="12" t="n">
        <v>1</v>
      </c>
      <c r="P5762" s="12" t="n">
        <v>4160</v>
      </c>
      <c r="Q5762" s="12" t="n">
        <v>450</v>
      </c>
      <c r="R5762" s="12" t="n">
        <v>69</v>
      </c>
      <c r="S5762" s="12" t="inlineStr">
        <is>
          <t>Tray</t>
        </is>
      </c>
      <c r="T5762" s="17" t="n">
        <v>0</v>
      </c>
      <c r="U5762" s="17" t="n">
        <v>70</v>
      </c>
      <c r="V5762" s="17">
        <f>ROUNDUP((T5762+U5762+2*'Read Me'!$B$13)*(1+'Read Me'!$B$12),-1)</f>
        <v/>
      </c>
      <c r="W5762" s="17">
        <f>V5762*N5762*O5762</f>
        <v/>
      </c>
      <c r="X5762" s="12">
        <f>IF(LEFT(I5762,2)="MV",2*N5762*IF(L5762="1/C",O5762,1),0)</f>
        <v/>
      </c>
      <c r="Y5762" s="12">
        <f>IF(OR(LEFT(K5762,4)="LVAX",LEFT(K5762,6)="MV15AX",LEFT(K5762,4)="CTAX",LEFT(K5762,2)="W|"),2*N5762*O5762,0)</f>
        <v/>
      </c>
      <c r="Z5762" s="12" t="inlineStr"/>
      <c r="AA5762" s="12">
        <f>N5762*O5762</f>
        <v/>
      </c>
    </row>
    <row r="5763">
      <c r="A5763" s="12" t="inlineStr">
        <is>
          <t>J-MV-0006</t>
        </is>
      </c>
      <c r="B5763" s="12" t="inlineStr">
        <is>
          <t>J</t>
        </is>
      </c>
      <c r="C5763" s="12" t="inlineStr">
        <is>
          <t>GT inlet chilling</t>
        </is>
      </c>
      <c r="D5763" s="12" t="inlineStr">
        <is>
          <t>Water-cooled chiller CH-1</t>
        </is>
      </c>
      <c r="E5763" s="12" t="inlineStr"/>
      <c r="F5763" s="12" t="inlineStr">
        <is>
          <t>Inlet-chilling e-house / transformer</t>
        </is>
      </c>
      <c r="G5763" s="12" t="inlineStr"/>
      <c r="H5763" s="12" t="inlineStr">
        <is>
          <t>Chillers x6 (water-cooled)</t>
        </is>
      </c>
      <c r="I5763" s="12" t="inlineStr">
        <is>
          <t>MV 5 kV</t>
        </is>
      </c>
      <c r="J5763" s="12" t="inlineStr">
        <is>
          <t>MV-105 5 kV 3/C Cu, EPR 133%, tape shield, gnd, PVC jacket</t>
        </is>
      </c>
      <c r="K5763" s="12" t="inlineStr">
        <is>
          <t>MV5|3/C|250</t>
        </is>
      </c>
      <c r="L5763" s="12" t="inlineStr">
        <is>
          <t>3/C</t>
        </is>
      </c>
      <c r="M5763" s="12" t="inlineStr">
        <is>
          <t>250 kcmil</t>
        </is>
      </c>
      <c r="N5763" s="12" t="n">
        <v>1</v>
      </c>
      <c r="O5763" s="12" t="n">
        <v>1</v>
      </c>
      <c r="P5763" s="12" t="n">
        <v>4160</v>
      </c>
      <c r="Q5763" s="12" t="n">
        <v>1500</v>
      </c>
      <c r="R5763" s="12" t="n">
        <v>231</v>
      </c>
      <c r="S5763" s="12" t="inlineStr">
        <is>
          <t>Duct bank</t>
        </is>
      </c>
      <c r="T5763" s="17" t="n">
        <v>10</v>
      </c>
      <c r="U5763" s="17" t="n">
        <v>32</v>
      </c>
      <c r="V5763" s="17">
        <f>ROUNDUP((T5763+U5763+2*'Read Me'!$B$13)*(1+'Read Me'!$B$12),-1)</f>
        <v/>
      </c>
      <c r="W5763" s="17">
        <f>V5763*N5763*O5763</f>
        <v/>
      </c>
      <c r="X5763" s="12">
        <f>IF(LEFT(I5763,2)="MV",2*N5763*IF(L5763="1/C",O5763,1),0)</f>
        <v/>
      </c>
      <c r="Y5763" s="12">
        <f>IF(OR(LEFT(K5763,4)="LVAX",LEFT(K5763,6)="MV15AX",LEFT(K5763,4)="CTAX",LEFT(K5763,2)="W|"),2*N5763*O5763,0)</f>
        <v/>
      </c>
      <c r="Z5763" s="12" t="inlineStr"/>
      <c r="AA5763" s="12">
        <f>N5763*O5763</f>
        <v/>
      </c>
    </row>
    <row r="5764">
      <c r="A5764" s="12" t="inlineStr">
        <is>
          <t>J-MV-0007</t>
        </is>
      </c>
      <c r="B5764" s="12" t="inlineStr">
        <is>
          <t>J</t>
        </is>
      </c>
      <c r="C5764" s="12" t="inlineStr">
        <is>
          <t>GT inlet chilling</t>
        </is>
      </c>
      <c r="D5764" s="12" t="inlineStr">
        <is>
          <t>Water-cooled chiller CH-2</t>
        </is>
      </c>
      <c r="E5764" s="12" t="inlineStr"/>
      <c r="F5764" s="12" t="inlineStr">
        <is>
          <t>Inlet-chilling e-house / transformer</t>
        </is>
      </c>
      <c r="G5764" s="12" t="inlineStr"/>
      <c r="H5764" s="12" t="inlineStr">
        <is>
          <t>Chillers x6 (water-cooled)</t>
        </is>
      </c>
      <c r="I5764" s="12" t="inlineStr">
        <is>
          <t>MV 5 kV</t>
        </is>
      </c>
      <c r="J5764" s="12" t="inlineStr">
        <is>
          <t>MV-105 5 kV 3/C Cu, EPR 133%, tape shield, gnd, PVC jacket</t>
        </is>
      </c>
      <c r="K5764" s="12" t="inlineStr">
        <is>
          <t>MV5|3/C|250</t>
        </is>
      </c>
      <c r="L5764" s="12" t="inlineStr">
        <is>
          <t>3/C</t>
        </is>
      </c>
      <c r="M5764" s="12" t="inlineStr">
        <is>
          <t>250 kcmil</t>
        </is>
      </c>
      <c r="N5764" s="12" t="n">
        <v>1</v>
      </c>
      <c r="O5764" s="12" t="n">
        <v>1</v>
      </c>
      <c r="P5764" s="12" t="n">
        <v>4160</v>
      </c>
      <c r="Q5764" s="12" t="n">
        <v>1500</v>
      </c>
      <c r="R5764" s="12" t="n">
        <v>231</v>
      </c>
      <c r="S5764" s="12" t="inlineStr">
        <is>
          <t>Duct bank</t>
        </is>
      </c>
      <c r="T5764" s="17" t="n">
        <v>10</v>
      </c>
      <c r="U5764" s="17" t="n">
        <v>32</v>
      </c>
      <c r="V5764" s="17">
        <f>ROUNDUP((T5764+U5764+2*'Read Me'!$B$13)*(1+'Read Me'!$B$12),-1)</f>
        <v/>
      </c>
      <c r="W5764" s="17">
        <f>V5764*N5764*O5764</f>
        <v/>
      </c>
      <c r="X5764" s="12">
        <f>IF(LEFT(I5764,2)="MV",2*N5764*IF(L5764="1/C",O5764,1),0)</f>
        <v/>
      </c>
      <c r="Y5764" s="12">
        <f>IF(OR(LEFT(K5764,4)="LVAX",LEFT(K5764,6)="MV15AX",LEFT(K5764,4)="CTAX",LEFT(K5764,2)="W|"),2*N5764*O5764,0)</f>
        <v/>
      </c>
      <c r="Z5764" s="12" t="inlineStr"/>
      <c r="AA5764" s="12">
        <f>N5764*O5764</f>
        <v/>
      </c>
    </row>
    <row r="5765">
      <c r="A5765" s="12" t="inlineStr">
        <is>
          <t>J-MV-0008</t>
        </is>
      </c>
      <c r="B5765" s="12" t="inlineStr">
        <is>
          <t>J</t>
        </is>
      </c>
      <c r="C5765" s="12" t="inlineStr">
        <is>
          <t>GT inlet chilling</t>
        </is>
      </c>
      <c r="D5765" s="12" t="inlineStr">
        <is>
          <t>Water-cooled chiller CH-3</t>
        </is>
      </c>
      <c r="E5765" s="12" t="inlineStr"/>
      <c r="F5765" s="12" t="inlineStr">
        <is>
          <t>Inlet-chilling e-house / transformer</t>
        </is>
      </c>
      <c r="G5765" s="12" t="inlineStr"/>
      <c r="H5765" s="12" t="inlineStr">
        <is>
          <t>Chillers x6 (water-cooled)</t>
        </is>
      </c>
      <c r="I5765" s="12" t="inlineStr">
        <is>
          <t>MV 5 kV</t>
        </is>
      </c>
      <c r="J5765" s="12" t="inlineStr">
        <is>
          <t>MV-105 5 kV 3/C Cu, EPR 133%, tape shield, gnd, PVC jacket</t>
        </is>
      </c>
      <c r="K5765" s="12" t="inlineStr">
        <is>
          <t>MV5|3/C|250</t>
        </is>
      </c>
      <c r="L5765" s="12" t="inlineStr">
        <is>
          <t>3/C</t>
        </is>
      </c>
      <c r="M5765" s="12" t="inlineStr">
        <is>
          <t>250 kcmil</t>
        </is>
      </c>
      <c r="N5765" s="12" t="n">
        <v>1</v>
      </c>
      <c r="O5765" s="12" t="n">
        <v>1</v>
      </c>
      <c r="P5765" s="12" t="n">
        <v>4160</v>
      </c>
      <c r="Q5765" s="12" t="n">
        <v>1500</v>
      </c>
      <c r="R5765" s="12" t="n">
        <v>231</v>
      </c>
      <c r="S5765" s="12" t="inlineStr">
        <is>
          <t>Duct bank</t>
        </is>
      </c>
      <c r="T5765" s="17" t="n">
        <v>10</v>
      </c>
      <c r="U5765" s="17" t="n">
        <v>32</v>
      </c>
      <c r="V5765" s="17">
        <f>ROUNDUP((T5765+U5765+2*'Read Me'!$B$13)*(1+'Read Me'!$B$12),-1)</f>
        <v/>
      </c>
      <c r="W5765" s="17">
        <f>V5765*N5765*O5765</f>
        <v/>
      </c>
      <c r="X5765" s="12">
        <f>IF(LEFT(I5765,2)="MV",2*N5765*IF(L5765="1/C",O5765,1),0)</f>
        <v/>
      </c>
      <c r="Y5765" s="12">
        <f>IF(OR(LEFT(K5765,4)="LVAX",LEFT(K5765,6)="MV15AX",LEFT(K5765,4)="CTAX",LEFT(K5765,2)="W|"),2*N5765*O5765,0)</f>
        <v/>
      </c>
      <c r="Z5765" s="12" t="inlineStr"/>
      <c r="AA5765" s="12">
        <f>N5765*O5765</f>
        <v/>
      </c>
    </row>
    <row r="5766">
      <c r="A5766" s="12" t="inlineStr">
        <is>
          <t>J-MV-0009</t>
        </is>
      </c>
      <c r="B5766" s="12" t="inlineStr">
        <is>
          <t>J</t>
        </is>
      </c>
      <c r="C5766" s="12" t="inlineStr">
        <is>
          <t>GT inlet chilling</t>
        </is>
      </c>
      <c r="D5766" s="12" t="inlineStr">
        <is>
          <t>Water-cooled chiller CH-4</t>
        </is>
      </c>
      <c r="E5766" s="12" t="inlineStr"/>
      <c r="F5766" s="12" t="inlineStr">
        <is>
          <t>Inlet-chilling e-house / transformer</t>
        </is>
      </c>
      <c r="G5766" s="12" t="inlineStr"/>
      <c r="H5766" s="12" t="inlineStr">
        <is>
          <t>Chillers x6 (water-cooled)</t>
        </is>
      </c>
      <c r="I5766" s="12" t="inlineStr">
        <is>
          <t>MV 5 kV</t>
        </is>
      </c>
      <c r="J5766" s="12" t="inlineStr">
        <is>
          <t>MV-105 5 kV 3/C Cu, EPR 133%, tape shield, gnd, PVC jacket</t>
        </is>
      </c>
      <c r="K5766" s="12" t="inlineStr">
        <is>
          <t>MV5|3/C|250</t>
        </is>
      </c>
      <c r="L5766" s="12" t="inlineStr">
        <is>
          <t>3/C</t>
        </is>
      </c>
      <c r="M5766" s="12" t="inlineStr">
        <is>
          <t>250 kcmil</t>
        </is>
      </c>
      <c r="N5766" s="12" t="n">
        <v>1</v>
      </c>
      <c r="O5766" s="12" t="n">
        <v>1</v>
      </c>
      <c r="P5766" s="12" t="n">
        <v>4160</v>
      </c>
      <c r="Q5766" s="12" t="n">
        <v>1500</v>
      </c>
      <c r="R5766" s="12" t="n">
        <v>231</v>
      </c>
      <c r="S5766" s="12" t="inlineStr">
        <is>
          <t>Duct bank</t>
        </is>
      </c>
      <c r="T5766" s="17" t="n">
        <v>10</v>
      </c>
      <c r="U5766" s="17" t="n">
        <v>32</v>
      </c>
      <c r="V5766" s="17">
        <f>ROUNDUP((T5766+U5766+2*'Read Me'!$B$13)*(1+'Read Me'!$B$12),-1)</f>
        <v/>
      </c>
      <c r="W5766" s="17">
        <f>V5766*N5766*O5766</f>
        <v/>
      </c>
      <c r="X5766" s="12">
        <f>IF(LEFT(I5766,2)="MV",2*N5766*IF(L5766="1/C",O5766,1),0)</f>
        <v/>
      </c>
      <c r="Y5766" s="12">
        <f>IF(OR(LEFT(K5766,4)="LVAX",LEFT(K5766,6)="MV15AX",LEFT(K5766,4)="CTAX",LEFT(K5766,2)="W|"),2*N5766*O5766,0)</f>
        <v/>
      </c>
      <c r="Z5766" s="12" t="inlineStr"/>
      <c r="AA5766" s="12">
        <f>N5766*O5766</f>
        <v/>
      </c>
    </row>
    <row r="5767">
      <c r="A5767" s="12" t="inlineStr">
        <is>
          <t>J-MV-0010</t>
        </is>
      </c>
      <c r="B5767" s="12" t="inlineStr">
        <is>
          <t>J</t>
        </is>
      </c>
      <c r="C5767" s="12" t="inlineStr">
        <is>
          <t>GT inlet chilling</t>
        </is>
      </c>
      <c r="D5767" s="12" t="inlineStr">
        <is>
          <t>Water-cooled chiller CH-5</t>
        </is>
      </c>
      <c r="E5767" s="12" t="inlineStr"/>
      <c r="F5767" s="12" t="inlineStr">
        <is>
          <t>Inlet-chilling e-house / transformer</t>
        </is>
      </c>
      <c r="G5767" s="12" t="inlineStr"/>
      <c r="H5767" s="12" t="inlineStr">
        <is>
          <t>Chillers x6 (water-cooled)</t>
        </is>
      </c>
      <c r="I5767" s="12" t="inlineStr">
        <is>
          <t>MV 5 kV</t>
        </is>
      </c>
      <c r="J5767" s="12" t="inlineStr">
        <is>
          <t>MV-105 5 kV 3/C Cu, EPR 133%, tape shield, gnd, PVC jacket</t>
        </is>
      </c>
      <c r="K5767" s="12" t="inlineStr">
        <is>
          <t>MV5|3/C|250</t>
        </is>
      </c>
      <c r="L5767" s="12" t="inlineStr">
        <is>
          <t>3/C</t>
        </is>
      </c>
      <c r="M5767" s="12" t="inlineStr">
        <is>
          <t>250 kcmil</t>
        </is>
      </c>
      <c r="N5767" s="12" t="n">
        <v>1</v>
      </c>
      <c r="O5767" s="12" t="n">
        <v>1</v>
      </c>
      <c r="P5767" s="12" t="n">
        <v>4160</v>
      </c>
      <c r="Q5767" s="12" t="n">
        <v>1500</v>
      </c>
      <c r="R5767" s="12" t="n">
        <v>231</v>
      </c>
      <c r="S5767" s="12" t="inlineStr">
        <is>
          <t>Duct bank</t>
        </is>
      </c>
      <c r="T5767" s="17" t="n">
        <v>10</v>
      </c>
      <c r="U5767" s="17" t="n">
        <v>32</v>
      </c>
      <c r="V5767" s="17">
        <f>ROUNDUP((T5767+U5767+2*'Read Me'!$B$13)*(1+'Read Me'!$B$12),-1)</f>
        <v/>
      </c>
      <c r="W5767" s="17">
        <f>V5767*N5767*O5767</f>
        <v/>
      </c>
      <c r="X5767" s="12">
        <f>IF(LEFT(I5767,2)="MV",2*N5767*IF(L5767="1/C",O5767,1),0)</f>
        <v/>
      </c>
      <c r="Y5767" s="12">
        <f>IF(OR(LEFT(K5767,4)="LVAX",LEFT(K5767,6)="MV15AX",LEFT(K5767,4)="CTAX",LEFT(K5767,2)="W|"),2*N5767*O5767,0)</f>
        <v/>
      </c>
      <c r="Z5767" s="12" t="inlineStr"/>
      <c r="AA5767" s="12">
        <f>N5767*O5767</f>
        <v/>
      </c>
    </row>
    <row r="5768">
      <c r="A5768" s="12" t="inlineStr">
        <is>
          <t>J-MV-0011</t>
        </is>
      </c>
      <c r="B5768" s="12" t="inlineStr">
        <is>
          <t>J</t>
        </is>
      </c>
      <c r="C5768" s="12" t="inlineStr">
        <is>
          <t>GT inlet chilling</t>
        </is>
      </c>
      <c r="D5768" s="12" t="inlineStr">
        <is>
          <t>Water-cooled chiller CH-6</t>
        </is>
      </c>
      <c r="E5768" s="12" t="inlineStr"/>
      <c r="F5768" s="12" t="inlineStr">
        <is>
          <t>Inlet-chilling e-house / transformer</t>
        </is>
      </c>
      <c r="G5768" s="12" t="inlineStr"/>
      <c r="H5768" s="12" t="inlineStr">
        <is>
          <t>Chillers x6 (water-cooled)</t>
        </is>
      </c>
      <c r="I5768" s="12" t="inlineStr">
        <is>
          <t>MV 5 kV</t>
        </is>
      </c>
      <c r="J5768" s="12" t="inlineStr">
        <is>
          <t>MV-105 5 kV 3/C Cu, EPR 133%, tape shield, gnd, PVC jacket</t>
        </is>
      </c>
      <c r="K5768" s="12" t="inlineStr">
        <is>
          <t>MV5|3/C|250</t>
        </is>
      </c>
      <c r="L5768" s="12" t="inlineStr">
        <is>
          <t>3/C</t>
        </is>
      </c>
      <c r="M5768" s="12" t="inlineStr">
        <is>
          <t>250 kcmil</t>
        </is>
      </c>
      <c r="N5768" s="12" t="n">
        <v>1</v>
      </c>
      <c r="O5768" s="12" t="n">
        <v>1</v>
      </c>
      <c r="P5768" s="12" t="n">
        <v>4160</v>
      </c>
      <c r="Q5768" s="12" t="n">
        <v>1500</v>
      </c>
      <c r="R5768" s="12" t="n">
        <v>231</v>
      </c>
      <c r="S5768" s="12" t="inlineStr">
        <is>
          <t>Duct bank</t>
        </is>
      </c>
      <c r="T5768" s="17" t="n">
        <v>10</v>
      </c>
      <c r="U5768" s="17" t="n">
        <v>32</v>
      </c>
      <c r="V5768" s="17">
        <f>ROUNDUP((T5768+U5768+2*'Read Me'!$B$13)*(1+'Read Me'!$B$12),-1)</f>
        <v/>
      </c>
      <c r="W5768" s="17">
        <f>V5768*N5768*O5768</f>
        <v/>
      </c>
      <c r="X5768" s="12">
        <f>IF(LEFT(I5768,2)="MV",2*N5768*IF(L5768="1/C",O5768,1),0)</f>
        <v/>
      </c>
      <c r="Y5768" s="12">
        <f>IF(OR(LEFT(K5768,4)="LVAX",LEFT(K5768,6)="MV15AX",LEFT(K5768,4)="CTAX",LEFT(K5768,2)="W|"),2*N5768*O5768,0)</f>
        <v/>
      </c>
      <c r="Z5768" s="12" t="inlineStr"/>
      <c r="AA5768" s="12">
        <f>N5768*O5768</f>
        <v/>
      </c>
    </row>
    <row r="5769">
      <c r="A5769" s="12" t="inlineStr">
        <is>
          <t>K-L-0001</t>
        </is>
      </c>
      <c r="B5769" s="12" t="inlineStr">
        <is>
          <t>K</t>
        </is>
      </c>
      <c r="C5769" s="12" t="inlineStr">
        <is>
          <t>Fuel supply (adjacent market)</t>
        </is>
      </c>
      <c r="D5769" s="12" t="inlineStr">
        <is>
          <t>Lighting, receptacles and small power branch circuits (allowance)</t>
        </is>
      </c>
      <c r="E5769" s="12" t="inlineStr"/>
      <c r="F5769" s="12" t="inlineStr">
        <is>
          <t>H2 20: 13.8 kV e-house</t>
        </is>
      </c>
      <c r="G5769" s="12" t="inlineStr"/>
      <c r="H5769" s="12" t="inlineStr">
        <is>
          <t>H2 20: 13.8 kV e-house</t>
        </is>
      </c>
      <c r="I5769" s="12" t="inlineStr">
        <is>
          <t>Building wire</t>
        </is>
      </c>
      <c r="J5769" s="12" t="inlineStr">
        <is>
          <t>SIMpull THHN/THWN-2 600 V 1/C Cu (lighting, receptacles, small power)</t>
        </is>
      </c>
      <c r="K5769" s="12" t="inlineStr">
        <is>
          <t>THHN|1/C|12</t>
        </is>
      </c>
      <c r="L5769" s="12" t="inlineStr">
        <is>
          <t>1/C</t>
        </is>
      </c>
      <c r="M5769" s="12" t="inlineStr">
        <is>
          <t>12</t>
        </is>
      </c>
      <c r="N5769" s="12" t="n">
        <v>1</v>
      </c>
      <c r="O5769" s="12" t="n">
        <v>1</v>
      </c>
      <c r="P5769" s="12" t="n">
        <v>277</v>
      </c>
      <c r="Q5769" s="12" t="n"/>
      <c r="R5769" s="12" t="n"/>
      <c r="S5769" s="12" t="inlineStr">
        <is>
          <t>Conduit</t>
        </is>
      </c>
      <c r="T5769" s="17" t="n">
        <v>1536</v>
      </c>
      <c r="U5769" s="17" t="n">
        <v>0</v>
      </c>
      <c r="V5769" s="17">
        <f>ROUNDUP((T5769+U5769+2*'Read Me'!$B$13)*(1+'Read Me'!$B$12),-1)</f>
        <v/>
      </c>
      <c r="W5769" s="17">
        <f>V5769*N5769*O5769</f>
        <v/>
      </c>
      <c r="X5769" s="12">
        <f>IF(LEFT(I5769,2)="MV",2*N5769*IF(L5769="1/C",O5769,1),0)</f>
        <v/>
      </c>
      <c r="Y5769" s="12">
        <f>IF(OR(LEFT(K5769,4)="LVAX",LEFT(K5769,6)="MV15AX",LEFT(K5769,4)="CTAX",LEFT(K5769,2)="W|"),2*N5769*O5769,0)</f>
        <v/>
      </c>
      <c r="Z5769" s="12" t="inlineStr">
        <is>
          <t>allowance: 1.6 ft of conductor per ft2 of floor</t>
        </is>
      </c>
      <c r="AA5769" s="12">
        <f>N5769*O5769</f>
        <v/>
      </c>
    </row>
    <row r="5770">
      <c r="A5770" s="12" t="inlineStr">
        <is>
          <t>K-L-0002</t>
        </is>
      </c>
      <c r="B5770" s="12" t="inlineStr">
        <is>
          <t>K</t>
        </is>
      </c>
      <c r="C5770" s="12" t="inlineStr">
        <is>
          <t>Fuel supply (adjacent market)</t>
        </is>
      </c>
      <c r="D5770" s="12" t="inlineStr">
        <is>
          <t>Lighting, receptacles and small power branch circuits (allowance)</t>
        </is>
      </c>
      <c r="E5770" s="12" t="inlineStr"/>
      <c r="F5770" s="12" t="inlineStr">
        <is>
          <t>LNG 17: LNG e-house (13.8 kV / 480 V)</t>
        </is>
      </c>
      <c r="G5770" s="12" t="inlineStr"/>
      <c r="H5770" s="12" t="inlineStr">
        <is>
          <t>LNG 17: LNG e-house (13.8 kV / 480 V)</t>
        </is>
      </c>
      <c r="I5770" s="12" t="inlineStr">
        <is>
          <t>Building wire</t>
        </is>
      </c>
      <c r="J5770" s="12" t="inlineStr">
        <is>
          <t>SIMpull THHN/THWN-2 600 V 1/C Cu (lighting, receptacles, small power)</t>
        </is>
      </c>
      <c r="K5770" s="12" t="inlineStr">
        <is>
          <t>THHN|1/C|12</t>
        </is>
      </c>
      <c r="L5770" s="12" t="inlineStr">
        <is>
          <t>1/C</t>
        </is>
      </c>
      <c r="M5770" s="12" t="inlineStr">
        <is>
          <t>12</t>
        </is>
      </c>
      <c r="N5770" s="12" t="n">
        <v>1</v>
      </c>
      <c r="O5770" s="12" t="n">
        <v>1</v>
      </c>
      <c r="P5770" s="12" t="n">
        <v>277</v>
      </c>
      <c r="Q5770" s="12" t="n"/>
      <c r="R5770" s="12" t="n"/>
      <c r="S5770" s="12" t="inlineStr">
        <is>
          <t>Conduit</t>
        </is>
      </c>
      <c r="T5770" s="17" t="n">
        <v>896</v>
      </c>
      <c r="U5770" s="17" t="n">
        <v>0</v>
      </c>
      <c r="V5770" s="17">
        <f>ROUNDUP((T5770+U5770+2*'Read Me'!$B$13)*(1+'Read Me'!$B$12),-1)</f>
        <v/>
      </c>
      <c r="W5770" s="17">
        <f>V5770*N5770*O5770</f>
        <v/>
      </c>
      <c r="X5770" s="12">
        <f>IF(LEFT(I5770,2)="MV",2*N5770*IF(L5770="1/C",O5770,1),0)</f>
        <v/>
      </c>
      <c r="Y5770" s="12">
        <f>IF(OR(LEFT(K5770,4)="LVAX",LEFT(K5770,6)="MV15AX",LEFT(K5770,4)="CTAX",LEFT(K5770,2)="W|"),2*N5770*O5770,0)</f>
        <v/>
      </c>
      <c r="Z5770" s="12" t="inlineStr">
        <is>
          <t>allowance: 1.6 ft of conductor per ft2 of floor</t>
        </is>
      </c>
      <c r="AA5770" s="12">
        <f>N5770*O5770</f>
        <v/>
      </c>
    </row>
    <row r="5771">
      <c r="A5771" s="12" t="inlineStr">
        <is>
          <t>K-L-0003</t>
        </is>
      </c>
      <c r="B5771" s="12" t="inlineStr">
        <is>
          <t>K</t>
        </is>
      </c>
      <c r="C5771" s="12" t="inlineStr">
        <is>
          <t>Fuel supply (adjacent market)</t>
        </is>
      </c>
      <c r="D5771" s="12" t="inlineStr">
        <is>
          <t>Lighting, receptacles and small power branch circuits (allowance)</t>
        </is>
      </c>
      <c r="E5771" s="12" t="inlineStr"/>
      <c r="F5771" s="12" t="inlineStr">
        <is>
          <t>M&amp;R 6: regulation / flow control building</t>
        </is>
      </c>
      <c r="G5771" s="12" t="inlineStr"/>
      <c r="H5771" s="12" t="inlineStr">
        <is>
          <t>M&amp;R 6: regulation / flow control building</t>
        </is>
      </c>
      <c r="I5771" s="12" t="inlineStr">
        <is>
          <t>Building wire</t>
        </is>
      </c>
      <c r="J5771" s="12" t="inlineStr">
        <is>
          <t>SIMpull THHN/THWN-2 600 V 1/C Cu (lighting, receptacles, small power)</t>
        </is>
      </c>
      <c r="K5771" s="12" t="inlineStr">
        <is>
          <t>THHN|1/C|12</t>
        </is>
      </c>
      <c r="L5771" s="12" t="inlineStr">
        <is>
          <t>1/C</t>
        </is>
      </c>
      <c r="M5771" s="12" t="inlineStr">
        <is>
          <t>12</t>
        </is>
      </c>
      <c r="N5771" s="12" t="n">
        <v>1</v>
      </c>
      <c r="O5771" s="12" t="n">
        <v>1</v>
      </c>
      <c r="P5771" s="12" t="n">
        <v>277</v>
      </c>
      <c r="Q5771" s="12" t="n"/>
      <c r="R5771" s="12" t="n"/>
      <c r="S5771" s="12" t="inlineStr">
        <is>
          <t>Conduit</t>
        </is>
      </c>
      <c r="T5771" s="17" t="n">
        <v>1440</v>
      </c>
      <c r="U5771" s="17" t="n">
        <v>0</v>
      </c>
      <c r="V5771" s="17">
        <f>ROUNDUP((T5771+U5771+2*'Read Me'!$B$13)*(1+'Read Me'!$B$12),-1)</f>
        <v/>
      </c>
      <c r="W5771" s="17">
        <f>V5771*N5771*O5771</f>
        <v/>
      </c>
      <c r="X5771" s="12">
        <f>IF(LEFT(I5771,2)="MV",2*N5771*IF(L5771="1/C",O5771,1),0)</f>
        <v/>
      </c>
      <c r="Y5771" s="12">
        <f>IF(OR(LEFT(K5771,4)="LVAX",LEFT(K5771,6)="MV15AX",LEFT(K5771,4)="CTAX",LEFT(K5771,2)="W|"),2*N5771*O5771,0)</f>
        <v/>
      </c>
      <c r="Z5771" s="12" t="inlineStr">
        <is>
          <t>allowance: 1.6 ft of conductor per ft2 of floor</t>
        </is>
      </c>
      <c r="AA5771" s="12">
        <f>N5771*O5771</f>
        <v/>
      </c>
    </row>
    <row r="5772">
      <c r="A5772" s="12" t="inlineStr">
        <is>
          <t>K-L-0004</t>
        </is>
      </c>
      <c r="B5772" s="12" t="inlineStr">
        <is>
          <t>K</t>
        </is>
      </c>
      <c r="C5772" s="12" t="inlineStr">
        <is>
          <t>Fuel supply (adjacent market)</t>
        </is>
      </c>
      <c r="D5772" s="12" t="inlineStr">
        <is>
          <t>Lighting, receptacles and small power branch circuits (allowance)</t>
        </is>
      </c>
      <c r="E5772" s="12" t="inlineStr"/>
      <c r="F5772" s="12" t="inlineStr">
        <is>
          <t>M&amp;R 7: gas quality + measurement building</t>
        </is>
      </c>
      <c r="G5772" s="12" t="inlineStr"/>
      <c r="H5772" s="12" t="inlineStr">
        <is>
          <t>M&amp;R 7: gas quality + measurement building</t>
        </is>
      </c>
      <c r="I5772" s="12" t="inlineStr">
        <is>
          <t>Building wire</t>
        </is>
      </c>
      <c r="J5772" s="12" t="inlineStr">
        <is>
          <t>SIMpull THHN/THWN-2 600 V 1/C Cu (lighting, receptacles, small power)</t>
        </is>
      </c>
      <c r="K5772" s="12" t="inlineStr">
        <is>
          <t>THHN|1/C|12</t>
        </is>
      </c>
      <c r="L5772" s="12" t="inlineStr">
        <is>
          <t>1/C</t>
        </is>
      </c>
      <c r="M5772" s="12" t="inlineStr">
        <is>
          <t>12</t>
        </is>
      </c>
      <c r="N5772" s="12" t="n">
        <v>1</v>
      </c>
      <c r="O5772" s="12" t="n">
        <v>1</v>
      </c>
      <c r="P5772" s="12" t="n">
        <v>277</v>
      </c>
      <c r="Q5772" s="12" t="n"/>
      <c r="R5772" s="12" t="n"/>
      <c r="S5772" s="12" t="inlineStr">
        <is>
          <t>Conduit</t>
        </is>
      </c>
      <c r="T5772" s="17" t="n">
        <v>205</v>
      </c>
      <c r="U5772" s="17" t="n">
        <v>0</v>
      </c>
      <c r="V5772" s="17">
        <f>ROUNDUP((T5772+U5772+2*'Read Me'!$B$13)*(1+'Read Me'!$B$12),-1)</f>
        <v/>
      </c>
      <c r="W5772" s="17">
        <f>V5772*N5772*O5772</f>
        <v/>
      </c>
      <c r="X5772" s="12">
        <f>IF(LEFT(I5772,2)="MV",2*N5772*IF(L5772="1/C",O5772,1),0)</f>
        <v/>
      </c>
      <c r="Y5772" s="12">
        <f>IF(OR(LEFT(K5772,4)="LVAX",LEFT(K5772,6)="MV15AX",LEFT(K5772,4)="CTAX",LEFT(K5772,2)="W|"),2*N5772*O5772,0)</f>
        <v/>
      </c>
      <c r="Z5772" s="12" t="inlineStr">
        <is>
          <t>allowance: 1.6 ft of conductor per ft2 of floor</t>
        </is>
      </c>
      <c r="AA5772" s="12">
        <f>N5772*O5772</f>
        <v/>
      </c>
    </row>
    <row r="5773">
      <c r="A5773" s="12" t="inlineStr">
        <is>
          <t>K-C-0001</t>
        </is>
      </c>
      <c r="B5773" s="12" t="inlineStr">
        <is>
          <t>K</t>
        </is>
      </c>
      <c r="C5773" s="12" t="inlineStr">
        <is>
          <t>Fuel supply (adjacent market)</t>
        </is>
      </c>
      <c r="D5773" s="12" t="inlineStr">
        <is>
          <t>Motor 1 of 1: control / local station</t>
        </is>
      </c>
      <c r="E5773" s="12" t="inlineStr"/>
      <c r="F5773" s="12" t="inlineStr">
        <is>
          <t>H2 20: 13.8 kV e-house</t>
        </is>
      </c>
      <c r="G5773" s="12" t="inlineStr">
        <is>
          <t>T-H2</t>
        </is>
      </c>
      <c r="H5773" s="12" t="inlineStr">
        <is>
          <t>H2 19: T-H2 230/13.8 kV (about 40 MVA)</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7" t="n">
        <v>35</v>
      </c>
      <c r="U5773" s="17" t="n">
        <v>32</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K-C-0002</t>
        </is>
      </c>
      <c r="B5774" s="12" t="inlineStr">
        <is>
          <t>K</t>
        </is>
      </c>
      <c r="C5774" s="12" t="inlineStr">
        <is>
          <t>Fuel supply (adjacent market)</t>
        </is>
      </c>
      <c r="D5774" s="12" t="inlineStr">
        <is>
          <t>Solenoid to JB JB-T-H2-SOL01: 2 x 2/C (field cables)</t>
        </is>
      </c>
      <c r="E5774" s="12" t="inlineStr">
        <is>
          <t>T-H2</t>
        </is>
      </c>
      <c r="F5774" s="12" t="inlineStr">
        <is>
          <t>H2 19: T-H2 230/13.8 kV (about 40 MVA)</t>
        </is>
      </c>
      <c r="G5774" s="12" t="inlineStr">
        <is>
          <t>JB-T-H2-SOL01</t>
        </is>
      </c>
      <c r="H5774" s="12" t="inlineStr">
        <is>
          <t>H2 19: T-H2 230/13.8 kV (about 40 MVA)</t>
        </is>
      </c>
      <c r="I5774" s="12" t="inlineStr">
        <is>
          <t>Control</t>
        </is>
      </c>
      <c r="J5774" s="12" t="inlineStr">
        <is>
          <t>ARMOR-X MC-HL 600 V control, Cu #14 AWG (Class I Div 2)</t>
        </is>
      </c>
      <c r="K5774" s="12" t="inlineStr">
        <is>
          <t>CTAX|2/C|14</t>
        </is>
      </c>
      <c r="L5774" s="12" t="inlineStr">
        <is>
          <t>2/C</t>
        </is>
      </c>
      <c r="M5774" s="12" t="inlineStr">
        <is>
          <t>14</t>
        </is>
      </c>
      <c r="N5774" s="12" t="n">
        <v>2</v>
      </c>
      <c r="O5774" s="12" t="n">
        <v>1</v>
      </c>
      <c r="P5774" s="12" t="n"/>
      <c r="Q5774" s="12" t="n"/>
      <c r="R5774" s="12" t="n"/>
      <c r="S5774" s="12" t="inlineStr">
        <is>
          <t>Tray / conduit</t>
        </is>
      </c>
      <c r="T5774" s="17" t="n">
        <v>80</v>
      </c>
      <c r="U5774" s="17" t="n">
        <v>10</v>
      </c>
      <c r="V5774" s="17">
        <f>ROUNDUP((T5774+U5774+2*'Read Me'!$B$13)*(1+'Read Me'!$B$12),-1)</f>
        <v/>
      </c>
      <c r="W5774" s="17">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K-C-0003</t>
        </is>
      </c>
      <c r="B5775" s="12" t="inlineStr">
        <is>
          <t>K</t>
        </is>
      </c>
      <c r="C5775" s="12" t="inlineStr">
        <is>
          <t>Fuel supply (adjacent market)</t>
        </is>
      </c>
      <c r="D5775" s="12" t="inlineStr">
        <is>
          <t>Home run JB-T-H2-SOL01 to the control / marshalling room</t>
        </is>
      </c>
      <c r="E5775" s="12" t="inlineStr"/>
      <c r="F5775" s="12" t="inlineStr">
        <is>
          <t>H2 20: 13.8 kV e-house</t>
        </is>
      </c>
      <c r="G5775" s="12" t="inlineStr">
        <is>
          <t>JB-T-H2-SOL01</t>
        </is>
      </c>
      <c r="H5775" s="12" t="inlineStr">
        <is>
          <t>H2 19: T-H2 230/13.8 kV (about 40 MVA)</t>
        </is>
      </c>
      <c r="I5775" s="12" t="inlineStr">
        <is>
          <t>Control</t>
        </is>
      </c>
      <c r="J5775" s="12" t="inlineStr">
        <is>
          <t>ARMOR-X MC-HL 600 V control, Cu #14 AWG (Class I Div 2)</t>
        </is>
      </c>
      <c r="K5775" s="12" t="inlineStr">
        <is>
          <t>CTAX|25/C|14</t>
        </is>
      </c>
      <c r="L5775" s="12" t="inlineStr">
        <is>
          <t>25/C</t>
        </is>
      </c>
      <c r="M5775" s="12" t="inlineStr">
        <is>
          <t>14</t>
        </is>
      </c>
      <c r="N5775" s="12" t="n">
        <v>1</v>
      </c>
      <c r="O5775" s="12" t="n">
        <v>1</v>
      </c>
      <c r="P5775" s="12" t="n"/>
      <c r="Q5775" s="12" t="n"/>
      <c r="R5775" s="12" t="n"/>
      <c r="S5775" s="12" t="inlineStr">
        <is>
          <t>Duct bank</t>
        </is>
      </c>
      <c r="T5775" s="17" t="n">
        <v>35</v>
      </c>
      <c r="U5775" s="17" t="n">
        <v>32</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K-C-0004</t>
        </is>
      </c>
      <c r="B5776" s="12" t="inlineStr">
        <is>
          <t>K</t>
        </is>
      </c>
      <c r="C5776" s="12" t="inlineStr">
        <is>
          <t>Fuel supply (adjacent market)</t>
        </is>
      </c>
      <c r="D5776" s="12" t="inlineStr">
        <is>
          <t>Motor 1 of 1: control / local station</t>
        </is>
      </c>
      <c r="E5776" s="12" t="inlineStr"/>
      <c r="F5776" s="12" t="inlineStr">
        <is>
          <t>H2 20: 13.8 kV e-house</t>
        </is>
      </c>
      <c r="G5776" s="12" t="inlineStr"/>
      <c r="H5776" s="12" t="inlineStr">
        <is>
          <t>H2 20: 13.8 kV e-house</t>
        </is>
      </c>
      <c r="I5776" s="12" t="inlineStr">
        <is>
          <t>Control</t>
        </is>
      </c>
      <c r="J5776" s="12" t="inlineStr">
        <is>
          <t>ARMOR-X MC-HL 600 V control, Cu #14 AWG (Class I Div 2)</t>
        </is>
      </c>
      <c r="K5776" s="12" t="inlineStr">
        <is>
          <t>CTAX|7/C|14</t>
        </is>
      </c>
      <c r="L5776" s="12" t="inlineStr">
        <is>
          <t>7/C</t>
        </is>
      </c>
      <c r="M5776" s="12" t="inlineStr">
        <is>
          <t>14</t>
        </is>
      </c>
      <c r="N5776" s="12" t="n">
        <v>1</v>
      </c>
      <c r="O5776" s="12" t="n">
        <v>1</v>
      </c>
      <c r="P5776" s="12" t="n"/>
      <c r="Q5776" s="12" t="n"/>
      <c r="R5776" s="12" t="n"/>
      <c r="S5776" s="12" t="inlineStr">
        <is>
          <t>Tray</t>
        </is>
      </c>
      <c r="T5776" s="17" t="n">
        <v>0</v>
      </c>
      <c r="U5776" s="17" t="n">
        <v>32</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K-C-0005</t>
        </is>
      </c>
      <c r="B5777" s="12" t="inlineStr">
        <is>
          <t>K</t>
        </is>
      </c>
      <c r="C5777" s="12" t="inlineStr">
        <is>
          <t>Fuel supply (adjacent market)</t>
        </is>
      </c>
      <c r="D5777" s="12" t="inlineStr">
        <is>
          <t>Solenoid to JB JB-H2 20: 13.8 kV e-h-SOL01: 2 x 2/C (field cables)</t>
        </is>
      </c>
      <c r="E5777" s="12" t="inlineStr"/>
      <c r="F5777" s="12" t="inlineStr">
        <is>
          <t>H2 20: 13.8 kV e-house</t>
        </is>
      </c>
      <c r="G5777" s="12" t="inlineStr">
        <is>
          <t>JB-H2 20: 13.8 kV e-h-SOL01</t>
        </is>
      </c>
      <c r="H5777" s="12" t="inlineStr">
        <is>
          <t>H2 20: 13.8 kV e-house</t>
        </is>
      </c>
      <c r="I5777" s="12" t="inlineStr">
        <is>
          <t>Control</t>
        </is>
      </c>
      <c r="J5777" s="12" t="inlineStr">
        <is>
          <t>ARMOR-X MC-HL 600 V control, Cu #14 AWG (Class I Div 2)</t>
        </is>
      </c>
      <c r="K5777" s="12" t="inlineStr">
        <is>
          <t>CTAX|2/C|14</t>
        </is>
      </c>
      <c r="L5777" s="12" t="inlineStr">
        <is>
          <t>2/C</t>
        </is>
      </c>
      <c r="M5777" s="12" t="inlineStr">
        <is>
          <t>14</t>
        </is>
      </c>
      <c r="N5777" s="12" t="n">
        <v>2</v>
      </c>
      <c r="O5777" s="12" t="n">
        <v>1</v>
      </c>
      <c r="P5777" s="12" t="n"/>
      <c r="Q5777" s="12" t="n"/>
      <c r="R5777" s="12" t="n"/>
      <c r="S5777" s="12" t="inlineStr">
        <is>
          <t>Tray / conduit</t>
        </is>
      </c>
      <c r="T5777" s="17" t="n">
        <v>69</v>
      </c>
      <c r="U5777" s="17" t="n">
        <v>10</v>
      </c>
      <c r="V5777" s="17">
        <f>ROUNDUP((T5777+U5777+2*'Read Me'!$B$13)*(1+'Read Me'!$B$12),-1)</f>
        <v/>
      </c>
      <c r="W5777" s="17">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K-C-0006</t>
        </is>
      </c>
      <c r="B5778" s="12" t="inlineStr">
        <is>
          <t>K</t>
        </is>
      </c>
      <c r="C5778" s="12" t="inlineStr">
        <is>
          <t>Fuel supply (adjacent market)</t>
        </is>
      </c>
      <c r="D5778" s="12" t="inlineStr">
        <is>
          <t>Home run JB-H2 20: 13.8 kV e-h-SOL01 to the control / marshalling room</t>
        </is>
      </c>
      <c r="E5778" s="12" t="inlineStr"/>
      <c r="F5778" s="12" t="inlineStr">
        <is>
          <t>H2 20: 13.8 kV e-house</t>
        </is>
      </c>
      <c r="G5778" s="12" t="inlineStr">
        <is>
          <t>JB-H2 20: 13.8 kV e-h-SOL01</t>
        </is>
      </c>
      <c r="H5778" s="12" t="inlineStr">
        <is>
          <t>H2 20: 13.8 kV e-house</t>
        </is>
      </c>
      <c r="I5778" s="12" t="inlineStr">
        <is>
          <t>Control</t>
        </is>
      </c>
      <c r="J5778" s="12" t="inlineStr">
        <is>
          <t>ARMOR-X MC-HL 600 V control, Cu #14 AWG (Class I Div 2)</t>
        </is>
      </c>
      <c r="K5778" s="12" t="inlineStr">
        <is>
          <t>CTAX|25/C|14</t>
        </is>
      </c>
      <c r="L5778" s="12" t="inlineStr">
        <is>
          <t>25/C</t>
        </is>
      </c>
      <c r="M5778" s="12" t="inlineStr">
        <is>
          <t>14</t>
        </is>
      </c>
      <c r="N5778" s="12" t="n">
        <v>1</v>
      </c>
      <c r="O5778" s="12" t="n">
        <v>1</v>
      </c>
      <c r="P5778" s="12" t="n"/>
      <c r="Q5778" s="12" t="n"/>
      <c r="R5778" s="12" t="n"/>
      <c r="S5778" s="12" t="inlineStr">
        <is>
          <t>Tray</t>
        </is>
      </c>
      <c r="T5778" s="17" t="n">
        <v>0</v>
      </c>
      <c r="U5778" s="17" t="n">
        <v>32</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K-C-0007</t>
        </is>
      </c>
      <c r="B5779" s="12" t="inlineStr">
        <is>
          <t>K</t>
        </is>
      </c>
      <c r="C5779" s="12" t="inlineStr">
        <is>
          <t>Fuel supply (adjacent market)</t>
        </is>
      </c>
      <c r="D5779" s="12" t="inlineStr">
        <is>
          <t>Motor 1 of 1: control / local station</t>
        </is>
      </c>
      <c r="E5779" s="12" t="inlineStr"/>
      <c r="F5779" s="12" t="inlineStr">
        <is>
          <t>H2 20: 13.8 kV e-house</t>
        </is>
      </c>
      <c r="G5779" s="12" t="inlineStr"/>
      <c r="H5779" s="12" t="inlineStr">
        <is>
          <t>H2 21: rectifier transformer 1 (7 MVA)</t>
        </is>
      </c>
      <c r="I5779" s="12" t="inlineStr">
        <is>
          <t>Control</t>
        </is>
      </c>
      <c r="J5779" s="12" t="inlineStr">
        <is>
          <t>ARMOR-X MC-HL 600 V control, Cu #14 AWG (Class I Div 2)</t>
        </is>
      </c>
      <c r="K5779" s="12" t="inlineStr">
        <is>
          <t>CTAX|7/C|14</t>
        </is>
      </c>
      <c r="L5779" s="12" t="inlineStr">
        <is>
          <t>7/C</t>
        </is>
      </c>
      <c r="M5779" s="12" t="inlineStr">
        <is>
          <t>14</t>
        </is>
      </c>
      <c r="N5779" s="12" t="n">
        <v>1</v>
      </c>
      <c r="O5779" s="12" t="n">
        <v>1</v>
      </c>
      <c r="P5779" s="12" t="n"/>
      <c r="Q5779" s="12" t="n"/>
      <c r="R5779" s="12" t="n"/>
      <c r="S5779" s="12" t="inlineStr">
        <is>
          <t>Duct bank</t>
        </is>
      </c>
      <c r="T5779" s="17" t="n">
        <v>356</v>
      </c>
      <c r="U5779" s="17" t="n">
        <v>48</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K-C-0008</t>
        </is>
      </c>
      <c r="B5780" s="12" t="inlineStr">
        <is>
          <t>K</t>
        </is>
      </c>
      <c r="C5780" s="12" t="inlineStr">
        <is>
          <t>Fuel supply (adjacent market)</t>
        </is>
      </c>
      <c r="D5780" s="12" t="inlineStr">
        <is>
          <t>Solenoid to JB JB-H2 21: rectifier t-SOL01: 2 x 2/C (field cables)</t>
        </is>
      </c>
      <c r="E5780" s="12" t="inlineStr"/>
      <c r="F5780" s="12" t="inlineStr">
        <is>
          <t>H2 21: rectifier transformer 1 (7 MVA)</t>
        </is>
      </c>
      <c r="G5780" s="12" t="inlineStr">
        <is>
          <t>JB-H2 21: rectifier t-SOL01</t>
        </is>
      </c>
      <c r="H5780" s="12" t="inlineStr">
        <is>
          <t>H2 21: rectifier transformer 1 (7 MVA)</t>
        </is>
      </c>
      <c r="I5780" s="12" t="inlineStr">
        <is>
          <t>Control</t>
        </is>
      </c>
      <c r="J5780" s="12" t="inlineStr">
        <is>
          <t>ARMOR-X MC-HL 600 V control, Cu #14 AWG (Class I Div 2)</t>
        </is>
      </c>
      <c r="K5780" s="12" t="inlineStr">
        <is>
          <t>CTAX|2/C|14</t>
        </is>
      </c>
      <c r="L5780" s="12" t="inlineStr">
        <is>
          <t>2/C</t>
        </is>
      </c>
      <c r="M5780" s="12" t="inlineStr">
        <is>
          <t>14</t>
        </is>
      </c>
      <c r="N5780" s="12" t="n">
        <v>2</v>
      </c>
      <c r="O5780" s="12" t="n">
        <v>1</v>
      </c>
      <c r="P5780" s="12" t="n"/>
      <c r="Q5780" s="12" t="n"/>
      <c r="R5780" s="12" t="n"/>
      <c r="S5780" s="12" t="inlineStr">
        <is>
          <t>Tray / conduit</t>
        </is>
      </c>
      <c r="T5780" s="17" t="n">
        <v>41</v>
      </c>
      <c r="U5780" s="17" t="n">
        <v>10</v>
      </c>
      <c r="V5780" s="17">
        <f>ROUNDUP((T5780+U5780+2*'Read Me'!$B$13)*(1+'Read Me'!$B$12),-1)</f>
        <v/>
      </c>
      <c r="W5780" s="17">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K-C-0009</t>
        </is>
      </c>
      <c r="B5781" s="12" t="inlineStr">
        <is>
          <t>K</t>
        </is>
      </c>
      <c r="C5781" s="12" t="inlineStr">
        <is>
          <t>Fuel supply (adjacent market)</t>
        </is>
      </c>
      <c r="D5781" s="12" t="inlineStr">
        <is>
          <t>Home run JB-H2 21: rectifier t-SOL01 to the control / marshalling room</t>
        </is>
      </c>
      <c r="E5781" s="12" t="inlineStr"/>
      <c r="F5781" s="12" t="inlineStr">
        <is>
          <t>H2 20: 13.8 kV e-house</t>
        </is>
      </c>
      <c r="G5781" s="12" t="inlineStr">
        <is>
          <t>JB-H2 21: rectifier t-SOL01</t>
        </is>
      </c>
      <c r="H5781" s="12" t="inlineStr">
        <is>
          <t>H2 21: rectifier transformer 1 (7 MVA)</t>
        </is>
      </c>
      <c r="I5781" s="12" t="inlineStr">
        <is>
          <t>Control</t>
        </is>
      </c>
      <c r="J5781" s="12" t="inlineStr">
        <is>
          <t>ARMOR-X MC-HL 600 V control, Cu #14 AWG (Class I Div 2)</t>
        </is>
      </c>
      <c r="K5781" s="12" t="inlineStr">
        <is>
          <t>CTAX|25/C|14</t>
        </is>
      </c>
      <c r="L5781" s="12" t="inlineStr">
        <is>
          <t>25/C</t>
        </is>
      </c>
      <c r="M5781" s="12" t="inlineStr">
        <is>
          <t>14</t>
        </is>
      </c>
      <c r="N5781" s="12" t="n">
        <v>1</v>
      </c>
      <c r="O5781" s="12" t="n">
        <v>1</v>
      </c>
      <c r="P5781" s="12" t="n"/>
      <c r="Q5781" s="12" t="n"/>
      <c r="R5781" s="12" t="n"/>
      <c r="S5781" s="12" t="inlineStr">
        <is>
          <t>Duct bank</t>
        </is>
      </c>
      <c r="T5781" s="17" t="n">
        <v>356</v>
      </c>
      <c r="U5781" s="17" t="n">
        <v>48</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K-C-0010</t>
        </is>
      </c>
      <c r="B5782" s="12" t="inlineStr">
        <is>
          <t>K</t>
        </is>
      </c>
      <c r="C5782" s="12" t="inlineStr">
        <is>
          <t>Fuel supply (adjacent market)</t>
        </is>
      </c>
      <c r="D5782" s="12" t="inlineStr">
        <is>
          <t>Control</t>
        </is>
      </c>
      <c r="E5782" s="12" t="inlineStr"/>
      <c r="F5782" s="12" t="inlineStr">
        <is>
          <t>H2 20: 13.8 kV e-house</t>
        </is>
      </c>
      <c r="G5782" s="12" t="inlineStr"/>
      <c r="H5782" s="12" t="inlineStr">
        <is>
          <t>H2 21: rectifier transformer 1 (7 MVA)</t>
        </is>
      </c>
      <c r="I5782" s="12" t="inlineStr">
        <is>
          <t>Control</t>
        </is>
      </c>
      <c r="J5782" s="12" t="inlineStr">
        <is>
          <t>ARMOR-X MC-HL 600 V control, Cu #14 AWG (Class I Div 2)</t>
        </is>
      </c>
      <c r="K5782" s="12" t="inlineStr">
        <is>
          <t>CTAX|7/C|14</t>
        </is>
      </c>
      <c r="L5782" s="12" t="inlineStr">
        <is>
          <t>7/C</t>
        </is>
      </c>
      <c r="M5782" s="12" t="inlineStr">
        <is>
          <t>14</t>
        </is>
      </c>
      <c r="N5782" s="12" t="n">
        <v>1</v>
      </c>
      <c r="O5782" s="12" t="n">
        <v>1</v>
      </c>
      <c r="P5782" s="12" t="n"/>
      <c r="Q5782" s="12" t="n"/>
      <c r="R5782" s="12" t="n"/>
      <c r="S5782" s="12" t="inlineStr">
        <is>
          <t>Duct bank</t>
        </is>
      </c>
      <c r="T5782" s="17" t="n">
        <v>356</v>
      </c>
      <c r="U5782" s="17" t="n">
        <v>48</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K-C-0011</t>
        </is>
      </c>
      <c r="B5783" s="12" t="inlineStr">
        <is>
          <t>K</t>
        </is>
      </c>
      <c r="C5783" s="12" t="inlineStr">
        <is>
          <t>Fuel supply (adjacent market)</t>
        </is>
      </c>
      <c r="D5783" s="12" t="inlineStr">
        <is>
          <t>Control</t>
        </is>
      </c>
      <c r="E5783" s="12" t="inlineStr"/>
      <c r="F5783" s="12" t="inlineStr">
        <is>
          <t>H2 20: 13.8 kV e-house</t>
        </is>
      </c>
      <c r="G5783" s="12" t="inlineStr"/>
      <c r="H5783" s="12" t="inlineStr">
        <is>
          <t>H2 21: rectifier transformer 1 (7 MVA)</t>
        </is>
      </c>
      <c r="I5783" s="12" t="inlineStr">
        <is>
          <t>Control</t>
        </is>
      </c>
      <c r="J5783" s="12" t="inlineStr">
        <is>
          <t>ARMOR-X MC-HL 600 V control, Cu #14 AWG (Class I Div 2)</t>
        </is>
      </c>
      <c r="K5783" s="12" t="inlineStr">
        <is>
          <t>CTAX|12/C|14</t>
        </is>
      </c>
      <c r="L5783" s="12" t="inlineStr">
        <is>
          <t>12/C</t>
        </is>
      </c>
      <c r="M5783" s="12" t="inlineStr">
        <is>
          <t>14</t>
        </is>
      </c>
      <c r="N5783" s="12" t="n">
        <v>1</v>
      </c>
      <c r="O5783" s="12" t="n">
        <v>1</v>
      </c>
      <c r="P5783" s="12" t="n"/>
      <c r="Q5783" s="12" t="n"/>
      <c r="R5783" s="12" t="n"/>
      <c r="S5783" s="12" t="inlineStr">
        <is>
          <t>Duct bank</t>
        </is>
      </c>
      <c r="T5783" s="17" t="n">
        <v>356</v>
      </c>
      <c r="U5783" s="17" t="n">
        <v>48</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K-C-0012</t>
        </is>
      </c>
      <c r="B5784" s="12" t="inlineStr">
        <is>
          <t>K</t>
        </is>
      </c>
      <c r="C5784" s="12" t="inlineStr">
        <is>
          <t>Fuel supply (adjacent market)</t>
        </is>
      </c>
      <c r="D5784" s="12" t="inlineStr">
        <is>
          <t>CT / VT</t>
        </is>
      </c>
      <c r="E5784" s="12" t="inlineStr"/>
      <c r="F5784" s="12" t="inlineStr">
        <is>
          <t>H2 20: 13.8 kV e-house</t>
        </is>
      </c>
      <c r="G5784" s="12" t="inlineStr"/>
      <c r="H5784" s="12" t="inlineStr">
        <is>
          <t>H2 21: rectifier transformer 1 (7 MVA)</t>
        </is>
      </c>
      <c r="I5784" s="12" t="inlineStr">
        <is>
          <t>Control</t>
        </is>
      </c>
      <c r="J5784" s="12" t="inlineStr">
        <is>
          <t>Control cable 600 V Type TC-ER, Cu #10 AWG (CT / VT circuits)</t>
        </is>
      </c>
      <c r="K5784" s="12" t="inlineStr">
        <is>
          <t>CTCT|4/C|10</t>
        </is>
      </c>
      <c r="L5784" s="12" t="inlineStr">
        <is>
          <t>4/C</t>
        </is>
      </c>
      <c r="M5784" s="12" t="inlineStr">
        <is>
          <t>10</t>
        </is>
      </c>
      <c r="N5784" s="12" t="n">
        <v>1</v>
      </c>
      <c r="O5784" s="12" t="n">
        <v>1</v>
      </c>
      <c r="P5784" s="12" t="n"/>
      <c r="Q5784" s="12" t="n"/>
      <c r="R5784" s="12" t="n"/>
      <c r="S5784" s="12" t="inlineStr">
        <is>
          <t>Duct bank</t>
        </is>
      </c>
      <c r="T5784" s="17" t="n">
        <v>356</v>
      </c>
      <c r="U5784" s="17" t="n">
        <v>48</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K-C-0013</t>
        </is>
      </c>
      <c r="B5785" s="12" t="inlineStr">
        <is>
          <t>K</t>
        </is>
      </c>
      <c r="C5785" s="12" t="inlineStr">
        <is>
          <t>Fuel supply (adjacent market)</t>
        </is>
      </c>
      <c r="D5785" s="12" t="inlineStr">
        <is>
          <t>CT / VT</t>
        </is>
      </c>
      <c r="E5785" s="12" t="inlineStr"/>
      <c r="F5785" s="12" t="inlineStr">
        <is>
          <t>H2 20: 13.8 kV e-house</t>
        </is>
      </c>
      <c r="G5785" s="12" t="inlineStr"/>
      <c r="H5785" s="12" t="inlineStr">
        <is>
          <t>H2 21: rectifier transformer 1 (7 MVA)</t>
        </is>
      </c>
      <c r="I5785" s="12" t="inlineStr">
        <is>
          <t>Control</t>
        </is>
      </c>
      <c r="J5785" s="12" t="inlineStr">
        <is>
          <t>Control cable 600 V Type TC-ER, Cu #10 AWG (CT / VT circuits)</t>
        </is>
      </c>
      <c r="K5785" s="12" t="inlineStr">
        <is>
          <t>CTCT|4/C|10</t>
        </is>
      </c>
      <c r="L5785" s="12" t="inlineStr">
        <is>
          <t>4/C</t>
        </is>
      </c>
      <c r="M5785" s="12" t="inlineStr">
        <is>
          <t>10</t>
        </is>
      </c>
      <c r="N5785" s="12" t="n">
        <v>1</v>
      </c>
      <c r="O5785" s="12" t="n">
        <v>1</v>
      </c>
      <c r="P5785" s="12" t="n"/>
      <c r="Q5785" s="12" t="n"/>
      <c r="R5785" s="12" t="n"/>
      <c r="S5785" s="12" t="inlineStr">
        <is>
          <t>Duct bank</t>
        </is>
      </c>
      <c r="T5785" s="17" t="n">
        <v>356</v>
      </c>
      <c r="U5785" s="17" t="n">
        <v>48</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K-C-0014</t>
        </is>
      </c>
      <c r="B5786" s="12" t="inlineStr">
        <is>
          <t>K</t>
        </is>
      </c>
      <c r="C5786" s="12" t="inlineStr">
        <is>
          <t>Fuel supply (adjacent market)</t>
        </is>
      </c>
      <c r="D5786" s="12" t="inlineStr">
        <is>
          <t>Motor 1 of 1: control / local station</t>
        </is>
      </c>
      <c r="E5786" s="12" t="inlineStr"/>
      <c r="F5786" s="12" t="inlineStr">
        <is>
          <t>H2 20: 13.8 kV e-house</t>
        </is>
      </c>
      <c r="G5786" s="12" t="inlineStr"/>
      <c r="H5786" s="12" t="inlineStr">
        <is>
          <t>H2 21: rectifier transformer 2 (7 MVA)</t>
        </is>
      </c>
      <c r="I5786" s="12" t="inlineStr">
        <is>
          <t>Control</t>
        </is>
      </c>
      <c r="J5786" s="12" t="inlineStr">
        <is>
          <t>ARMOR-X MC-HL 600 V control, Cu #14 AWG (Class I Div 2)</t>
        </is>
      </c>
      <c r="K5786" s="12" t="inlineStr">
        <is>
          <t>CTAX|7/C|14</t>
        </is>
      </c>
      <c r="L5786" s="12" t="inlineStr">
        <is>
          <t>7/C</t>
        </is>
      </c>
      <c r="M5786" s="12" t="inlineStr">
        <is>
          <t>14</t>
        </is>
      </c>
      <c r="N5786" s="12" t="n">
        <v>1</v>
      </c>
      <c r="O5786" s="12" t="n">
        <v>1</v>
      </c>
      <c r="P5786" s="12" t="n"/>
      <c r="Q5786" s="12" t="n"/>
      <c r="R5786" s="12" t="n"/>
      <c r="S5786" s="12" t="inlineStr">
        <is>
          <t>Duct bank</t>
        </is>
      </c>
      <c r="T5786" s="17" t="n">
        <v>356</v>
      </c>
      <c r="U5786" s="17" t="n">
        <v>32</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K-C-0015</t>
        </is>
      </c>
      <c r="B5787" s="12" t="inlineStr">
        <is>
          <t>K</t>
        </is>
      </c>
      <c r="C5787" s="12" t="inlineStr">
        <is>
          <t>Fuel supply (adjacent market)</t>
        </is>
      </c>
      <c r="D5787" s="12" t="inlineStr">
        <is>
          <t>Solenoid to JB JB-H2 21: rectifier t-SOL01: 2 x 2/C (field cables)</t>
        </is>
      </c>
      <c r="E5787" s="12" t="inlineStr"/>
      <c r="F5787" s="12" t="inlineStr">
        <is>
          <t>H2 21: rectifier transformer 2 (7 MVA)</t>
        </is>
      </c>
      <c r="G5787" s="12" t="inlineStr">
        <is>
          <t>JB-H2 21: rectifier t-SOL01</t>
        </is>
      </c>
      <c r="H5787" s="12" t="inlineStr">
        <is>
          <t>H2 21: rectifier transformer 2 (7 MVA)</t>
        </is>
      </c>
      <c r="I5787" s="12" t="inlineStr">
        <is>
          <t>Control</t>
        </is>
      </c>
      <c r="J5787" s="12" t="inlineStr">
        <is>
          <t>ARMOR-X MC-HL 600 V control, Cu #14 AWG (Class I Div 2)</t>
        </is>
      </c>
      <c r="K5787" s="12" t="inlineStr">
        <is>
          <t>CTAX|2/C|14</t>
        </is>
      </c>
      <c r="L5787" s="12" t="inlineStr">
        <is>
          <t>2/C</t>
        </is>
      </c>
      <c r="M5787" s="12" t="inlineStr">
        <is>
          <t>14</t>
        </is>
      </c>
      <c r="N5787" s="12" t="n">
        <v>2</v>
      </c>
      <c r="O5787" s="12" t="n">
        <v>1</v>
      </c>
      <c r="P5787" s="12" t="n"/>
      <c r="Q5787" s="12" t="n"/>
      <c r="R5787" s="12" t="n"/>
      <c r="S5787" s="12" t="inlineStr">
        <is>
          <t>Tray / conduit</t>
        </is>
      </c>
      <c r="T5787" s="17" t="n">
        <v>41</v>
      </c>
      <c r="U5787" s="17" t="n">
        <v>10</v>
      </c>
      <c r="V5787" s="17">
        <f>ROUNDUP((T5787+U5787+2*'Read Me'!$B$13)*(1+'Read Me'!$B$12),-1)</f>
        <v/>
      </c>
      <c r="W5787" s="17">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K-C-0016</t>
        </is>
      </c>
      <c r="B5788" s="12" t="inlineStr">
        <is>
          <t>K</t>
        </is>
      </c>
      <c r="C5788" s="12" t="inlineStr">
        <is>
          <t>Fuel supply (adjacent market)</t>
        </is>
      </c>
      <c r="D5788" s="12" t="inlineStr">
        <is>
          <t>Home run JB-H2 21: rectifier t-SOL01 to the control / marshalling room</t>
        </is>
      </c>
      <c r="E5788" s="12" t="inlineStr"/>
      <c r="F5788" s="12" t="inlineStr">
        <is>
          <t>H2 20: 13.8 kV e-house</t>
        </is>
      </c>
      <c r="G5788" s="12" t="inlineStr">
        <is>
          <t>JB-H2 21: rectifier t-SOL01</t>
        </is>
      </c>
      <c r="H5788" s="12" t="inlineStr">
        <is>
          <t>H2 21: rectifier transformer 2 (7 MVA)</t>
        </is>
      </c>
      <c r="I5788" s="12" t="inlineStr">
        <is>
          <t>Control</t>
        </is>
      </c>
      <c r="J5788" s="12" t="inlineStr">
        <is>
          <t>ARMOR-X MC-HL 600 V control, Cu #14 AWG (Class I Div 2)</t>
        </is>
      </c>
      <c r="K5788" s="12" t="inlineStr">
        <is>
          <t>CTAX|25/C|14</t>
        </is>
      </c>
      <c r="L5788" s="12" t="inlineStr">
        <is>
          <t>25/C</t>
        </is>
      </c>
      <c r="M5788" s="12" t="inlineStr">
        <is>
          <t>14</t>
        </is>
      </c>
      <c r="N5788" s="12" t="n">
        <v>1</v>
      </c>
      <c r="O5788" s="12" t="n">
        <v>1</v>
      </c>
      <c r="P5788" s="12" t="n"/>
      <c r="Q5788" s="12" t="n"/>
      <c r="R5788" s="12" t="n"/>
      <c r="S5788" s="12" t="inlineStr">
        <is>
          <t>Duct bank</t>
        </is>
      </c>
      <c r="T5788" s="17" t="n">
        <v>356</v>
      </c>
      <c r="U5788" s="17" t="n">
        <v>32</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K-C-0017</t>
        </is>
      </c>
      <c r="B5789" s="12" t="inlineStr">
        <is>
          <t>K</t>
        </is>
      </c>
      <c r="C5789" s="12" t="inlineStr">
        <is>
          <t>Fuel supply (adjacent market)</t>
        </is>
      </c>
      <c r="D5789" s="12" t="inlineStr">
        <is>
          <t>Control</t>
        </is>
      </c>
      <c r="E5789" s="12" t="inlineStr"/>
      <c r="F5789" s="12" t="inlineStr">
        <is>
          <t>H2 20: 13.8 kV e-house</t>
        </is>
      </c>
      <c r="G5789" s="12" t="inlineStr"/>
      <c r="H5789" s="12" t="inlineStr">
        <is>
          <t>H2 21: rectifier transformer 2 (7 MVA)</t>
        </is>
      </c>
      <c r="I5789" s="12" t="inlineStr">
        <is>
          <t>Control</t>
        </is>
      </c>
      <c r="J5789" s="12" t="inlineStr">
        <is>
          <t>ARMOR-X MC-HL 600 V control, Cu #14 AWG (Class I Div 2)</t>
        </is>
      </c>
      <c r="K5789" s="12" t="inlineStr">
        <is>
          <t>CTAX|7/C|14</t>
        </is>
      </c>
      <c r="L5789" s="12" t="inlineStr">
        <is>
          <t>7/C</t>
        </is>
      </c>
      <c r="M5789" s="12" t="inlineStr">
        <is>
          <t>14</t>
        </is>
      </c>
      <c r="N5789" s="12" t="n">
        <v>1</v>
      </c>
      <c r="O5789" s="12" t="n">
        <v>1</v>
      </c>
      <c r="P5789" s="12" t="n"/>
      <c r="Q5789" s="12" t="n"/>
      <c r="R5789" s="12" t="n"/>
      <c r="S5789" s="12" t="inlineStr">
        <is>
          <t>Duct bank</t>
        </is>
      </c>
      <c r="T5789" s="17" t="n">
        <v>356</v>
      </c>
      <c r="U5789" s="17" t="n">
        <v>32</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K-C-0018</t>
        </is>
      </c>
      <c r="B5790" s="12" t="inlineStr">
        <is>
          <t>K</t>
        </is>
      </c>
      <c r="C5790" s="12" t="inlineStr">
        <is>
          <t>Fuel supply (adjacent market)</t>
        </is>
      </c>
      <c r="D5790" s="12" t="inlineStr">
        <is>
          <t>Control</t>
        </is>
      </c>
      <c r="E5790" s="12" t="inlineStr"/>
      <c r="F5790" s="12" t="inlineStr">
        <is>
          <t>H2 20: 13.8 kV e-house</t>
        </is>
      </c>
      <c r="G5790" s="12" t="inlineStr"/>
      <c r="H5790" s="12" t="inlineStr">
        <is>
          <t>H2 21: rectifier transformer 2 (7 MVA)</t>
        </is>
      </c>
      <c r="I5790" s="12" t="inlineStr">
        <is>
          <t>Control</t>
        </is>
      </c>
      <c r="J5790" s="12" t="inlineStr">
        <is>
          <t>ARMOR-X MC-HL 600 V control, Cu #14 AWG (Class I Div 2)</t>
        </is>
      </c>
      <c r="K5790" s="12" t="inlineStr">
        <is>
          <t>CTAX|12/C|14</t>
        </is>
      </c>
      <c r="L5790" s="12" t="inlineStr">
        <is>
          <t>12/C</t>
        </is>
      </c>
      <c r="M5790" s="12" t="inlineStr">
        <is>
          <t>14</t>
        </is>
      </c>
      <c r="N5790" s="12" t="n">
        <v>1</v>
      </c>
      <c r="O5790" s="12" t="n">
        <v>1</v>
      </c>
      <c r="P5790" s="12" t="n"/>
      <c r="Q5790" s="12" t="n"/>
      <c r="R5790" s="12" t="n"/>
      <c r="S5790" s="12" t="inlineStr">
        <is>
          <t>Duct bank</t>
        </is>
      </c>
      <c r="T5790" s="17" t="n">
        <v>356</v>
      </c>
      <c r="U5790" s="17" t="n">
        <v>32</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K-C-0019</t>
        </is>
      </c>
      <c r="B5791" s="12" t="inlineStr">
        <is>
          <t>K</t>
        </is>
      </c>
      <c r="C5791" s="12" t="inlineStr">
        <is>
          <t>Fuel supply (adjacent market)</t>
        </is>
      </c>
      <c r="D5791" s="12" t="inlineStr">
        <is>
          <t>CT / VT</t>
        </is>
      </c>
      <c r="E5791" s="12" t="inlineStr"/>
      <c r="F5791" s="12" t="inlineStr">
        <is>
          <t>H2 20: 13.8 kV e-house</t>
        </is>
      </c>
      <c r="G5791" s="12" t="inlineStr"/>
      <c r="H5791" s="12" t="inlineStr">
        <is>
          <t>H2 21: rectifier transformer 2 (7 MVA)</t>
        </is>
      </c>
      <c r="I5791" s="12" t="inlineStr">
        <is>
          <t>Control</t>
        </is>
      </c>
      <c r="J5791" s="12" t="inlineStr">
        <is>
          <t>Control cable 600 V Type TC-ER, Cu #10 AWG (CT / VT circuits)</t>
        </is>
      </c>
      <c r="K5791" s="12" t="inlineStr">
        <is>
          <t>CTCT|4/C|10</t>
        </is>
      </c>
      <c r="L5791" s="12" t="inlineStr">
        <is>
          <t>4/C</t>
        </is>
      </c>
      <c r="M5791" s="12" t="inlineStr">
        <is>
          <t>10</t>
        </is>
      </c>
      <c r="N5791" s="12" t="n">
        <v>1</v>
      </c>
      <c r="O5791" s="12" t="n">
        <v>1</v>
      </c>
      <c r="P5791" s="12" t="n"/>
      <c r="Q5791" s="12" t="n"/>
      <c r="R5791" s="12" t="n"/>
      <c r="S5791" s="12" t="inlineStr">
        <is>
          <t>Duct bank</t>
        </is>
      </c>
      <c r="T5791" s="17" t="n">
        <v>356</v>
      </c>
      <c r="U5791" s="17" t="n">
        <v>32</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K-C-0020</t>
        </is>
      </c>
      <c r="B5792" s="12" t="inlineStr">
        <is>
          <t>K</t>
        </is>
      </c>
      <c r="C5792" s="12" t="inlineStr">
        <is>
          <t>Fuel supply (adjacent market)</t>
        </is>
      </c>
      <c r="D5792" s="12" t="inlineStr">
        <is>
          <t>CT / VT</t>
        </is>
      </c>
      <c r="E5792" s="12" t="inlineStr"/>
      <c r="F5792" s="12" t="inlineStr">
        <is>
          <t>H2 20: 13.8 kV e-house</t>
        </is>
      </c>
      <c r="G5792" s="12" t="inlineStr"/>
      <c r="H5792" s="12" t="inlineStr">
        <is>
          <t>H2 21: rectifier transformer 2 (7 MVA)</t>
        </is>
      </c>
      <c r="I5792" s="12" t="inlineStr">
        <is>
          <t>Control</t>
        </is>
      </c>
      <c r="J5792" s="12" t="inlineStr">
        <is>
          <t>Control cable 600 V Type TC-ER, Cu #10 AWG (CT / VT circuits)</t>
        </is>
      </c>
      <c r="K5792" s="12" t="inlineStr">
        <is>
          <t>CTCT|4/C|10</t>
        </is>
      </c>
      <c r="L5792" s="12" t="inlineStr">
        <is>
          <t>4/C</t>
        </is>
      </c>
      <c r="M5792" s="12" t="inlineStr">
        <is>
          <t>10</t>
        </is>
      </c>
      <c r="N5792" s="12" t="n">
        <v>1</v>
      </c>
      <c r="O5792" s="12" t="n">
        <v>1</v>
      </c>
      <c r="P5792" s="12" t="n"/>
      <c r="Q5792" s="12" t="n"/>
      <c r="R5792" s="12" t="n"/>
      <c r="S5792" s="12" t="inlineStr">
        <is>
          <t>Duct bank</t>
        </is>
      </c>
      <c r="T5792" s="17" t="n">
        <v>356</v>
      </c>
      <c r="U5792" s="17" t="n">
        <v>32</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K-C-0021</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21: rectifier transformer 3 (7 MVA)</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7" t="n">
        <v>334</v>
      </c>
      <c r="U5793" s="17" t="n">
        <v>32</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K-C-0022</t>
        </is>
      </c>
      <c r="B5794" s="12" t="inlineStr">
        <is>
          <t>K</t>
        </is>
      </c>
      <c r="C5794" s="12" t="inlineStr">
        <is>
          <t>Fuel supply (adjacent market)</t>
        </is>
      </c>
      <c r="D5794" s="12" t="inlineStr">
        <is>
          <t>Solenoid to JB JB-H2 21: rectifier t-SOL01: 2 x 2/C (field cables)</t>
        </is>
      </c>
      <c r="E5794" s="12" t="inlineStr"/>
      <c r="F5794" s="12" t="inlineStr">
        <is>
          <t>H2 21: rectifier transformer 3 (7 MVA)</t>
        </is>
      </c>
      <c r="G5794" s="12" t="inlineStr">
        <is>
          <t>JB-H2 21: rectifier t-SOL01</t>
        </is>
      </c>
      <c r="H5794" s="12" t="inlineStr">
        <is>
          <t>H2 21: rectifier transformer 3 (7 MVA)</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7" t="n">
        <v>41</v>
      </c>
      <c r="U5794" s="17" t="n">
        <v>10</v>
      </c>
      <c r="V5794" s="17">
        <f>ROUNDUP((T5794+U5794+2*'Read Me'!$B$13)*(1+'Read Me'!$B$12),-1)</f>
        <v/>
      </c>
      <c r="W5794" s="17">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K-C-0023</t>
        </is>
      </c>
      <c r="B5795" s="12" t="inlineStr">
        <is>
          <t>K</t>
        </is>
      </c>
      <c r="C5795" s="12" t="inlineStr">
        <is>
          <t>Fuel supply (adjacent market)</t>
        </is>
      </c>
      <c r="D5795" s="12" t="inlineStr">
        <is>
          <t>Home run JB-H2 21: rectifier t-SOL01 to the control / marshalling room</t>
        </is>
      </c>
      <c r="E5795" s="12" t="inlineStr"/>
      <c r="F5795" s="12" t="inlineStr">
        <is>
          <t>H2 20: 13.8 kV e-house</t>
        </is>
      </c>
      <c r="G5795" s="12" t="inlineStr">
        <is>
          <t>JB-H2 21: rectifier t-SOL01</t>
        </is>
      </c>
      <c r="H5795" s="12" t="inlineStr">
        <is>
          <t>H2 21: rectifier transformer 3 (7 MVA)</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7" t="n">
        <v>334</v>
      </c>
      <c r="U5795" s="17" t="n">
        <v>32</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K-C-0024</t>
        </is>
      </c>
      <c r="B5796" s="12" t="inlineStr">
        <is>
          <t>K</t>
        </is>
      </c>
      <c r="C5796" s="12" t="inlineStr">
        <is>
          <t>Fuel supply (adjacent market)</t>
        </is>
      </c>
      <c r="D5796" s="12" t="inlineStr">
        <is>
          <t>Control</t>
        </is>
      </c>
      <c r="E5796" s="12" t="inlineStr"/>
      <c r="F5796" s="12" t="inlineStr">
        <is>
          <t>H2 20: 13.8 kV e-house</t>
        </is>
      </c>
      <c r="G5796" s="12" t="inlineStr"/>
      <c r="H5796" s="12" t="inlineStr">
        <is>
          <t>H2 21: rectifier transformer 3 (7 MVA)</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7" t="n">
        <v>334</v>
      </c>
      <c r="U5796" s="17" t="n">
        <v>32</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K-C-0025</t>
        </is>
      </c>
      <c r="B5797" s="12" t="inlineStr">
        <is>
          <t>K</t>
        </is>
      </c>
      <c r="C5797" s="12" t="inlineStr">
        <is>
          <t>Fuel supply (adjacent market)</t>
        </is>
      </c>
      <c r="D5797" s="12" t="inlineStr">
        <is>
          <t>Control</t>
        </is>
      </c>
      <c r="E5797" s="12" t="inlineStr"/>
      <c r="F5797" s="12" t="inlineStr">
        <is>
          <t>H2 20: 13.8 kV e-house</t>
        </is>
      </c>
      <c r="G5797" s="12" t="inlineStr"/>
      <c r="H5797" s="12" t="inlineStr">
        <is>
          <t>H2 21: rectifier transformer 3 (7 MVA)</t>
        </is>
      </c>
      <c r="I5797" s="12" t="inlineStr">
        <is>
          <t>Control</t>
        </is>
      </c>
      <c r="J5797" s="12" t="inlineStr">
        <is>
          <t>ARMOR-X MC-HL 600 V control, Cu #14 AWG (Class I Div 2)</t>
        </is>
      </c>
      <c r="K5797" s="12" t="inlineStr">
        <is>
          <t>CTAX|12/C|14</t>
        </is>
      </c>
      <c r="L5797" s="12" t="inlineStr">
        <is>
          <t>12/C</t>
        </is>
      </c>
      <c r="M5797" s="12" t="inlineStr">
        <is>
          <t>14</t>
        </is>
      </c>
      <c r="N5797" s="12" t="n">
        <v>1</v>
      </c>
      <c r="O5797" s="12" t="n">
        <v>1</v>
      </c>
      <c r="P5797" s="12" t="n"/>
      <c r="Q5797" s="12" t="n"/>
      <c r="R5797" s="12" t="n"/>
      <c r="S5797" s="12" t="inlineStr">
        <is>
          <t>Duct bank</t>
        </is>
      </c>
      <c r="T5797" s="17" t="n">
        <v>334</v>
      </c>
      <c r="U5797" s="17" t="n">
        <v>32</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K-C-0026</t>
        </is>
      </c>
      <c r="B5798" s="12" t="inlineStr">
        <is>
          <t>K</t>
        </is>
      </c>
      <c r="C5798" s="12" t="inlineStr">
        <is>
          <t>Fuel supply (adjacent market)</t>
        </is>
      </c>
      <c r="D5798" s="12" t="inlineStr">
        <is>
          <t>CT / VT</t>
        </is>
      </c>
      <c r="E5798" s="12" t="inlineStr"/>
      <c r="F5798" s="12" t="inlineStr">
        <is>
          <t>H2 20: 13.8 kV e-house</t>
        </is>
      </c>
      <c r="G5798" s="12" t="inlineStr"/>
      <c r="H5798" s="12" t="inlineStr">
        <is>
          <t>H2 21: rectifier transformer 3 (7 MVA)</t>
        </is>
      </c>
      <c r="I5798" s="12" t="inlineStr">
        <is>
          <t>Control</t>
        </is>
      </c>
      <c r="J5798" s="12" t="inlineStr">
        <is>
          <t>Control cable 600 V Type TC-ER, Cu #10 AWG (CT / VT circuits)</t>
        </is>
      </c>
      <c r="K5798" s="12" t="inlineStr">
        <is>
          <t>CTCT|4/C|10</t>
        </is>
      </c>
      <c r="L5798" s="12" t="inlineStr">
        <is>
          <t>4/C</t>
        </is>
      </c>
      <c r="M5798" s="12" t="inlineStr">
        <is>
          <t>10</t>
        </is>
      </c>
      <c r="N5798" s="12" t="n">
        <v>1</v>
      </c>
      <c r="O5798" s="12" t="n">
        <v>1</v>
      </c>
      <c r="P5798" s="12" t="n"/>
      <c r="Q5798" s="12" t="n"/>
      <c r="R5798" s="12" t="n"/>
      <c r="S5798" s="12" t="inlineStr">
        <is>
          <t>Duct bank</t>
        </is>
      </c>
      <c r="T5798" s="17" t="n">
        <v>334</v>
      </c>
      <c r="U5798" s="17" t="n">
        <v>32</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K-C-0027</t>
        </is>
      </c>
      <c r="B5799" s="12" t="inlineStr">
        <is>
          <t>K</t>
        </is>
      </c>
      <c r="C5799" s="12" t="inlineStr">
        <is>
          <t>Fuel supply (adjacent market)</t>
        </is>
      </c>
      <c r="D5799" s="12" t="inlineStr">
        <is>
          <t>CT / VT</t>
        </is>
      </c>
      <c r="E5799" s="12" t="inlineStr"/>
      <c r="F5799" s="12" t="inlineStr">
        <is>
          <t>H2 20: 13.8 kV e-house</t>
        </is>
      </c>
      <c r="G5799" s="12" t="inlineStr"/>
      <c r="H5799" s="12" t="inlineStr">
        <is>
          <t>H2 21: rectifier transformer 3 (7 MVA)</t>
        </is>
      </c>
      <c r="I5799" s="12" t="inlineStr">
        <is>
          <t>Control</t>
        </is>
      </c>
      <c r="J5799" s="12" t="inlineStr">
        <is>
          <t>Control cable 600 V Type TC-ER, Cu #10 AWG (CT / VT circuits)</t>
        </is>
      </c>
      <c r="K5799" s="12" t="inlineStr">
        <is>
          <t>CTCT|4/C|10</t>
        </is>
      </c>
      <c r="L5799" s="12" t="inlineStr">
        <is>
          <t>4/C</t>
        </is>
      </c>
      <c r="M5799" s="12" t="inlineStr">
        <is>
          <t>10</t>
        </is>
      </c>
      <c r="N5799" s="12" t="n">
        <v>1</v>
      </c>
      <c r="O5799" s="12" t="n">
        <v>1</v>
      </c>
      <c r="P5799" s="12" t="n"/>
      <c r="Q5799" s="12" t="n"/>
      <c r="R5799" s="12" t="n"/>
      <c r="S5799" s="12" t="inlineStr">
        <is>
          <t>Duct bank</t>
        </is>
      </c>
      <c r="T5799" s="17" t="n">
        <v>334</v>
      </c>
      <c r="U5799" s="17" t="n">
        <v>32</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K-C-0028</t>
        </is>
      </c>
      <c r="B5800" s="12" t="inlineStr">
        <is>
          <t>K</t>
        </is>
      </c>
      <c r="C5800" s="12" t="inlineStr">
        <is>
          <t>Fuel supply (adjacent market)</t>
        </is>
      </c>
      <c r="D5800" s="12" t="inlineStr">
        <is>
          <t>Motor 1 of 1: control / local station</t>
        </is>
      </c>
      <c r="E5800" s="12" t="inlineStr"/>
      <c r="F5800" s="12" t="inlineStr">
        <is>
          <t>H2 20: 13.8 kV e-house</t>
        </is>
      </c>
      <c r="G5800" s="12" t="inlineStr"/>
      <c r="H5800" s="12" t="inlineStr">
        <is>
          <t>H2 21: rectifier transformer 4 (7 MVA)</t>
        </is>
      </c>
      <c r="I5800" s="12" t="inlineStr">
        <is>
          <t>Control</t>
        </is>
      </c>
      <c r="J5800" s="12" t="inlineStr">
        <is>
          <t>ARMOR-X MC-HL 600 V control, Cu #14 AWG (Class I Div 2)</t>
        </is>
      </c>
      <c r="K5800" s="12" t="inlineStr">
        <is>
          <t>CTAX|7/C|14</t>
        </is>
      </c>
      <c r="L5800" s="12" t="inlineStr">
        <is>
          <t>7/C</t>
        </is>
      </c>
      <c r="M5800" s="12" t="inlineStr">
        <is>
          <t>14</t>
        </is>
      </c>
      <c r="N5800" s="12" t="n">
        <v>1</v>
      </c>
      <c r="O5800" s="12" t="n">
        <v>1</v>
      </c>
      <c r="P5800" s="12" t="n"/>
      <c r="Q5800" s="12" t="n"/>
      <c r="R5800" s="12" t="n"/>
      <c r="S5800" s="12" t="inlineStr">
        <is>
          <t>Duct bank</t>
        </is>
      </c>
      <c r="T5800" s="17" t="n">
        <v>312</v>
      </c>
      <c r="U5800" s="17" t="n">
        <v>32</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K-C-0029</t>
        </is>
      </c>
      <c r="B5801" s="12" t="inlineStr">
        <is>
          <t>K</t>
        </is>
      </c>
      <c r="C5801" s="12" t="inlineStr">
        <is>
          <t>Fuel supply (adjacent market)</t>
        </is>
      </c>
      <c r="D5801" s="12" t="inlineStr">
        <is>
          <t>Solenoid to JB JB-H2 21: rectifier t-SOL01: 2 x 2/C (field cables)</t>
        </is>
      </c>
      <c r="E5801" s="12" t="inlineStr"/>
      <c r="F5801" s="12" t="inlineStr">
        <is>
          <t>H2 21: rectifier transformer 4 (7 MVA)</t>
        </is>
      </c>
      <c r="G5801" s="12" t="inlineStr">
        <is>
          <t>JB-H2 21: rectifier t-SOL01</t>
        </is>
      </c>
      <c r="H5801" s="12" t="inlineStr">
        <is>
          <t>H2 21: rectifier transformer 4 (7 MVA)</t>
        </is>
      </c>
      <c r="I5801" s="12" t="inlineStr">
        <is>
          <t>Control</t>
        </is>
      </c>
      <c r="J5801" s="12" t="inlineStr">
        <is>
          <t>ARMOR-X MC-HL 600 V control, Cu #14 AWG (Class I Div 2)</t>
        </is>
      </c>
      <c r="K5801" s="12" t="inlineStr">
        <is>
          <t>CTAX|2/C|14</t>
        </is>
      </c>
      <c r="L5801" s="12" t="inlineStr">
        <is>
          <t>2/C</t>
        </is>
      </c>
      <c r="M5801" s="12" t="inlineStr">
        <is>
          <t>14</t>
        </is>
      </c>
      <c r="N5801" s="12" t="n">
        <v>2</v>
      </c>
      <c r="O5801" s="12" t="n">
        <v>1</v>
      </c>
      <c r="P5801" s="12" t="n"/>
      <c r="Q5801" s="12" t="n"/>
      <c r="R5801" s="12" t="n"/>
      <c r="S5801" s="12" t="inlineStr">
        <is>
          <t>Tray / conduit</t>
        </is>
      </c>
      <c r="T5801" s="17" t="n">
        <v>41</v>
      </c>
      <c r="U5801" s="17" t="n">
        <v>10</v>
      </c>
      <c r="V5801" s="17">
        <f>ROUNDUP((T5801+U5801+2*'Read Me'!$B$13)*(1+'Read Me'!$B$12),-1)</f>
        <v/>
      </c>
      <c r="W5801" s="17">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K-C-0030</t>
        </is>
      </c>
      <c r="B5802" s="12" t="inlineStr">
        <is>
          <t>K</t>
        </is>
      </c>
      <c r="C5802" s="12" t="inlineStr">
        <is>
          <t>Fuel supply (adjacent market)</t>
        </is>
      </c>
      <c r="D5802" s="12" t="inlineStr">
        <is>
          <t>Home run JB-H2 21: rectifier t-SOL01 to the control / marshalling room</t>
        </is>
      </c>
      <c r="E5802" s="12" t="inlineStr"/>
      <c r="F5802" s="12" t="inlineStr">
        <is>
          <t>H2 20: 13.8 kV e-house</t>
        </is>
      </c>
      <c r="G5802" s="12" t="inlineStr">
        <is>
          <t>JB-H2 21: rectifier t-SOL01</t>
        </is>
      </c>
      <c r="H5802" s="12" t="inlineStr">
        <is>
          <t>H2 21: rectifier transformer 4 (7 MVA)</t>
        </is>
      </c>
      <c r="I5802" s="12" t="inlineStr">
        <is>
          <t>Control</t>
        </is>
      </c>
      <c r="J5802" s="12" t="inlineStr">
        <is>
          <t>ARMOR-X MC-HL 600 V control, Cu #14 AWG (Class I Div 2)</t>
        </is>
      </c>
      <c r="K5802" s="12" t="inlineStr">
        <is>
          <t>CTAX|25/C|14</t>
        </is>
      </c>
      <c r="L5802" s="12" t="inlineStr">
        <is>
          <t>25/C</t>
        </is>
      </c>
      <c r="M5802" s="12" t="inlineStr">
        <is>
          <t>14</t>
        </is>
      </c>
      <c r="N5802" s="12" t="n">
        <v>1</v>
      </c>
      <c r="O5802" s="12" t="n">
        <v>1</v>
      </c>
      <c r="P5802" s="12" t="n"/>
      <c r="Q5802" s="12" t="n"/>
      <c r="R5802" s="12" t="n"/>
      <c r="S5802" s="12" t="inlineStr">
        <is>
          <t>Duct bank</t>
        </is>
      </c>
      <c r="T5802" s="17" t="n">
        <v>312</v>
      </c>
      <c r="U5802" s="17" t="n">
        <v>32</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K-C-0031</t>
        </is>
      </c>
      <c r="B5803" s="12" t="inlineStr">
        <is>
          <t>K</t>
        </is>
      </c>
      <c r="C5803" s="12" t="inlineStr">
        <is>
          <t>Fuel supply (adjacent market)</t>
        </is>
      </c>
      <c r="D5803" s="12" t="inlineStr">
        <is>
          <t>Control</t>
        </is>
      </c>
      <c r="E5803" s="12" t="inlineStr"/>
      <c r="F5803" s="12" t="inlineStr">
        <is>
          <t>H2 20: 13.8 kV e-house</t>
        </is>
      </c>
      <c r="G5803" s="12" t="inlineStr"/>
      <c r="H5803" s="12" t="inlineStr">
        <is>
          <t>H2 21: rectifier transformer 4 (7 MVA)</t>
        </is>
      </c>
      <c r="I5803" s="12" t="inlineStr">
        <is>
          <t>Control</t>
        </is>
      </c>
      <c r="J5803" s="12" t="inlineStr">
        <is>
          <t>ARMOR-X MC-HL 600 V control, Cu #14 AWG (Class I Div 2)</t>
        </is>
      </c>
      <c r="K5803" s="12" t="inlineStr">
        <is>
          <t>CTAX|7/C|14</t>
        </is>
      </c>
      <c r="L5803" s="12" t="inlineStr">
        <is>
          <t>7/C</t>
        </is>
      </c>
      <c r="M5803" s="12" t="inlineStr">
        <is>
          <t>14</t>
        </is>
      </c>
      <c r="N5803" s="12" t="n">
        <v>1</v>
      </c>
      <c r="O5803" s="12" t="n">
        <v>1</v>
      </c>
      <c r="P5803" s="12" t="n"/>
      <c r="Q5803" s="12" t="n"/>
      <c r="R5803" s="12" t="n"/>
      <c r="S5803" s="12" t="inlineStr">
        <is>
          <t>Duct bank</t>
        </is>
      </c>
      <c r="T5803" s="17" t="n">
        <v>312</v>
      </c>
      <c r="U5803" s="17" t="n">
        <v>32</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K-C-0032</t>
        </is>
      </c>
      <c r="B5804" s="12" t="inlineStr">
        <is>
          <t>K</t>
        </is>
      </c>
      <c r="C5804" s="12" t="inlineStr">
        <is>
          <t>Fuel supply (adjacent market)</t>
        </is>
      </c>
      <c r="D5804" s="12" t="inlineStr">
        <is>
          <t>Control</t>
        </is>
      </c>
      <c r="E5804" s="12" t="inlineStr"/>
      <c r="F5804" s="12" t="inlineStr">
        <is>
          <t>H2 20: 13.8 kV e-house</t>
        </is>
      </c>
      <c r="G5804" s="12" t="inlineStr"/>
      <c r="H5804" s="12" t="inlineStr">
        <is>
          <t>H2 21: rectifier transformer 4 (7 MVA)</t>
        </is>
      </c>
      <c r="I5804" s="12" t="inlineStr">
        <is>
          <t>Control</t>
        </is>
      </c>
      <c r="J5804" s="12" t="inlineStr">
        <is>
          <t>ARMOR-X MC-HL 600 V control, Cu #14 AWG (Class I Div 2)</t>
        </is>
      </c>
      <c r="K5804" s="12" t="inlineStr">
        <is>
          <t>CTAX|12/C|14</t>
        </is>
      </c>
      <c r="L5804" s="12" t="inlineStr">
        <is>
          <t>12/C</t>
        </is>
      </c>
      <c r="M5804" s="12" t="inlineStr">
        <is>
          <t>14</t>
        </is>
      </c>
      <c r="N5804" s="12" t="n">
        <v>1</v>
      </c>
      <c r="O5804" s="12" t="n">
        <v>1</v>
      </c>
      <c r="P5804" s="12" t="n"/>
      <c r="Q5804" s="12" t="n"/>
      <c r="R5804" s="12" t="n"/>
      <c r="S5804" s="12" t="inlineStr">
        <is>
          <t>Duct bank</t>
        </is>
      </c>
      <c r="T5804" s="17" t="n">
        <v>312</v>
      </c>
      <c r="U5804" s="17" t="n">
        <v>32</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K-C-0033</t>
        </is>
      </c>
      <c r="B5805" s="12" t="inlineStr">
        <is>
          <t>K</t>
        </is>
      </c>
      <c r="C5805" s="12" t="inlineStr">
        <is>
          <t>Fuel supply (adjacent market)</t>
        </is>
      </c>
      <c r="D5805" s="12" t="inlineStr">
        <is>
          <t>CT / VT</t>
        </is>
      </c>
      <c r="E5805" s="12" t="inlineStr"/>
      <c r="F5805" s="12" t="inlineStr">
        <is>
          <t>H2 20: 13.8 kV e-house</t>
        </is>
      </c>
      <c r="G5805" s="12" t="inlineStr"/>
      <c r="H5805" s="12" t="inlineStr">
        <is>
          <t>H2 21: rectifier transformer 4 (7 MVA)</t>
        </is>
      </c>
      <c r="I5805" s="12" t="inlineStr">
        <is>
          <t>Control</t>
        </is>
      </c>
      <c r="J5805" s="12" t="inlineStr">
        <is>
          <t>Control cable 600 V Type TC-ER, Cu #10 AWG (CT / VT circuits)</t>
        </is>
      </c>
      <c r="K5805" s="12" t="inlineStr">
        <is>
          <t>CTCT|4/C|10</t>
        </is>
      </c>
      <c r="L5805" s="12" t="inlineStr">
        <is>
          <t>4/C</t>
        </is>
      </c>
      <c r="M5805" s="12" t="inlineStr">
        <is>
          <t>10</t>
        </is>
      </c>
      <c r="N5805" s="12" t="n">
        <v>1</v>
      </c>
      <c r="O5805" s="12" t="n">
        <v>1</v>
      </c>
      <c r="P5805" s="12" t="n"/>
      <c r="Q5805" s="12" t="n"/>
      <c r="R5805" s="12" t="n"/>
      <c r="S5805" s="12" t="inlineStr">
        <is>
          <t>Duct bank</t>
        </is>
      </c>
      <c r="T5805" s="17" t="n">
        <v>312</v>
      </c>
      <c r="U5805" s="17" t="n">
        <v>32</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K-C-0034</t>
        </is>
      </c>
      <c r="B5806" s="12" t="inlineStr">
        <is>
          <t>K</t>
        </is>
      </c>
      <c r="C5806" s="12" t="inlineStr">
        <is>
          <t>Fuel supply (adjacent market)</t>
        </is>
      </c>
      <c r="D5806" s="12" t="inlineStr">
        <is>
          <t>CT / VT</t>
        </is>
      </c>
      <c r="E5806" s="12" t="inlineStr"/>
      <c r="F5806" s="12" t="inlineStr">
        <is>
          <t>H2 20: 13.8 kV e-house</t>
        </is>
      </c>
      <c r="G5806" s="12" t="inlineStr"/>
      <c r="H5806" s="12" t="inlineStr">
        <is>
          <t>H2 21: rectifier transformer 4 (7 MVA)</t>
        </is>
      </c>
      <c r="I5806" s="12" t="inlineStr">
        <is>
          <t>Control</t>
        </is>
      </c>
      <c r="J5806" s="12" t="inlineStr">
        <is>
          <t>Control cable 600 V Type TC-ER, Cu #10 AWG (CT / VT circuits)</t>
        </is>
      </c>
      <c r="K5806" s="12" t="inlineStr">
        <is>
          <t>CTCT|4/C|10</t>
        </is>
      </c>
      <c r="L5806" s="12" t="inlineStr">
        <is>
          <t>4/C</t>
        </is>
      </c>
      <c r="M5806" s="12" t="inlineStr">
        <is>
          <t>10</t>
        </is>
      </c>
      <c r="N5806" s="12" t="n">
        <v>1</v>
      </c>
      <c r="O5806" s="12" t="n">
        <v>1</v>
      </c>
      <c r="P5806" s="12" t="n"/>
      <c r="Q5806" s="12" t="n"/>
      <c r="R5806" s="12" t="n"/>
      <c r="S5806" s="12" t="inlineStr">
        <is>
          <t>Duct bank</t>
        </is>
      </c>
      <c r="T5806" s="17" t="n">
        <v>312</v>
      </c>
      <c r="U5806" s="17" t="n">
        <v>32</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K-C-0035</t>
        </is>
      </c>
      <c r="B5807" s="12" t="inlineStr">
        <is>
          <t>K</t>
        </is>
      </c>
      <c r="C5807" s="12" t="inlineStr">
        <is>
          <t>Fuel supply (adjacent market)</t>
        </is>
      </c>
      <c r="D5807" s="12" t="inlineStr">
        <is>
          <t>Motor 1 of 1: control / local station</t>
        </is>
      </c>
      <c r="E5807" s="12" t="inlineStr"/>
      <c r="F5807" s="12" t="inlineStr">
        <is>
          <t>H2 20: 13.8 kV e-house</t>
        </is>
      </c>
      <c r="G5807" s="12" t="inlineStr"/>
      <c r="H5807" s="12" t="inlineStr">
        <is>
          <t>H2 21: rectifier transformer 5 (7 MVA)</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7" t="n">
        <v>254</v>
      </c>
      <c r="U5807" s="17" t="n">
        <v>32</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K-C-0036</t>
        </is>
      </c>
      <c r="B5808" s="12" t="inlineStr">
        <is>
          <t>K</t>
        </is>
      </c>
      <c r="C5808" s="12" t="inlineStr">
        <is>
          <t>Fuel supply (adjacent market)</t>
        </is>
      </c>
      <c r="D5808" s="12" t="inlineStr">
        <is>
          <t>Solenoid to JB JB-H2 21: rectifier t-SOL01: 2 x 2/C (field cables)</t>
        </is>
      </c>
      <c r="E5808" s="12" t="inlineStr"/>
      <c r="F5808" s="12" t="inlineStr">
        <is>
          <t>H2 21: rectifier transformer 5 (7 MVA)</t>
        </is>
      </c>
      <c r="G5808" s="12" t="inlineStr">
        <is>
          <t>JB-H2 21: rectifier t-SOL01</t>
        </is>
      </c>
      <c r="H5808" s="12" t="inlineStr">
        <is>
          <t>H2 21: rectifier transformer 5 (7 MVA)</t>
        </is>
      </c>
      <c r="I5808" s="12" t="inlineStr">
        <is>
          <t>Control</t>
        </is>
      </c>
      <c r="J5808" s="12" t="inlineStr">
        <is>
          <t>ARMOR-X MC-HL 600 V control, Cu #14 AWG (Class I Div 2)</t>
        </is>
      </c>
      <c r="K5808" s="12" t="inlineStr">
        <is>
          <t>CTAX|2/C|14</t>
        </is>
      </c>
      <c r="L5808" s="12" t="inlineStr">
        <is>
          <t>2/C</t>
        </is>
      </c>
      <c r="M5808" s="12" t="inlineStr">
        <is>
          <t>14</t>
        </is>
      </c>
      <c r="N5808" s="12" t="n">
        <v>2</v>
      </c>
      <c r="O5808" s="12" t="n">
        <v>1</v>
      </c>
      <c r="P5808" s="12" t="n"/>
      <c r="Q5808" s="12" t="n"/>
      <c r="R5808" s="12" t="n"/>
      <c r="S5808" s="12" t="inlineStr">
        <is>
          <t>Tray / conduit</t>
        </is>
      </c>
      <c r="T5808" s="17" t="n">
        <v>41</v>
      </c>
      <c r="U5808" s="17" t="n">
        <v>10</v>
      </c>
      <c r="V5808" s="17">
        <f>ROUNDUP((T5808+U5808+2*'Read Me'!$B$13)*(1+'Read Me'!$B$12),-1)</f>
        <v/>
      </c>
      <c r="W5808" s="17">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K-C-0037</t>
        </is>
      </c>
      <c r="B5809" s="12" t="inlineStr">
        <is>
          <t>K</t>
        </is>
      </c>
      <c r="C5809" s="12" t="inlineStr">
        <is>
          <t>Fuel supply (adjacent market)</t>
        </is>
      </c>
      <c r="D5809" s="12" t="inlineStr">
        <is>
          <t>Home run JB-H2 21: rectifier t-SOL01 to the control / marshalling room</t>
        </is>
      </c>
      <c r="E5809" s="12" t="inlineStr"/>
      <c r="F5809" s="12" t="inlineStr">
        <is>
          <t>H2 20: 13.8 kV e-house</t>
        </is>
      </c>
      <c r="G5809" s="12" t="inlineStr">
        <is>
          <t>JB-H2 21: rectifier t-SOL01</t>
        </is>
      </c>
      <c r="H5809" s="12" t="inlineStr">
        <is>
          <t>H2 21: rectifier transformer 5 (7 MVA)</t>
        </is>
      </c>
      <c r="I5809" s="12" t="inlineStr">
        <is>
          <t>Control</t>
        </is>
      </c>
      <c r="J5809" s="12" t="inlineStr">
        <is>
          <t>ARMOR-X MC-HL 600 V control, Cu #14 AWG (Class I Div 2)</t>
        </is>
      </c>
      <c r="K5809" s="12" t="inlineStr">
        <is>
          <t>CTAX|25/C|14</t>
        </is>
      </c>
      <c r="L5809" s="12" t="inlineStr">
        <is>
          <t>25/C</t>
        </is>
      </c>
      <c r="M5809" s="12" t="inlineStr">
        <is>
          <t>14</t>
        </is>
      </c>
      <c r="N5809" s="12" t="n">
        <v>1</v>
      </c>
      <c r="O5809" s="12" t="n">
        <v>1</v>
      </c>
      <c r="P5809" s="12" t="n"/>
      <c r="Q5809" s="12" t="n"/>
      <c r="R5809" s="12" t="n"/>
      <c r="S5809" s="12" t="inlineStr">
        <is>
          <t>Duct bank</t>
        </is>
      </c>
      <c r="T5809" s="17" t="n">
        <v>254</v>
      </c>
      <c r="U5809" s="17" t="n">
        <v>32</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K-C-0038</t>
        </is>
      </c>
      <c r="B5810" s="12" t="inlineStr">
        <is>
          <t>K</t>
        </is>
      </c>
      <c r="C5810" s="12" t="inlineStr">
        <is>
          <t>Fuel supply (adjacent market)</t>
        </is>
      </c>
      <c r="D5810" s="12" t="inlineStr">
        <is>
          <t>Control</t>
        </is>
      </c>
      <c r="E5810" s="12" t="inlineStr"/>
      <c r="F5810" s="12" t="inlineStr">
        <is>
          <t>H2 20: 13.8 kV e-house</t>
        </is>
      </c>
      <c r="G5810" s="12" t="inlineStr"/>
      <c r="H5810" s="12" t="inlineStr">
        <is>
          <t>H2 21: rectifier transformer 5 (7 MVA)</t>
        </is>
      </c>
      <c r="I5810" s="12" t="inlineStr">
        <is>
          <t>Control</t>
        </is>
      </c>
      <c r="J5810" s="12" t="inlineStr">
        <is>
          <t>ARMOR-X MC-HL 600 V control, Cu #14 AWG (Class I Div 2)</t>
        </is>
      </c>
      <c r="K5810" s="12" t="inlineStr">
        <is>
          <t>CTAX|7/C|14</t>
        </is>
      </c>
      <c r="L5810" s="12" t="inlineStr">
        <is>
          <t>7/C</t>
        </is>
      </c>
      <c r="M5810" s="12" t="inlineStr">
        <is>
          <t>14</t>
        </is>
      </c>
      <c r="N5810" s="12" t="n">
        <v>1</v>
      </c>
      <c r="O5810" s="12" t="n">
        <v>1</v>
      </c>
      <c r="P5810" s="12" t="n"/>
      <c r="Q5810" s="12" t="n"/>
      <c r="R5810" s="12" t="n"/>
      <c r="S5810" s="12" t="inlineStr">
        <is>
          <t>Duct bank</t>
        </is>
      </c>
      <c r="T5810" s="17" t="n">
        <v>254</v>
      </c>
      <c r="U5810" s="17" t="n">
        <v>32</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K-C-0039</t>
        </is>
      </c>
      <c r="B5811" s="12" t="inlineStr">
        <is>
          <t>K</t>
        </is>
      </c>
      <c r="C5811" s="12" t="inlineStr">
        <is>
          <t>Fuel supply (adjacent market)</t>
        </is>
      </c>
      <c r="D5811" s="12" t="inlineStr">
        <is>
          <t>Control</t>
        </is>
      </c>
      <c r="E5811" s="12" t="inlineStr"/>
      <c r="F5811" s="12" t="inlineStr">
        <is>
          <t>H2 20: 13.8 kV e-house</t>
        </is>
      </c>
      <c r="G5811" s="12" t="inlineStr"/>
      <c r="H5811" s="12" t="inlineStr">
        <is>
          <t>H2 21: rectifier transformer 5 (7 MVA)</t>
        </is>
      </c>
      <c r="I5811" s="12" t="inlineStr">
        <is>
          <t>Control</t>
        </is>
      </c>
      <c r="J5811" s="12" t="inlineStr">
        <is>
          <t>ARMOR-X MC-HL 600 V control, Cu #14 AWG (Class I Div 2)</t>
        </is>
      </c>
      <c r="K5811" s="12" t="inlineStr">
        <is>
          <t>CTAX|12/C|14</t>
        </is>
      </c>
      <c r="L5811" s="12" t="inlineStr">
        <is>
          <t>12/C</t>
        </is>
      </c>
      <c r="M5811" s="12" t="inlineStr">
        <is>
          <t>14</t>
        </is>
      </c>
      <c r="N5811" s="12" t="n">
        <v>1</v>
      </c>
      <c r="O5811" s="12" t="n">
        <v>1</v>
      </c>
      <c r="P5811" s="12" t="n"/>
      <c r="Q5811" s="12" t="n"/>
      <c r="R5811" s="12" t="n"/>
      <c r="S5811" s="12" t="inlineStr">
        <is>
          <t>Duct bank</t>
        </is>
      </c>
      <c r="T5811" s="17" t="n">
        <v>254</v>
      </c>
      <c r="U5811" s="17" t="n">
        <v>32</v>
      </c>
      <c r="V5811" s="17">
        <f>ROUNDUP((T5811+U5811+2*'Read Me'!$B$13)*(1+'Read Me'!$B$12),-1)</f>
        <v/>
      </c>
      <c r="W5811" s="17">
        <f>V5811*N5811*O5811</f>
        <v/>
      </c>
      <c r="X5811" s="12">
        <f>IF(LEFT(I5811,2)="MV",2*N5811*IF(L5811="1/C",O5811,1),0)</f>
        <v/>
      </c>
      <c r="Y5811" s="12">
        <f>IF(OR(LEFT(K5811,4)="LVAX",LEFT(K5811,6)="MV15AX",LEFT(K5811,4)="CTAX",LEFT(K5811,2)="W|"),2*N5811*O5811,0)</f>
        <v/>
      </c>
      <c r="Z5811" s="12" t="inlineStr"/>
      <c r="AA5811" s="12">
        <f>N5811*O5811</f>
        <v/>
      </c>
    </row>
    <row r="5812">
      <c r="A5812" s="12" t="inlineStr">
        <is>
          <t>K-C-0040</t>
        </is>
      </c>
      <c r="B5812" s="12" t="inlineStr">
        <is>
          <t>K</t>
        </is>
      </c>
      <c r="C5812" s="12" t="inlineStr">
        <is>
          <t>Fuel supply (adjacent market)</t>
        </is>
      </c>
      <c r="D5812" s="12" t="inlineStr">
        <is>
          <t>CT / VT</t>
        </is>
      </c>
      <c r="E5812" s="12" t="inlineStr"/>
      <c r="F5812" s="12" t="inlineStr">
        <is>
          <t>H2 20: 13.8 kV e-house</t>
        </is>
      </c>
      <c r="G5812" s="12" t="inlineStr"/>
      <c r="H5812" s="12" t="inlineStr">
        <is>
          <t>H2 21: rectifier transformer 5 (7 MVA)</t>
        </is>
      </c>
      <c r="I5812" s="12" t="inlineStr">
        <is>
          <t>Control</t>
        </is>
      </c>
      <c r="J5812" s="12" t="inlineStr">
        <is>
          <t>Control cable 600 V Type TC-ER, Cu #10 AWG (CT / VT circuits)</t>
        </is>
      </c>
      <c r="K5812" s="12" t="inlineStr">
        <is>
          <t>CTCT|4/C|10</t>
        </is>
      </c>
      <c r="L5812" s="12" t="inlineStr">
        <is>
          <t>4/C</t>
        </is>
      </c>
      <c r="M5812" s="12" t="inlineStr">
        <is>
          <t>10</t>
        </is>
      </c>
      <c r="N5812" s="12" t="n">
        <v>1</v>
      </c>
      <c r="O5812" s="12" t="n">
        <v>1</v>
      </c>
      <c r="P5812" s="12" t="n"/>
      <c r="Q5812" s="12" t="n"/>
      <c r="R5812" s="12" t="n"/>
      <c r="S5812" s="12" t="inlineStr">
        <is>
          <t>Duct bank</t>
        </is>
      </c>
      <c r="T5812" s="17" t="n">
        <v>254</v>
      </c>
      <c r="U5812" s="17" t="n">
        <v>32</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K-C-0041</t>
        </is>
      </c>
      <c r="B5813" s="12" t="inlineStr">
        <is>
          <t>K</t>
        </is>
      </c>
      <c r="C5813" s="12" t="inlineStr">
        <is>
          <t>Fuel supply (adjacent market)</t>
        </is>
      </c>
      <c r="D5813" s="12" t="inlineStr">
        <is>
          <t>CT / VT</t>
        </is>
      </c>
      <c r="E5813" s="12" t="inlineStr"/>
      <c r="F5813" s="12" t="inlineStr">
        <is>
          <t>H2 20: 13.8 kV e-house</t>
        </is>
      </c>
      <c r="G5813" s="12" t="inlineStr"/>
      <c r="H5813" s="12" t="inlineStr">
        <is>
          <t>H2 21: rectifier transformer 5 (7 MVA)</t>
        </is>
      </c>
      <c r="I5813" s="12" t="inlineStr">
        <is>
          <t>Control</t>
        </is>
      </c>
      <c r="J5813" s="12" t="inlineStr">
        <is>
          <t>Control cable 600 V Type TC-ER, Cu #10 AWG (CT / VT circuits)</t>
        </is>
      </c>
      <c r="K5813" s="12" t="inlineStr">
        <is>
          <t>CTCT|4/C|10</t>
        </is>
      </c>
      <c r="L5813" s="12" t="inlineStr">
        <is>
          <t>4/C</t>
        </is>
      </c>
      <c r="M5813" s="12" t="inlineStr">
        <is>
          <t>10</t>
        </is>
      </c>
      <c r="N5813" s="12" t="n">
        <v>1</v>
      </c>
      <c r="O5813" s="12" t="n">
        <v>1</v>
      </c>
      <c r="P5813" s="12" t="n"/>
      <c r="Q5813" s="12" t="n"/>
      <c r="R5813" s="12" t="n"/>
      <c r="S5813" s="12" t="inlineStr">
        <is>
          <t>Duct bank</t>
        </is>
      </c>
      <c r="T5813" s="17" t="n">
        <v>254</v>
      </c>
      <c r="U5813" s="17" t="n">
        <v>32</v>
      </c>
      <c r="V5813" s="17">
        <f>ROUNDUP((T5813+U5813+2*'Read Me'!$B$13)*(1+'Read Me'!$B$12),-1)</f>
        <v/>
      </c>
      <c r="W5813" s="17">
        <f>V5813*N5813*O5813</f>
        <v/>
      </c>
      <c r="X5813" s="12">
        <f>IF(LEFT(I5813,2)="MV",2*N5813*IF(L5813="1/C",O5813,1),0)</f>
        <v/>
      </c>
      <c r="Y5813" s="12">
        <f>IF(OR(LEFT(K5813,4)="LVAX",LEFT(K5813,6)="MV15AX",LEFT(K5813,4)="CTAX",LEFT(K5813,2)="W|"),2*N5813*O5813,0)</f>
        <v/>
      </c>
      <c r="Z5813" s="12" t="inlineStr"/>
      <c r="AA5813" s="12">
        <f>N5813*O5813</f>
        <v/>
      </c>
    </row>
    <row r="5814">
      <c r="A5814" s="12" t="inlineStr">
        <is>
          <t>K-C-0042</t>
        </is>
      </c>
      <c r="B5814" s="12" t="inlineStr">
        <is>
          <t>K</t>
        </is>
      </c>
      <c r="C5814" s="12" t="inlineStr">
        <is>
          <t>Fuel supply (adjacent market)</t>
        </is>
      </c>
      <c r="D5814" s="12" t="inlineStr">
        <is>
          <t>Motor 1 of 1: control / local station</t>
        </is>
      </c>
      <c r="E5814" s="12" t="inlineStr"/>
      <c r="F5814" s="12" t="inlineStr">
        <is>
          <t>H2 20: 13.8 kV e-house</t>
        </is>
      </c>
      <c r="G5814" s="12" t="inlineStr">
        <is>
          <t>H2-EL</t>
        </is>
      </c>
      <c r="H5814" s="12" t="inlineStr">
        <is>
          <t>H2 22: electrolyzer building (5 x HyLYZER-1000 + 5 rectifiers)</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7" t="n">
        <v>346</v>
      </c>
      <c r="U5814" s="17" t="n">
        <v>32</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K-C-0043</t>
        </is>
      </c>
      <c r="B5815" s="12" t="inlineStr">
        <is>
          <t>K</t>
        </is>
      </c>
      <c r="C5815" s="12" t="inlineStr">
        <is>
          <t>Fuel supply (adjacent market)</t>
        </is>
      </c>
      <c r="D5815" s="12" t="inlineStr">
        <is>
          <t>Solenoid to JB JB-H2-EL-SOL01: 2 x 2/C (field cables)</t>
        </is>
      </c>
      <c r="E5815" s="12" t="inlineStr">
        <is>
          <t>H2-EL</t>
        </is>
      </c>
      <c r="F5815" s="12" t="inlineStr">
        <is>
          <t>H2 22: electrolyzer building (5 x HyLYZER-1000 + 5 rectifiers)</t>
        </is>
      </c>
      <c r="G5815" s="12" t="inlineStr">
        <is>
          <t>JB-H2-EL-SOL01</t>
        </is>
      </c>
      <c r="H5815" s="12" t="inlineStr">
        <is>
          <t>H2 22: electrolyzer building (5 x HyLYZER-1000 + 5 rectifiers)</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7" t="n">
        <v>157</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K-C-0044</t>
        </is>
      </c>
      <c r="B5816" s="12" t="inlineStr">
        <is>
          <t>K</t>
        </is>
      </c>
      <c r="C5816" s="12" t="inlineStr">
        <is>
          <t>Fuel supply (adjacent market)</t>
        </is>
      </c>
      <c r="D5816" s="12" t="inlineStr">
        <is>
          <t>Home run JB-H2-EL-SOL01 to the control / marshalling room</t>
        </is>
      </c>
      <c r="E5816" s="12" t="inlineStr"/>
      <c r="F5816" s="12" t="inlineStr">
        <is>
          <t>H2 20: 13.8 kV e-house</t>
        </is>
      </c>
      <c r="G5816" s="12" t="inlineStr">
        <is>
          <t>JB-H2-EL-SOL01</t>
        </is>
      </c>
      <c r="H5816" s="12" t="inlineStr">
        <is>
          <t>H2 22: electrolyzer building (5 x HyLYZER-1000 + 5 rectifiers)</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7" t="n">
        <v>346</v>
      </c>
      <c r="U5816" s="17" t="n">
        <v>32</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K-C-0045</t>
        </is>
      </c>
      <c r="B5817" s="12" t="inlineStr">
        <is>
          <t>K</t>
        </is>
      </c>
      <c r="C5817" s="12" t="inlineStr">
        <is>
          <t>Fuel supply (adjacent market)</t>
        </is>
      </c>
      <c r="D5817" s="12" t="inlineStr">
        <is>
          <t>Motor 1 of 1: control / local station</t>
        </is>
      </c>
      <c r="E5817" s="12" t="inlineStr"/>
      <c r="F5817" s="12" t="inlineStr">
        <is>
          <t>H2 20: 13.8 kV e-house</t>
        </is>
      </c>
      <c r="G5817" s="12" t="inlineStr"/>
      <c r="H5817" s="12" t="inlineStr">
        <is>
          <t>H2 23: dry coolers</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7" t="n">
        <v>100</v>
      </c>
      <c r="U5817" s="17" t="n">
        <v>32</v>
      </c>
      <c r="V5817" s="17">
        <f>ROUNDUP((T5817+U5817+2*'Read Me'!$B$13)*(1+'Read Me'!$B$12),-1)</f>
        <v/>
      </c>
      <c r="W5817" s="17">
        <f>V5817*N5817*O5817</f>
        <v/>
      </c>
      <c r="X5817" s="12">
        <f>IF(LEFT(I5817,2)="MV",2*N5817*IF(L5817="1/C",O5817,1),0)</f>
        <v/>
      </c>
      <c r="Y5817" s="12">
        <f>IF(OR(LEFT(K5817,4)="LVAX",LEFT(K5817,6)="MV15AX",LEFT(K5817,4)="CTAX",LEFT(K5817,2)="W|"),2*N5817*O5817,0)</f>
        <v/>
      </c>
      <c r="Z5817" s="12" t="inlineStr"/>
      <c r="AA5817" s="12">
        <f>N5817*O5817</f>
        <v/>
      </c>
    </row>
    <row r="5818">
      <c r="A5818" s="12" t="inlineStr">
        <is>
          <t>K-C-0046</t>
        </is>
      </c>
      <c r="B5818" s="12" t="inlineStr">
        <is>
          <t>K</t>
        </is>
      </c>
      <c r="C5818" s="12" t="inlineStr">
        <is>
          <t>Fuel supply (adjacent market)</t>
        </is>
      </c>
      <c r="D5818" s="12" t="inlineStr">
        <is>
          <t>Solenoid to JB JB-H2 23: dry coolers-SOL01: 2 x 2/C (field cables)</t>
        </is>
      </c>
      <c r="E5818" s="12" t="inlineStr"/>
      <c r="F5818" s="12" t="inlineStr">
        <is>
          <t>H2 23: dry coolers</t>
        </is>
      </c>
      <c r="G5818" s="12" t="inlineStr">
        <is>
          <t>JB-H2 23: dry coolers-SOL01</t>
        </is>
      </c>
      <c r="H5818" s="12" t="inlineStr">
        <is>
          <t>H2 23: dry coolers</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7" t="n">
        <v>111</v>
      </c>
      <c r="U5818" s="17" t="n">
        <v>10</v>
      </c>
      <c r="V5818" s="17">
        <f>ROUNDUP((T5818+U5818+2*'Read Me'!$B$13)*(1+'Read Me'!$B$12),-1)</f>
        <v/>
      </c>
      <c r="W5818" s="17">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K-C-0047</t>
        </is>
      </c>
      <c r="B5819" s="12" t="inlineStr">
        <is>
          <t>K</t>
        </is>
      </c>
      <c r="C5819" s="12" t="inlineStr">
        <is>
          <t>Fuel supply (adjacent market)</t>
        </is>
      </c>
      <c r="D5819" s="12" t="inlineStr">
        <is>
          <t>Home run JB-H2 23: dry coolers-SOL01 to the control / marshalling room</t>
        </is>
      </c>
      <c r="E5819" s="12" t="inlineStr"/>
      <c r="F5819" s="12" t="inlineStr">
        <is>
          <t>H2 20: 13.8 kV e-house</t>
        </is>
      </c>
      <c r="G5819" s="12" t="inlineStr">
        <is>
          <t>JB-H2 23: dry coolers-SOL01</t>
        </is>
      </c>
      <c r="H5819" s="12" t="inlineStr">
        <is>
          <t>H2 23: dry coolers</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7" t="n">
        <v>100</v>
      </c>
      <c r="U5819" s="17" t="n">
        <v>32</v>
      </c>
      <c r="V5819" s="17">
        <f>ROUNDUP((T5819+U5819+2*'Read Me'!$B$13)*(1+'Read Me'!$B$12),-1)</f>
        <v/>
      </c>
      <c r="W5819" s="17">
        <f>V5819*N5819*O5819</f>
        <v/>
      </c>
      <c r="X5819" s="12">
        <f>IF(LEFT(I5819,2)="MV",2*N5819*IF(L5819="1/C",O5819,1),0)</f>
        <v/>
      </c>
      <c r="Y5819" s="12">
        <f>IF(OR(LEFT(K5819,4)="LVAX",LEFT(K5819,6)="MV15AX",LEFT(K5819,4)="CTAX",LEFT(K5819,2)="W|"),2*N5819*O5819,0)</f>
        <v/>
      </c>
      <c r="Z5819" s="12" t="inlineStr"/>
      <c r="AA5819" s="12">
        <f>N5819*O5819</f>
        <v/>
      </c>
    </row>
    <row r="5820">
      <c r="A5820" s="12" t="inlineStr">
        <is>
          <t>K-C-0048</t>
        </is>
      </c>
      <c r="B5820" s="12" t="inlineStr">
        <is>
          <t>K</t>
        </is>
      </c>
      <c r="C5820" s="12" t="inlineStr">
        <is>
          <t>Fuel supply (adjacent market)</t>
        </is>
      </c>
      <c r="D5820" s="12" t="inlineStr">
        <is>
          <t>Motor 1 of 1: control / local station</t>
        </is>
      </c>
      <c r="E5820" s="12" t="inlineStr"/>
      <c r="F5820" s="12" t="inlineStr">
        <is>
          <t>H2 20: 13.8 kV e-house</t>
        </is>
      </c>
      <c r="G5820" s="12" t="inlineStr"/>
      <c r="H5820" s="12" t="inlineStr">
        <is>
          <t>H2 24: water purification (RO / EDI)</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7" t="n">
        <v>146</v>
      </c>
      <c r="U5820" s="17" t="n">
        <v>32</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K-C-0049</t>
        </is>
      </c>
      <c r="B5821" s="12" t="inlineStr">
        <is>
          <t>K</t>
        </is>
      </c>
      <c r="C5821" s="12" t="inlineStr">
        <is>
          <t>Fuel supply (adjacent market)</t>
        </is>
      </c>
      <c r="D5821" s="12" t="inlineStr">
        <is>
          <t>Solenoid to JB JB-H2 24: water purif-SOL01: 2 x 2/C (field cables)</t>
        </is>
      </c>
      <c r="E5821" s="12" t="inlineStr"/>
      <c r="F5821" s="12" t="inlineStr">
        <is>
          <t>H2 24: water purification (RO / EDI)</t>
        </is>
      </c>
      <c r="G5821" s="12" t="inlineStr">
        <is>
          <t>JB-H2 24: water purif-SOL01</t>
        </is>
      </c>
      <c r="H5821" s="12" t="inlineStr">
        <is>
          <t>H2 24: water purification (RO / EDI)</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7" t="n">
        <v>60</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K-C-0050</t>
        </is>
      </c>
      <c r="B5822" s="12" t="inlineStr">
        <is>
          <t>K</t>
        </is>
      </c>
      <c r="C5822" s="12" t="inlineStr">
        <is>
          <t>Fuel supply (adjacent market)</t>
        </is>
      </c>
      <c r="D5822" s="12" t="inlineStr">
        <is>
          <t>Home run JB-H2 24: water purif-SOL01 to the control / marshalling room</t>
        </is>
      </c>
      <c r="E5822" s="12" t="inlineStr"/>
      <c r="F5822" s="12" t="inlineStr">
        <is>
          <t>H2 20: 13.8 kV e-house</t>
        </is>
      </c>
      <c r="G5822" s="12" t="inlineStr">
        <is>
          <t>JB-H2 24: water purif-SOL01</t>
        </is>
      </c>
      <c r="H5822" s="12" t="inlineStr">
        <is>
          <t>H2 24: water purification (RO / EDI)</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7" t="n">
        <v>146</v>
      </c>
      <c r="U5822" s="17" t="n">
        <v>32</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K-C-0051</t>
        </is>
      </c>
      <c r="B5823" s="12" t="inlineStr">
        <is>
          <t>K</t>
        </is>
      </c>
      <c r="C5823" s="12" t="inlineStr">
        <is>
          <t>Fuel supply (adjacent market)</t>
        </is>
      </c>
      <c r="D5823" s="12" t="inlineStr">
        <is>
          <t>Motor 1 of 1: control / local station</t>
        </is>
      </c>
      <c r="E5823" s="12" t="inlineStr"/>
      <c r="F5823" s="12" t="inlineStr">
        <is>
          <t>H2 20: 13.8 kV e-house</t>
        </is>
      </c>
      <c r="G5823" s="12" t="inlineStr"/>
      <c r="H5823" s="12" t="inlineStr">
        <is>
          <t>H2 25: H2 dryer / purification</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7" t="n">
        <v>0</v>
      </c>
      <c r="U5823" s="17" t="n">
        <v>49</v>
      </c>
      <c r="V5823" s="17">
        <f>ROUNDUP((T5823+U5823+2*'Read Me'!$B$13)*(1+'Read Me'!$B$12),-1)</f>
        <v/>
      </c>
      <c r="W5823" s="17">
        <f>V5823*N5823*O5823</f>
        <v/>
      </c>
      <c r="X5823" s="12">
        <f>IF(LEFT(I5823,2)="MV",2*N5823*IF(L5823="1/C",O5823,1),0)</f>
        <v/>
      </c>
      <c r="Y5823" s="12">
        <f>IF(OR(LEFT(K5823,4)="LVAX",LEFT(K5823,6)="MV15AX",LEFT(K5823,4)="CTAX",LEFT(K5823,2)="W|"),2*N5823*O5823,0)</f>
        <v/>
      </c>
      <c r="Z5823" s="12" t="inlineStr"/>
      <c r="AA5823" s="12">
        <f>N5823*O5823</f>
        <v/>
      </c>
    </row>
    <row r="5824">
      <c r="A5824" s="12" t="inlineStr">
        <is>
          <t>K-C-0052</t>
        </is>
      </c>
      <c r="B5824" s="12" t="inlineStr">
        <is>
          <t>K</t>
        </is>
      </c>
      <c r="C5824" s="12" t="inlineStr">
        <is>
          <t>Fuel supply (adjacent market)</t>
        </is>
      </c>
      <c r="D5824" s="12" t="inlineStr">
        <is>
          <t>Solenoid to JB JB-H2 25: H2 dryer / -SOL01: 2 x 2/C (field cables)</t>
        </is>
      </c>
      <c r="E5824" s="12" t="inlineStr"/>
      <c r="F5824" s="12" t="inlineStr">
        <is>
          <t>H2 25: H2 dryer / purification</t>
        </is>
      </c>
      <c r="G5824" s="12" t="inlineStr">
        <is>
          <t>JB-H2 25: H2 dryer / -SOL01</t>
        </is>
      </c>
      <c r="H5824" s="12" t="inlineStr">
        <is>
          <t>H2 25: H2 dryer / purification</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7" t="n">
        <v>60</v>
      </c>
      <c r="U5824" s="17" t="n">
        <v>10</v>
      </c>
      <c r="V5824" s="17">
        <f>ROUNDUP((T5824+U5824+2*'Read Me'!$B$13)*(1+'Read Me'!$B$12),-1)</f>
        <v/>
      </c>
      <c r="W5824" s="17">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K-C-0053</t>
        </is>
      </c>
      <c r="B5825" s="12" t="inlineStr">
        <is>
          <t>K</t>
        </is>
      </c>
      <c r="C5825" s="12" t="inlineStr">
        <is>
          <t>Fuel supply (adjacent market)</t>
        </is>
      </c>
      <c r="D5825" s="12" t="inlineStr">
        <is>
          <t>Home run JB-H2 25: H2 dryer / -SOL01 to the control / marshalling room</t>
        </is>
      </c>
      <c r="E5825" s="12" t="inlineStr"/>
      <c r="F5825" s="12" t="inlineStr">
        <is>
          <t>H2 20: 13.8 kV e-house</t>
        </is>
      </c>
      <c r="G5825" s="12" t="inlineStr">
        <is>
          <t>JB-H2 25: H2 dryer / -SOL01</t>
        </is>
      </c>
      <c r="H5825" s="12" t="inlineStr">
        <is>
          <t>H2 25: H2 dryer / purification</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7" t="n">
        <v>0</v>
      </c>
      <c r="U5825" s="17" t="n">
        <v>49</v>
      </c>
      <c r="V5825" s="17">
        <f>ROUNDUP((T5825+U5825+2*'Read Me'!$B$13)*(1+'Read Me'!$B$12),-1)</f>
        <v/>
      </c>
      <c r="W5825" s="17">
        <f>V5825*N5825*O5825</f>
        <v/>
      </c>
      <c r="X5825" s="12">
        <f>IF(LEFT(I5825,2)="MV",2*N5825*IF(L5825="1/C",O5825,1),0)</f>
        <v/>
      </c>
      <c r="Y5825" s="12">
        <f>IF(OR(LEFT(K5825,4)="LVAX",LEFT(K5825,6)="MV15AX",LEFT(K5825,4)="CTAX",LEFT(K5825,2)="W|"),2*N5825*O5825,0)</f>
        <v/>
      </c>
      <c r="Z5825" s="12" t="inlineStr"/>
      <c r="AA5825" s="12">
        <f>N5825*O5825</f>
        <v/>
      </c>
    </row>
    <row r="5826">
      <c r="A5826" s="12" t="inlineStr">
        <is>
          <t>K-C-0054</t>
        </is>
      </c>
      <c r="B5826" s="12" t="inlineStr">
        <is>
          <t>K</t>
        </is>
      </c>
      <c r="C5826" s="12" t="inlineStr">
        <is>
          <t>Fuel supply (adjacent market)</t>
        </is>
      </c>
      <c r="D5826" s="12" t="inlineStr">
        <is>
          <t>Motor 1 of 1: control / local station</t>
        </is>
      </c>
      <c r="E5826" s="12" t="inlineStr"/>
      <c r="F5826" s="12" t="inlineStr">
        <is>
          <t>H2 20: 13.8 kV e-house</t>
        </is>
      </c>
      <c r="G5826" s="12" t="inlineStr"/>
      <c r="H5826" s="12" t="inlineStr">
        <is>
          <t>H2 26: H2 compressor 1 (40 ft ISO)</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7" t="n">
        <v>50</v>
      </c>
      <c r="U5826" s="17" t="n">
        <v>32</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K-C-0055</t>
        </is>
      </c>
      <c r="B5827" s="12" t="inlineStr">
        <is>
          <t>K</t>
        </is>
      </c>
      <c r="C5827" s="12" t="inlineStr">
        <is>
          <t>Fuel supply (adjacent market)</t>
        </is>
      </c>
      <c r="D5827" s="12" t="inlineStr">
        <is>
          <t>Solenoid to JB JB-H2 26: H2 compress-SOL01: 2 x 2/C (field cables)</t>
        </is>
      </c>
      <c r="E5827" s="12" t="inlineStr"/>
      <c r="F5827" s="12" t="inlineStr">
        <is>
          <t>H2 26: H2 compressor 1 (40 ft ISO)</t>
        </is>
      </c>
      <c r="G5827" s="12" t="inlineStr">
        <is>
          <t>JB-H2 26: H2 compress-SOL01</t>
        </is>
      </c>
      <c r="H5827" s="12" t="inlineStr">
        <is>
          <t>H2 26: H2 compressor 1 (40 ft ISO)</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7" t="n">
        <v>53</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K-C-0056</t>
        </is>
      </c>
      <c r="B5828" s="12" t="inlineStr">
        <is>
          <t>K</t>
        </is>
      </c>
      <c r="C5828" s="12" t="inlineStr">
        <is>
          <t>Fuel supply (adjacent market)</t>
        </is>
      </c>
      <c r="D5828" s="12" t="inlineStr">
        <is>
          <t>Home run JB-H2 26: H2 compress-SOL01 to the control / marshalling room</t>
        </is>
      </c>
      <c r="E5828" s="12" t="inlineStr"/>
      <c r="F5828" s="12" t="inlineStr">
        <is>
          <t>H2 20: 13.8 kV e-house</t>
        </is>
      </c>
      <c r="G5828" s="12" t="inlineStr">
        <is>
          <t>JB-H2 26: H2 compress-SOL01</t>
        </is>
      </c>
      <c r="H5828" s="12" t="inlineStr">
        <is>
          <t>H2 26: H2 compressor 1 (40 ft ISO)</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7" t="n">
        <v>50</v>
      </c>
      <c r="U5828" s="17" t="n">
        <v>32</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K-C-0057</t>
        </is>
      </c>
      <c r="B5829" s="12" t="inlineStr">
        <is>
          <t>K</t>
        </is>
      </c>
      <c r="C5829" s="12" t="inlineStr">
        <is>
          <t>Fuel supply (adjacent market)</t>
        </is>
      </c>
      <c r="D5829" s="12" t="inlineStr">
        <is>
          <t>Motor 1 of 1: control / local station</t>
        </is>
      </c>
      <c r="E5829" s="12" t="inlineStr"/>
      <c r="F5829" s="12" t="inlineStr">
        <is>
          <t>H2 20: 13.8 kV e-house</t>
        </is>
      </c>
      <c r="G5829" s="12" t="inlineStr"/>
      <c r="H5829" s="12" t="inlineStr">
        <is>
          <t>H2 26: H2 compressor 2 (40 ft ISO)</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7" t="n">
        <v>50</v>
      </c>
      <c r="U5829" s="17" t="n">
        <v>47</v>
      </c>
      <c r="V5829" s="17">
        <f>ROUNDUP((T5829+U5829+2*'Read Me'!$B$13)*(1+'Read Me'!$B$12),-1)</f>
        <v/>
      </c>
      <c r="W5829" s="17">
        <f>V5829*N5829*O5829</f>
        <v/>
      </c>
      <c r="X5829" s="12">
        <f>IF(LEFT(I5829,2)="MV",2*N5829*IF(L5829="1/C",O5829,1),0)</f>
        <v/>
      </c>
      <c r="Y5829" s="12">
        <f>IF(OR(LEFT(K5829,4)="LVAX",LEFT(K5829,6)="MV15AX",LEFT(K5829,4)="CTAX",LEFT(K5829,2)="W|"),2*N5829*O5829,0)</f>
        <v/>
      </c>
      <c r="Z5829" s="12" t="inlineStr"/>
      <c r="AA5829" s="12">
        <f>N5829*O5829</f>
        <v/>
      </c>
    </row>
    <row r="5830">
      <c r="A5830" s="12" t="inlineStr">
        <is>
          <t>K-C-0058</t>
        </is>
      </c>
      <c r="B5830" s="12" t="inlineStr">
        <is>
          <t>K</t>
        </is>
      </c>
      <c r="C5830" s="12" t="inlineStr">
        <is>
          <t>Fuel supply (adjacent market)</t>
        </is>
      </c>
      <c r="D5830" s="12" t="inlineStr">
        <is>
          <t>Solenoid to JB JB-H2 26: H2 compress-SOL01: 2 x 2/C (field cables)</t>
        </is>
      </c>
      <c r="E5830" s="12" t="inlineStr"/>
      <c r="F5830" s="12" t="inlineStr">
        <is>
          <t>H2 26: H2 compressor 2 (40 ft ISO)</t>
        </is>
      </c>
      <c r="G5830" s="12" t="inlineStr">
        <is>
          <t>JB-H2 26: H2 compress-SOL01</t>
        </is>
      </c>
      <c r="H5830" s="12" t="inlineStr">
        <is>
          <t>H2 26: H2 compressor 2 (40 ft ISO)</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7" t="n">
        <v>53</v>
      </c>
      <c r="U5830" s="17" t="n">
        <v>10</v>
      </c>
      <c r="V5830" s="17">
        <f>ROUNDUP((T5830+U5830+2*'Read Me'!$B$13)*(1+'Read Me'!$B$12),-1)</f>
        <v/>
      </c>
      <c r="W5830" s="17">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K-C-0059</t>
        </is>
      </c>
      <c r="B5831" s="12" t="inlineStr">
        <is>
          <t>K</t>
        </is>
      </c>
      <c r="C5831" s="12" t="inlineStr">
        <is>
          <t>Fuel supply (adjacent market)</t>
        </is>
      </c>
      <c r="D5831" s="12" t="inlineStr">
        <is>
          <t>Home run JB-H2 26: H2 compress-SOL01 to the control / marshalling room</t>
        </is>
      </c>
      <c r="E5831" s="12" t="inlineStr"/>
      <c r="F5831" s="12" t="inlineStr">
        <is>
          <t>H2 20: 13.8 kV e-house</t>
        </is>
      </c>
      <c r="G5831" s="12" t="inlineStr">
        <is>
          <t>JB-H2 26: H2 compress-SOL01</t>
        </is>
      </c>
      <c r="H5831" s="12" t="inlineStr">
        <is>
          <t>H2 26: H2 compressor 2 (40 ft ISO)</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7" t="n">
        <v>50</v>
      </c>
      <c r="U5831" s="17" t="n">
        <v>47</v>
      </c>
      <c r="V5831" s="17">
        <f>ROUNDUP((T5831+U5831+2*'Read Me'!$B$13)*(1+'Read Me'!$B$12),-1)</f>
        <v/>
      </c>
      <c r="W5831" s="17">
        <f>V5831*N5831*O5831</f>
        <v/>
      </c>
      <c r="X5831" s="12">
        <f>IF(LEFT(I5831,2)="MV",2*N5831*IF(L5831="1/C",O5831,1),0)</f>
        <v/>
      </c>
      <c r="Y5831" s="12">
        <f>IF(OR(LEFT(K5831,4)="LVAX",LEFT(K5831,6)="MV15AX",LEFT(K5831,4)="CTAX",LEFT(K5831,2)="W|"),2*N5831*O5831,0)</f>
        <v/>
      </c>
      <c r="Z5831" s="12" t="inlineStr"/>
      <c r="AA5831" s="12">
        <f>N5831*O5831</f>
        <v/>
      </c>
    </row>
    <row r="5832">
      <c r="A5832" s="12" t="inlineStr">
        <is>
          <t>K-C-0060</t>
        </is>
      </c>
      <c r="B5832" s="12" t="inlineStr">
        <is>
          <t>K</t>
        </is>
      </c>
      <c r="C5832" s="12" t="inlineStr">
        <is>
          <t>Fuel supply (adjacent market)</t>
        </is>
      </c>
      <c r="D5832" s="12" t="inlineStr">
        <is>
          <t>Motor 1 of 1: control / local station</t>
        </is>
      </c>
      <c r="E5832" s="12" t="inlineStr"/>
      <c r="F5832" s="12" t="inlineStr">
        <is>
          <t>H2 20: 13.8 kV e-house</t>
        </is>
      </c>
      <c r="G5832" s="12" t="inlineStr"/>
      <c r="H5832" s="12" t="inlineStr">
        <is>
          <t>H2 27: storage tube bank (~40 ft tubes)</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7" t="n">
        <v>50</v>
      </c>
      <c r="U5832" s="17" t="n">
        <v>97</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K-C-0061</t>
        </is>
      </c>
      <c r="B5833" s="12" t="inlineStr">
        <is>
          <t>K</t>
        </is>
      </c>
      <c r="C5833" s="12" t="inlineStr">
        <is>
          <t>Fuel supply (adjacent market)</t>
        </is>
      </c>
      <c r="D5833" s="12" t="inlineStr">
        <is>
          <t>Solenoid to JB JB-H2 27: storage tub-SOL01: 2 x 2/C (field cables)</t>
        </is>
      </c>
      <c r="E5833" s="12" t="inlineStr"/>
      <c r="F5833" s="12" t="inlineStr">
        <is>
          <t>H2 27: storage tube bank (~40 ft tubes)</t>
        </is>
      </c>
      <c r="G5833" s="12" t="inlineStr">
        <is>
          <t>JB-H2 27: storage tub-SOL01</t>
        </is>
      </c>
      <c r="H5833" s="12" t="inlineStr">
        <is>
          <t>H2 27: storage tube bank (~40 ft tubes)</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7" t="n">
        <v>54</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K-C-0062</t>
        </is>
      </c>
      <c r="B5834" s="12" t="inlineStr">
        <is>
          <t>K</t>
        </is>
      </c>
      <c r="C5834" s="12" t="inlineStr">
        <is>
          <t>Fuel supply (adjacent market)</t>
        </is>
      </c>
      <c r="D5834" s="12" t="inlineStr">
        <is>
          <t>Home run JB-H2 27: storage tub-SOL01 to the control / marshalling room</t>
        </is>
      </c>
      <c r="E5834" s="12" t="inlineStr"/>
      <c r="F5834" s="12" t="inlineStr">
        <is>
          <t>H2 20: 13.8 kV e-house</t>
        </is>
      </c>
      <c r="G5834" s="12" t="inlineStr">
        <is>
          <t>JB-H2 27: storage tub-SOL01</t>
        </is>
      </c>
      <c r="H5834" s="12" t="inlineStr">
        <is>
          <t>H2 27: storage tube bank (~40 ft tubes)</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7" t="n">
        <v>50</v>
      </c>
      <c r="U5834" s="17" t="n">
        <v>97</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K-C-0063</t>
        </is>
      </c>
      <c r="B5835" s="12" t="inlineStr">
        <is>
          <t>K</t>
        </is>
      </c>
      <c r="C5835" s="12" t="inlineStr">
        <is>
          <t>Fuel supply (adjacent market)</t>
        </is>
      </c>
      <c r="D5835" s="12" t="inlineStr">
        <is>
          <t>Motor 1 of 1: control / local station</t>
        </is>
      </c>
      <c r="E5835" s="12" t="inlineStr"/>
      <c r="F5835" s="12" t="inlineStr">
        <is>
          <t>H2 20: 13.8 kV e-house</t>
        </is>
      </c>
      <c r="G5835" s="12" t="inlineStr"/>
      <c r="H5835" s="12" t="inlineStr">
        <is>
          <t>H2 27: storage tube bank (~40 ft tubes)</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7" t="n">
        <v>50</v>
      </c>
      <c r="U5835" s="17" t="n">
        <v>117</v>
      </c>
      <c r="V5835" s="17">
        <f>ROUNDUP((T5835+U5835+2*'Read Me'!$B$13)*(1+'Read Me'!$B$12),-1)</f>
        <v/>
      </c>
      <c r="W5835" s="17">
        <f>V5835*N5835*O5835</f>
        <v/>
      </c>
      <c r="X5835" s="12">
        <f>IF(LEFT(I5835,2)="MV",2*N5835*IF(L5835="1/C",O5835,1),0)</f>
        <v/>
      </c>
      <c r="Y5835" s="12">
        <f>IF(OR(LEFT(K5835,4)="LVAX",LEFT(K5835,6)="MV15AX",LEFT(K5835,4)="CTAX",LEFT(K5835,2)="W|"),2*N5835*O5835,0)</f>
        <v/>
      </c>
      <c r="Z5835" s="12" t="inlineStr"/>
      <c r="AA5835" s="12">
        <f>N5835*O5835</f>
        <v/>
      </c>
    </row>
    <row r="5836">
      <c r="A5836" s="12" t="inlineStr">
        <is>
          <t>K-C-0064</t>
        </is>
      </c>
      <c r="B5836" s="12" t="inlineStr">
        <is>
          <t>K</t>
        </is>
      </c>
      <c r="C5836" s="12" t="inlineStr">
        <is>
          <t>Fuel supply (adjacent market)</t>
        </is>
      </c>
      <c r="D5836" s="12" t="inlineStr">
        <is>
          <t>Solenoid to JB JB-H2 27: storage tub-SOL01: 2 x 2/C (field cables)</t>
        </is>
      </c>
      <c r="E5836" s="12" t="inlineStr"/>
      <c r="F5836" s="12" t="inlineStr">
        <is>
          <t>H2 27: storage tube bank (~40 ft tubes)</t>
        </is>
      </c>
      <c r="G5836" s="12" t="inlineStr">
        <is>
          <t>JB-H2 27: storage tub-SOL01</t>
        </is>
      </c>
      <c r="H5836" s="12" t="inlineStr">
        <is>
          <t>H2 27: storage tube bank (~40 ft tubes)</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7" t="n">
        <v>54</v>
      </c>
      <c r="U5836" s="17" t="n">
        <v>10</v>
      </c>
      <c r="V5836" s="17">
        <f>ROUNDUP((T5836+U5836+2*'Read Me'!$B$13)*(1+'Read Me'!$B$12),-1)</f>
        <v/>
      </c>
      <c r="W5836" s="17">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K-C-0065</t>
        </is>
      </c>
      <c r="B5837" s="12" t="inlineStr">
        <is>
          <t>K</t>
        </is>
      </c>
      <c r="C5837" s="12" t="inlineStr">
        <is>
          <t>Fuel supply (adjacent market)</t>
        </is>
      </c>
      <c r="D5837" s="12" t="inlineStr">
        <is>
          <t>Home run JB-H2 27: storage tub-SOL01 to the control / marshalling room</t>
        </is>
      </c>
      <c r="E5837" s="12" t="inlineStr"/>
      <c r="F5837" s="12" t="inlineStr">
        <is>
          <t>H2 20: 13.8 kV e-house</t>
        </is>
      </c>
      <c r="G5837" s="12" t="inlineStr">
        <is>
          <t>JB-H2 27: storage tub-SOL01</t>
        </is>
      </c>
      <c r="H5837" s="12" t="inlineStr">
        <is>
          <t>H2 27: storage tube bank (~40 ft tubes)</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7" t="n">
        <v>50</v>
      </c>
      <c r="U5837" s="17" t="n">
        <v>117</v>
      </c>
      <c r="V5837" s="17">
        <f>ROUNDUP((T5837+U5837+2*'Read Me'!$B$13)*(1+'Read Me'!$B$12),-1)</f>
        <v/>
      </c>
      <c r="W5837" s="17">
        <f>V5837*N5837*O5837</f>
        <v/>
      </c>
      <c r="X5837" s="12">
        <f>IF(LEFT(I5837,2)="MV",2*N5837*IF(L5837="1/C",O5837,1),0)</f>
        <v/>
      </c>
      <c r="Y5837" s="12">
        <f>IF(OR(LEFT(K5837,4)="LVAX",LEFT(K5837,6)="MV15AX",LEFT(K5837,4)="CTAX",LEFT(K5837,2)="W|"),2*N5837*O5837,0)</f>
        <v/>
      </c>
      <c r="Z5837" s="12" t="inlineStr"/>
      <c r="AA5837" s="12">
        <f>N5837*O5837</f>
        <v/>
      </c>
    </row>
    <row r="5838">
      <c r="A5838" s="12" t="inlineStr">
        <is>
          <t>K-C-0066</t>
        </is>
      </c>
      <c r="B5838" s="12" t="inlineStr">
        <is>
          <t>K</t>
        </is>
      </c>
      <c r="C5838" s="12" t="inlineStr">
        <is>
          <t>Fuel supply (adjacent market)</t>
        </is>
      </c>
      <c r="D5838" s="12" t="inlineStr">
        <is>
          <t>Motor 1 of 1: control / local station</t>
        </is>
      </c>
      <c r="E5838" s="12" t="inlineStr"/>
      <c r="F5838" s="12" t="inlineStr">
        <is>
          <t>H2 20: 13.8 kV e-house</t>
        </is>
      </c>
      <c r="G5838" s="12" t="inlineStr"/>
      <c r="H5838" s="12" t="inlineStr">
        <is>
          <t>H2 27: storage tube bank (~40 ft tubes)</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7" t="n">
        <v>50</v>
      </c>
      <c r="U5838" s="17" t="n">
        <v>97</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K-C-0067</t>
        </is>
      </c>
      <c r="B5839" s="12" t="inlineStr">
        <is>
          <t>K</t>
        </is>
      </c>
      <c r="C5839" s="12" t="inlineStr">
        <is>
          <t>Fuel supply (adjacent market)</t>
        </is>
      </c>
      <c r="D5839" s="12" t="inlineStr">
        <is>
          <t>Solenoid to JB JB-H2 27: storage tub-SOL01: 2 x 2/C (field cables)</t>
        </is>
      </c>
      <c r="E5839" s="12" t="inlineStr"/>
      <c r="F5839" s="12" t="inlineStr">
        <is>
          <t>H2 27: storage tube bank (~40 ft tubes)</t>
        </is>
      </c>
      <c r="G5839" s="12" t="inlineStr">
        <is>
          <t>JB-H2 27: storage tub-SOL01</t>
        </is>
      </c>
      <c r="H5839" s="12" t="inlineStr">
        <is>
          <t>H2 27: storage tube bank (~40 ft tubes)</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7" t="n">
        <v>54</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K-C-0068</t>
        </is>
      </c>
      <c r="B5840" s="12" t="inlineStr">
        <is>
          <t>K</t>
        </is>
      </c>
      <c r="C5840" s="12" t="inlineStr">
        <is>
          <t>Fuel supply (adjacent market)</t>
        </is>
      </c>
      <c r="D5840" s="12" t="inlineStr">
        <is>
          <t>Home run JB-H2 27: storage tub-SOL01 to the control / marshalling room</t>
        </is>
      </c>
      <c r="E5840" s="12" t="inlineStr"/>
      <c r="F5840" s="12" t="inlineStr">
        <is>
          <t>H2 20: 13.8 kV e-house</t>
        </is>
      </c>
      <c r="G5840" s="12" t="inlineStr">
        <is>
          <t>JB-H2 27: storage tub-SOL01</t>
        </is>
      </c>
      <c r="H5840" s="12" t="inlineStr">
        <is>
          <t>H2 27: storage tube bank (~40 ft tubes)</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Duct bank</t>
        </is>
      </c>
      <c r="T5840" s="17" t="n">
        <v>50</v>
      </c>
      <c r="U5840" s="17" t="n">
        <v>97</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K-C-0069</t>
        </is>
      </c>
      <c r="B5841" s="12" t="inlineStr">
        <is>
          <t>K</t>
        </is>
      </c>
      <c r="C5841" s="12" t="inlineStr">
        <is>
          <t>Fuel supply (adjacent market)</t>
        </is>
      </c>
      <c r="D5841" s="12" t="inlineStr">
        <is>
          <t>Motor 1 of 1: control / local station</t>
        </is>
      </c>
      <c r="E5841" s="12" t="inlineStr"/>
      <c r="F5841" s="12" t="inlineStr">
        <is>
          <t>H2 20: 13.8 kV e-house</t>
        </is>
      </c>
      <c r="G5841" s="12" t="inlineStr"/>
      <c r="H5841" s="12" t="inlineStr">
        <is>
          <t>H2 27: storage tube bank (~40 ft tubes)</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7" t="n">
        <v>50</v>
      </c>
      <c r="U5841" s="17" t="n">
        <v>117</v>
      </c>
      <c r="V5841" s="17">
        <f>ROUNDUP((T5841+U5841+2*'Read Me'!$B$13)*(1+'Read Me'!$B$12),-1)</f>
        <v/>
      </c>
      <c r="W5841" s="17">
        <f>V5841*N5841*O5841</f>
        <v/>
      </c>
      <c r="X5841" s="12">
        <f>IF(LEFT(I5841,2)="MV",2*N5841*IF(L5841="1/C",O5841,1),0)</f>
        <v/>
      </c>
      <c r="Y5841" s="12">
        <f>IF(OR(LEFT(K5841,4)="LVAX",LEFT(K5841,6)="MV15AX",LEFT(K5841,4)="CTAX",LEFT(K5841,2)="W|"),2*N5841*O5841,0)</f>
        <v/>
      </c>
      <c r="Z5841" s="12" t="inlineStr"/>
      <c r="AA5841" s="12">
        <f>N5841*O5841</f>
        <v/>
      </c>
    </row>
    <row r="5842">
      <c r="A5842" s="12" t="inlineStr">
        <is>
          <t>K-C-0070</t>
        </is>
      </c>
      <c r="B5842" s="12" t="inlineStr">
        <is>
          <t>K</t>
        </is>
      </c>
      <c r="C5842" s="12" t="inlineStr">
        <is>
          <t>Fuel supply (adjacent market)</t>
        </is>
      </c>
      <c r="D5842" s="12" t="inlineStr">
        <is>
          <t>Solenoid to JB JB-H2 27: storage tub-SOL01: 2 x 2/C (field cables)</t>
        </is>
      </c>
      <c r="E5842" s="12" t="inlineStr"/>
      <c r="F5842" s="12" t="inlineStr">
        <is>
          <t>H2 27: storage tube bank (~40 ft tubes)</t>
        </is>
      </c>
      <c r="G5842" s="12" t="inlineStr">
        <is>
          <t>JB-H2 27: storage tub-SOL01</t>
        </is>
      </c>
      <c r="H5842" s="12" t="inlineStr">
        <is>
          <t>H2 27: storage tube bank (~40 ft tubes)</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7" t="n">
        <v>54</v>
      </c>
      <c r="U5842" s="17" t="n">
        <v>10</v>
      </c>
      <c r="V5842" s="17">
        <f>ROUNDUP((T5842+U5842+2*'Read Me'!$B$13)*(1+'Read Me'!$B$12),-1)</f>
        <v/>
      </c>
      <c r="W5842" s="17">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K-C-0071</t>
        </is>
      </c>
      <c r="B5843" s="12" t="inlineStr">
        <is>
          <t>K</t>
        </is>
      </c>
      <c r="C5843" s="12" t="inlineStr">
        <is>
          <t>Fuel supply (adjacent market)</t>
        </is>
      </c>
      <c r="D5843" s="12" t="inlineStr">
        <is>
          <t>Home run JB-H2 27: storage tub-SOL01 to the control / marshalling room</t>
        </is>
      </c>
      <c r="E5843" s="12" t="inlineStr"/>
      <c r="F5843" s="12" t="inlineStr">
        <is>
          <t>H2 20: 13.8 kV e-house</t>
        </is>
      </c>
      <c r="G5843" s="12" t="inlineStr">
        <is>
          <t>JB-H2 27: storage tub-SOL01</t>
        </is>
      </c>
      <c r="H5843" s="12" t="inlineStr">
        <is>
          <t>H2 27: storage tube bank (~40 ft tubes)</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7" t="n">
        <v>50</v>
      </c>
      <c r="U5843" s="17" t="n">
        <v>117</v>
      </c>
      <c r="V5843" s="17">
        <f>ROUNDUP((T5843+U5843+2*'Read Me'!$B$13)*(1+'Read Me'!$B$12),-1)</f>
        <v/>
      </c>
      <c r="W5843" s="17">
        <f>V5843*N5843*O5843</f>
        <v/>
      </c>
      <c r="X5843" s="12">
        <f>IF(LEFT(I5843,2)="MV",2*N5843*IF(L5843="1/C",O5843,1),0)</f>
        <v/>
      </c>
      <c r="Y5843" s="12">
        <f>IF(OR(LEFT(K5843,4)="LVAX",LEFT(K5843,6)="MV15AX",LEFT(K5843,4)="CTAX",LEFT(K5843,2)="W|"),2*N5843*O5843,0)</f>
        <v/>
      </c>
      <c r="Z5843" s="12" t="inlineStr"/>
      <c r="AA5843" s="12">
        <f>N5843*O5843</f>
        <v/>
      </c>
    </row>
    <row r="5844">
      <c r="A5844" s="12" t="inlineStr">
        <is>
          <t>K-C-0072</t>
        </is>
      </c>
      <c r="B5844" s="12" t="inlineStr">
        <is>
          <t>K</t>
        </is>
      </c>
      <c r="C5844" s="12" t="inlineStr">
        <is>
          <t>Fuel supply (adjacent market)</t>
        </is>
      </c>
      <c r="D5844" s="12" t="inlineStr">
        <is>
          <t>Motor 1 of 1: control / local station</t>
        </is>
      </c>
      <c r="E5844" s="12" t="inlineStr"/>
      <c r="F5844" s="12" t="inlineStr">
        <is>
          <t>H2 20: 13.8 kV e-house</t>
        </is>
      </c>
      <c r="G5844" s="12" t="inlineStr"/>
      <c r="H5844" s="12" t="inlineStr">
        <is>
          <t>H2 28: N2 purge supply</t>
        </is>
      </c>
      <c r="I5844" s="12" t="inlineStr">
        <is>
          <t>Control</t>
        </is>
      </c>
      <c r="J5844" s="12" t="inlineStr">
        <is>
          <t>ARMOR-X MC-HL 600 V control, Cu #14 AWG (Class I Div 2)</t>
        </is>
      </c>
      <c r="K5844" s="12" t="inlineStr">
        <is>
          <t>CTAX|7/C|14</t>
        </is>
      </c>
      <c r="L5844" s="12" t="inlineStr">
        <is>
          <t>7/C</t>
        </is>
      </c>
      <c r="M5844" s="12" t="inlineStr">
        <is>
          <t>14</t>
        </is>
      </c>
      <c r="N5844" s="12" t="n">
        <v>1</v>
      </c>
      <c r="O5844" s="12" t="n">
        <v>1</v>
      </c>
      <c r="P5844" s="12" t="n"/>
      <c r="Q5844" s="12" t="n"/>
      <c r="R5844" s="12" t="n"/>
      <c r="S5844" s="12" t="inlineStr">
        <is>
          <t>Duct bank</t>
        </is>
      </c>
      <c r="T5844" s="17" t="n">
        <v>53</v>
      </c>
      <c r="U5844" s="17" t="n">
        <v>36</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K-C-0073</t>
        </is>
      </c>
      <c r="B5845" s="12" t="inlineStr">
        <is>
          <t>K</t>
        </is>
      </c>
      <c r="C5845" s="12" t="inlineStr">
        <is>
          <t>Fuel supply (adjacent market)</t>
        </is>
      </c>
      <c r="D5845" s="12" t="inlineStr">
        <is>
          <t>Solenoid to JB JB-H2 28: N2 purge su-SOL01: 2 x 2/C (field cables)</t>
        </is>
      </c>
      <c r="E5845" s="12" t="inlineStr"/>
      <c r="F5845" s="12" t="inlineStr">
        <is>
          <t>H2 28: N2 purge supply</t>
        </is>
      </c>
      <c r="G5845" s="12" t="inlineStr">
        <is>
          <t>JB-H2 28: N2 purge su-SOL01</t>
        </is>
      </c>
      <c r="H5845" s="12" t="inlineStr">
        <is>
          <t>H2 28: N2 purge supply</t>
        </is>
      </c>
      <c r="I5845" s="12" t="inlineStr">
        <is>
          <t>Control</t>
        </is>
      </c>
      <c r="J5845" s="12" t="inlineStr">
        <is>
          <t>ARMOR-X MC-HL 600 V control, Cu #14 AWG (Class I Div 2)</t>
        </is>
      </c>
      <c r="K5845" s="12" t="inlineStr">
        <is>
          <t>CTAX|2/C|14</t>
        </is>
      </c>
      <c r="L5845" s="12" t="inlineStr">
        <is>
          <t>2/C</t>
        </is>
      </c>
      <c r="M5845" s="12" t="inlineStr">
        <is>
          <t>14</t>
        </is>
      </c>
      <c r="N5845" s="12" t="n">
        <v>2</v>
      </c>
      <c r="O5845" s="12" t="n">
        <v>1</v>
      </c>
      <c r="P5845" s="12" t="n"/>
      <c r="Q5845" s="12" t="n"/>
      <c r="R5845" s="12" t="n"/>
      <c r="S5845" s="12" t="inlineStr">
        <is>
          <t>Tray / conduit</t>
        </is>
      </c>
      <c r="T5845" s="17" t="n">
        <v>56</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K-C-0074</t>
        </is>
      </c>
      <c r="B5846" s="12" t="inlineStr">
        <is>
          <t>K</t>
        </is>
      </c>
      <c r="C5846" s="12" t="inlineStr">
        <is>
          <t>Fuel supply (adjacent market)</t>
        </is>
      </c>
      <c r="D5846" s="12" t="inlineStr">
        <is>
          <t>Home run JB-H2 28: N2 purge su-SOL01 to the control / marshalling room</t>
        </is>
      </c>
      <c r="E5846" s="12" t="inlineStr"/>
      <c r="F5846" s="12" t="inlineStr">
        <is>
          <t>H2 20: 13.8 kV e-house</t>
        </is>
      </c>
      <c r="G5846" s="12" t="inlineStr">
        <is>
          <t>JB-H2 28: N2 purge su-SOL01</t>
        </is>
      </c>
      <c r="H5846" s="12" t="inlineStr">
        <is>
          <t>H2 28: N2 purge supply</t>
        </is>
      </c>
      <c r="I5846" s="12" t="inlineStr">
        <is>
          <t>Control</t>
        </is>
      </c>
      <c r="J5846" s="12" t="inlineStr">
        <is>
          <t>ARMOR-X MC-HL 600 V control, Cu #14 AWG (Class I Div 2)</t>
        </is>
      </c>
      <c r="K5846" s="12" t="inlineStr">
        <is>
          <t>CTAX|25/C|14</t>
        </is>
      </c>
      <c r="L5846" s="12" t="inlineStr">
        <is>
          <t>25/C</t>
        </is>
      </c>
      <c r="M5846" s="12" t="inlineStr">
        <is>
          <t>14</t>
        </is>
      </c>
      <c r="N5846" s="12" t="n">
        <v>1</v>
      </c>
      <c r="O5846" s="12" t="n">
        <v>1</v>
      </c>
      <c r="P5846" s="12" t="n"/>
      <c r="Q5846" s="12" t="n"/>
      <c r="R5846" s="12" t="n"/>
      <c r="S5846" s="12" t="inlineStr">
        <is>
          <t>Duct bank</t>
        </is>
      </c>
      <c r="T5846" s="17" t="n">
        <v>53</v>
      </c>
      <c r="U5846" s="17" t="n">
        <v>36</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K-C-0075</t>
        </is>
      </c>
      <c r="B5847" s="12" t="inlineStr">
        <is>
          <t>K</t>
        </is>
      </c>
      <c r="C5847" s="12" t="inlineStr">
        <is>
          <t>Fuel supply (adjacent market)</t>
        </is>
      </c>
      <c r="D5847" s="12" t="inlineStr">
        <is>
          <t>Motor 1 of 1: control / local station</t>
        </is>
      </c>
      <c r="E5847" s="12" t="inlineStr"/>
      <c r="F5847" s="12" t="inlineStr">
        <is>
          <t>H2 20: 13.8 kV e-house</t>
        </is>
      </c>
      <c r="G5847" s="12" t="inlineStr"/>
      <c r="H5847" s="12" t="inlineStr">
        <is>
          <t>H2 29: vent stack</t>
        </is>
      </c>
      <c r="I5847" s="12" t="inlineStr">
        <is>
          <t>Control</t>
        </is>
      </c>
      <c r="J5847" s="12" t="inlineStr">
        <is>
          <t>ARMOR-X MC-HL 600 V control, Cu #14 AWG (Class I Div 2)</t>
        </is>
      </c>
      <c r="K5847" s="12" t="inlineStr">
        <is>
          <t>CTAX|7/C|14</t>
        </is>
      </c>
      <c r="L5847" s="12" t="inlineStr">
        <is>
          <t>7/C</t>
        </is>
      </c>
      <c r="M5847" s="12" t="inlineStr">
        <is>
          <t>14</t>
        </is>
      </c>
      <c r="N5847" s="12" t="n">
        <v>1</v>
      </c>
      <c r="O5847" s="12" t="n">
        <v>1</v>
      </c>
      <c r="P5847" s="12" t="n"/>
      <c r="Q5847" s="12" t="n"/>
      <c r="R5847" s="12" t="n"/>
      <c r="S5847" s="12" t="inlineStr">
        <is>
          <t>Duct bank</t>
        </is>
      </c>
      <c r="T5847" s="17" t="n">
        <v>55</v>
      </c>
      <c r="U5847" s="17" t="n">
        <v>205</v>
      </c>
      <c r="V5847" s="17">
        <f>ROUNDUP((T5847+U5847+2*'Read Me'!$B$13)*(1+'Read Me'!$B$12),-1)</f>
        <v/>
      </c>
      <c r="W5847" s="17">
        <f>V5847*N5847*O5847</f>
        <v/>
      </c>
      <c r="X5847" s="12">
        <f>IF(LEFT(I5847,2)="MV",2*N5847*IF(L5847="1/C",O5847,1),0)</f>
        <v/>
      </c>
      <c r="Y5847" s="12">
        <f>IF(OR(LEFT(K5847,4)="LVAX",LEFT(K5847,6)="MV15AX",LEFT(K5847,4)="CTAX",LEFT(K5847,2)="W|"),2*N5847*O5847,0)</f>
        <v/>
      </c>
      <c r="Z5847" s="12" t="inlineStr"/>
      <c r="AA5847" s="12">
        <f>N5847*O5847</f>
        <v/>
      </c>
    </row>
    <row r="5848">
      <c r="A5848" s="12" t="inlineStr">
        <is>
          <t>K-C-0076</t>
        </is>
      </c>
      <c r="B5848" s="12" t="inlineStr">
        <is>
          <t>K</t>
        </is>
      </c>
      <c r="C5848" s="12" t="inlineStr">
        <is>
          <t>Fuel supply (adjacent market)</t>
        </is>
      </c>
      <c r="D5848" s="12" t="inlineStr">
        <is>
          <t>Solenoid to JB JB-H2 29: vent stack-SOL01: 2 x 2/C (field cables)</t>
        </is>
      </c>
      <c r="E5848" s="12" t="inlineStr"/>
      <c r="F5848" s="12" t="inlineStr">
        <is>
          <t>H2 29: vent stack</t>
        </is>
      </c>
      <c r="G5848" s="12" t="inlineStr">
        <is>
          <t>JB-H2 29: vent stack-SOL01</t>
        </is>
      </c>
      <c r="H5848" s="12" t="inlineStr">
        <is>
          <t>H2 29: vent stack</t>
        </is>
      </c>
      <c r="I5848" s="12" t="inlineStr">
        <is>
          <t>Control</t>
        </is>
      </c>
      <c r="J5848" s="12" t="inlineStr">
        <is>
          <t>ARMOR-X MC-HL 600 V control, Cu #14 AWG (Class I Div 2)</t>
        </is>
      </c>
      <c r="K5848" s="12" t="inlineStr">
        <is>
          <t>CTAX|2/C|14</t>
        </is>
      </c>
      <c r="L5848" s="12" t="inlineStr">
        <is>
          <t>2/C</t>
        </is>
      </c>
      <c r="M5848" s="12" t="inlineStr">
        <is>
          <t>14</t>
        </is>
      </c>
      <c r="N5848" s="12" t="n">
        <v>2</v>
      </c>
      <c r="O5848" s="12" t="n">
        <v>1</v>
      </c>
      <c r="P5848" s="12" t="n"/>
      <c r="Q5848" s="12" t="n"/>
      <c r="R5848" s="12" t="n"/>
      <c r="S5848" s="12" t="inlineStr">
        <is>
          <t>Tray / conduit</t>
        </is>
      </c>
      <c r="T5848" s="17" t="n">
        <v>45</v>
      </c>
      <c r="U5848" s="17" t="n">
        <v>10</v>
      </c>
      <c r="V5848" s="17">
        <f>ROUNDUP((T5848+U5848+2*'Read Me'!$B$13)*(1+'Read Me'!$B$12),-1)</f>
        <v/>
      </c>
      <c r="W5848" s="17">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K-C-0077</t>
        </is>
      </c>
      <c r="B5849" s="12" t="inlineStr">
        <is>
          <t>K</t>
        </is>
      </c>
      <c r="C5849" s="12" t="inlineStr">
        <is>
          <t>Fuel supply (adjacent market)</t>
        </is>
      </c>
      <c r="D5849" s="12" t="inlineStr">
        <is>
          <t>Home run JB-H2 29: vent stack-SOL01 to the control / marshalling room</t>
        </is>
      </c>
      <c r="E5849" s="12" t="inlineStr"/>
      <c r="F5849" s="12" t="inlineStr">
        <is>
          <t>H2 20: 13.8 kV e-house</t>
        </is>
      </c>
      <c r="G5849" s="12" t="inlineStr">
        <is>
          <t>JB-H2 29: vent stack-SOL01</t>
        </is>
      </c>
      <c r="H5849" s="12" t="inlineStr">
        <is>
          <t>H2 29: vent stack</t>
        </is>
      </c>
      <c r="I5849" s="12" t="inlineStr">
        <is>
          <t>Control</t>
        </is>
      </c>
      <c r="J5849" s="12" t="inlineStr">
        <is>
          <t>ARMOR-X MC-HL 600 V control, Cu #14 AWG (Class I Div 2)</t>
        </is>
      </c>
      <c r="K5849" s="12" t="inlineStr">
        <is>
          <t>CTAX|25/C|14</t>
        </is>
      </c>
      <c r="L5849" s="12" t="inlineStr">
        <is>
          <t>25/C</t>
        </is>
      </c>
      <c r="M5849" s="12" t="inlineStr">
        <is>
          <t>14</t>
        </is>
      </c>
      <c r="N5849" s="12" t="n">
        <v>1</v>
      </c>
      <c r="O5849" s="12" t="n">
        <v>1</v>
      </c>
      <c r="P5849" s="12" t="n"/>
      <c r="Q5849" s="12" t="n"/>
      <c r="R5849" s="12" t="n"/>
      <c r="S5849" s="12" t="inlineStr">
        <is>
          <t>Duct bank</t>
        </is>
      </c>
      <c r="T5849" s="17" t="n">
        <v>55</v>
      </c>
      <c r="U5849" s="17" t="n">
        <v>205</v>
      </c>
      <c r="V5849" s="17">
        <f>ROUNDUP((T5849+U5849+2*'Read Me'!$B$13)*(1+'Read Me'!$B$12),-1)</f>
        <v/>
      </c>
      <c r="W5849" s="17">
        <f>V5849*N5849*O5849</f>
        <v/>
      </c>
      <c r="X5849" s="12">
        <f>IF(LEFT(I5849,2)="MV",2*N5849*IF(L5849="1/C",O5849,1),0)</f>
        <v/>
      </c>
      <c r="Y5849" s="12">
        <f>IF(OR(LEFT(K5849,4)="LVAX",LEFT(K5849,6)="MV15AX",LEFT(K5849,4)="CTAX",LEFT(K5849,2)="W|"),2*N5849*O5849,0)</f>
        <v/>
      </c>
      <c r="Z5849" s="12" t="inlineStr"/>
      <c r="AA5849" s="12">
        <f>N5849*O5849</f>
        <v/>
      </c>
    </row>
    <row r="5850">
      <c r="A5850" s="12" t="inlineStr">
        <is>
          <t>K-C-0078</t>
        </is>
      </c>
      <c r="B5850" s="12" t="inlineStr">
        <is>
          <t>K</t>
        </is>
      </c>
      <c r="C5850" s="12" t="inlineStr">
        <is>
          <t>Fuel supply (adjacent market)</t>
        </is>
      </c>
      <c r="D5850" s="12" t="inlineStr">
        <is>
          <t>Motor 1 of 1: control / local station</t>
        </is>
      </c>
      <c r="E5850" s="12" t="inlineStr"/>
      <c r="F5850" s="12" t="inlineStr">
        <is>
          <t>LNG 17: LNG e-house (13.8 kV / 480 V)</t>
        </is>
      </c>
      <c r="G5850" s="12" t="inlineStr"/>
      <c r="H5850" s="12" t="inlineStr">
        <is>
          <t>H2 30: H2 / gas blending station (plant gas yard)</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7" t="n">
        <v>994</v>
      </c>
      <c r="U5850" s="17" t="n">
        <v>114</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K-C-0079</t>
        </is>
      </c>
      <c r="B5851" s="12" t="inlineStr">
        <is>
          <t>K</t>
        </is>
      </c>
      <c r="C5851" s="12" t="inlineStr">
        <is>
          <t>Fuel supply (adjacent market)</t>
        </is>
      </c>
      <c r="D5851" s="12" t="inlineStr">
        <is>
          <t>Solenoid to JB JB-H2 30: H2 / gas bl-SOL01: 2 x 2/C (field cables)</t>
        </is>
      </c>
      <c r="E5851" s="12" t="inlineStr"/>
      <c r="F5851" s="12" t="inlineStr">
        <is>
          <t>H2 30: H2 / gas blending station (plant gas yard)</t>
        </is>
      </c>
      <c r="G5851" s="12" t="inlineStr">
        <is>
          <t>JB-H2 30: H2 / gas bl-SOL01</t>
        </is>
      </c>
      <c r="H5851" s="12" t="inlineStr">
        <is>
          <t>H2 30: H2 / gas blending station (plant gas yard)</t>
        </is>
      </c>
      <c r="I5851" s="12" t="inlineStr">
        <is>
          <t>Control</t>
        </is>
      </c>
      <c r="J5851" s="12" t="inlineStr">
        <is>
          <t>ARMOR-X MC-HL 600 V control, Cu #14 AWG (Class I Div 2)</t>
        </is>
      </c>
      <c r="K5851" s="12" t="inlineStr">
        <is>
          <t>CTAX|2/C|14</t>
        </is>
      </c>
      <c r="L5851" s="12" t="inlineStr">
        <is>
          <t>2/C</t>
        </is>
      </c>
      <c r="M5851" s="12" t="inlineStr">
        <is>
          <t>14</t>
        </is>
      </c>
      <c r="N5851" s="12" t="n">
        <v>2</v>
      </c>
      <c r="O5851" s="12" t="n">
        <v>1</v>
      </c>
      <c r="P5851" s="12" t="n"/>
      <c r="Q5851" s="12" t="n"/>
      <c r="R5851" s="12" t="n"/>
      <c r="S5851" s="12" t="inlineStr">
        <is>
          <t>Tray / conduit</t>
        </is>
      </c>
      <c r="T5851" s="17" t="n">
        <v>129</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K-C-0080</t>
        </is>
      </c>
      <c r="B5852" s="12" t="inlineStr">
        <is>
          <t>K</t>
        </is>
      </c>
      <c r="C5852" s="12" t="inlineStr">
        <is>
          <t>Fuel supply (adjacent market)</t>
        </is>
      </c>
      <c r="D5852" s="12" t="inlineStr">
        <is>
          <t>Home run JB-H2 30: H2 / gas bl-SOL01 to the control / marshalling room</t>
        </is>
      </c>
      <c r="E5852" s="12" t="inlineStr"/>
      <c r="F5852" s="12" t="inlineStr">
        <is>
          <t>LNG 17: LNG e-house (13.8 kV / 480 V)</t>
        </is>
      </c>
      <c r="G5852" s="12" t="inlineStr">
        <is>
          <t>JB-H2 30: H2 / gas bl-SOL01</t>
        </is>
      </c>
      <c r="H5852" s="12" t="inlineStr">
        <is>
          <t>H2 30: H2 / gas blending station (plant gas yard)</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7" t="n">
        <v>994</v>
      </c>
      <c r="U5852" s="17" t="n">
        <v>114</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K-C-0081</t>
        </is>
      </c>
      <c r="B5853" s="12" t="inlineStr">
        <is>
          <t>K</t>
        </is>
      </c>
      <c r="C5853" s="12" t="inlineStr">
        <is>
          <t>Fuel supply (adjacent market)</t>
        </is>
      </c>
      <c r="D5853" s="12" t="inlineStr">
        <is>
          <t>Motor 1 of 2: control / local station</t>
        </is>
      </c>
      <c r="E5853" s="12" t="inlineStr"/>
      <c r="F5853" s="12" t="inlineStr">
        <is>
          <t>H2 20: 13.8 kV e-house</t>
        </is>
      </c>
      <c r="G5853" s="12" t="inlineStr"/>
      <c r="H5853" s="12" t="inlineStr">
        <is>
          <t>H2 pipe track and cable trench, hall -&gt; dryer / compressors (N2, instr</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7" t="n">
        <v>53</v>
      </c>
      <c r="U5853" s="17" t="n">
        <v>62</v>
      </c>
      <c r="V5853" s="17">
        <f>ROUNDUP((T5853+U5853+2*'Read Me'!$B$13)*(1+'Read Me'!$B$12),-1)</f>
        <v/>
      </c>
      <c r="W5853" s="17">
        <f>V5853*N5853*O5853</f>
        <v/>
      </c>
      <c r="X5853" s="12">
        <f>IF(LEFT(I5853,2)="MV",2*N5853*IF(L5853="1/C",O5853,1),0)</f>
        <v/>
      </c>
      <c r="Y5853" s="12">
        <f>IF(OR(LEFT(K5853,4)="LVAX",LEFT(K5853,6)="MV15AX",LEFT(K5853,4)="CTAX",LEFT(K5853,2)="W|"),2*N5853*O5853,0)</f>
        <v/>
      </c>
      <c r="Z5853" s="12" t="inlineStr"/>
      <c r="AA5853" s="12">
        <f>N5853*O5853</f>
        <v/>
      </c>
    </row>
    <row r="5854">
      <c r="A5854" s="12" t="inlineStr">
        <is>
          <t>K-C-0082</t>
        </is>
      </c>
      <c r="B5854" s="12" t="inlineStr">
        <is>
          <t>K</t>
        </is>
      </c>
      <c r="C5854" s="12" t="inlineStr">
        <is>
          <t>Fuel supply (adjacent market)</t>
        </is>
      </c>
      <c r="D5854" s="12" t="inlineStr">
        <is>
          <t>Motor 2 of 2: control / local station</t>
        </is>
      </c>
      <c r="E5854" s="12" t="inlineStr"/>
      <c r="F5854" s="12" t="inlineStr">
        <is>
          <t>H2 20: 13.8 kV e-house</t>
        </is>
      </c>
      <c r="G5854" s="12" t="inlineStr"/>
      <c r="H5854" s="12" t="inlineStr">
        <is>
          <t>H2 pipe track and cable trench, hall -&gt; dryer / compressors (N2, instr</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7" t="n">
        <v>53</v>
      </c>
      <c r="U5854" s="17" t="n">
        <v>62</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K-C-0083</t>
        </is>
      </c>
      <c r="B5855" s="12" t="inlineStr">
        <is>
          <t>K</t>
        </is>
      </c>
      <c r="C5855" s="12" t="inlineStr">
        <is>
          <t>Fuel supply (adjacent market)</t>
        </is>
      </c>
      <c r="D5855" s="12" t="inlineStr">
        <is>
          <t>Control</t>
        </is>
      </c>
      <c r="E5855" s="12" t="inlineStr"/>
      <c r="F5855" s="12" t="inlineStr">
        <is>
          <t>H2 20: 13.8 kV e-house</t>
        </is>
      </c>
      <c r="G5855" s="12" t="inlineStr">
        <is>
          <t>H2-ST</t>
        </is>
      </c>
      <c r="H5855" s="12" t="inlineStr">
        <is>
          <t>H2 storage tube banks x4</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7" t="n">
        <v>50</v>
      </c>
      <c r="U5855" s="17" t="n">
        <v>92</v>
      </c>
      <c r="V5855" s="17">
        <f>ROUNDUP((T5855+U5855+2*'Read Me'!$B$13)*(1+'Read Me'!$B$12),-1)</f>
        <v/>
      </c>
      <c r="W5855" s="17">
        <f>V5855*N5855*O5855</f>
        <v/>
      </c>
      <c r="X5855" s="12">
        <f>IF(LEFT(I5855,2)="MV",2*N5855*IF(L5855="1/C",O5855,1),0)</f>
        <v/>
      </c>
      <c r="Y5855" s="12">
        <f>IF(OR(LEFT(K5855,4)="LVAX",LEFT(K5855,6)="MV15AX",LEFT(K5855,4)="CTAX",LEFT(K5855,2)="W|"),2*N5855*O5855,0)</f>
        <v/>
      </c>
      <c r="Z5855" s="12" t="inlineStr"/>
      <c r="AA5855" s="12">
        <f>N5855*O5855</f>
        <v/>
      </c>
    </row>
    <row r="5856">
      <c r="A5856" s="12" t="inlineStr">
        <is>
          <t>K-C-0084</t>
        </is>
      </c>
      <c r="B5856" s="12" t="inlineStr">
        <is>
          <t>K</t>
        </is>
      </c>
      <c r="C5856" s="12" t="inlineStr">
        <is>
          <t>Fuel supply (adjacent market)</t>
        </is>
      </c>
      <c r="D5856" s="12" t="inlineStr">
        <is>
          <t>Motor 1 of 1: control / local station</t>
        </is>
      </c>
      <c r="E5856" s="12" t="inlineStr"/>
      <c r="F5856" s="12" t="inlineStr">
        <is>
          <t>LNG 17: LNG e-house (13.8 kV / 480 V)</t>
        </is>
      </c>
      <c r="G5856" s="12" t="inlineStr"/>
      <c r="H5856" s="12" t="inlineStr">
        <is>
          <t>LNG 10: truck unloading bay 1</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7" t="n">
        <v>237</v>
      </c>
      <c r="U5856" s="17" t="n">
        <v>61</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K-C-0085</t>
        </is>
      </c>
      <c r="B5857" s="12" t="inlineStr">
        <is>
          <t>K</t>
        </is>
      </c>
      <c r="C5857" s="12" t="inlineStr">
        <is>
          <t>Fuel supply (adjacent market)</t>
        </is>
      </c>
      <c r="D5857" s="12" t="inlineStr">
        <is>
          <t>Solenoid to JB JB-LNG 10: truck unlo-SOL01: 2 x 2/C (field cables)</t>
        </is>
      </c>
      <c r="E5857" s="12" t="inlineStr"/>
      <c r="F5857" s="12" t="inlineStr">
        <is>
          <t>LNG 10: truck unloading bay 1</t>
        </is>
      </c>
      <c r="G5857" s="12" t="inlineStr">
        <is>
          <t>JB-LNG 10: truck unlo-SOL01</t>
        </is>
      </c>
      <c r="H5857" s="12" t="inlineStr">
        <is>
          <t>LNG 10: truck unloading bay 1</t>
        </is>
      </c>
      <c r="I5857" s="12" t="inlineStr">
        <is>
          <t>Control</t>
        </is>
      </c>
      <c r="J5857" s="12" t="inlineStr">
        <is>
          <t>ARMOR-X MC-HL 600 V control, Cu #14 AWG (Class I Div 2)</t>
        </is>
      </c>
      <c r="K5857" s="12" t="inlineStr">
        <is>
          <t>CTAX|2/C|14</t>
        </is>
      </c>
      <c r="L5857" s="12" t="inlineStr">
        <is>
          <t>2/C</t>
        </is>
      </c>
      <c r="M5857" s="12" t="inlineStr">
        <is>
          <t>14</t>
        </is>
      </c>
      <c r="N5857" s="12" t="n">
        <v>2</v>
      </c>
      <c r="O5857" s="12" t="n">
        <v>1</v>
      </c>
      <c r="P5857" s="12" t="n"/>
      <c r="Q5857" s="12" t="n"/>
      <c r="R5857" s="12" t="n"/>
      <c r="S5857" s="12" t="inlineStr">
        <is>
          <t>Tray / conduit</t>
        </is>
      </c>
      <c r="T5857" s="17" t="n">
        <v>72</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K-C-0086</t>
        </is>
      </c>
      <c r="B5858" s="12" t="inlineStr">
        <is>
          <t>K</t>
        </is>
      </c>
      <c r="C5858" s="12" t="inlineStr">
        <is>
          <t>Fuel supply (adjacent market)</t>
        </is>
      </c>
      <c r="D5858" s="12" t="inlineStr">
        <is>
          <t>Home run JB-LNG 10: truck unlo-SOL01 to the control / marshalling room</t>
        </is>
      </c>
      <c r="E5858" s="12" t="inlineStr"/>
      <c r="F5858" s="12" t="inlineStr">
        <is>
          <t>LNG 17: LNG e-house (13.8 kV / 480 V)</t>
        </is>
      </c>
      <c r="G5858" s="12" t="inlineStr">
        <is>
          <t>JB-LNG 10: truck unlo-SOL01</t>
        </is>
      </c>
      <c r="H5858" s="12" t="inlineStr">
        <is>
          <t>LNG 10: truck unloading bay 1</t>
        </is>
      </c>
      <c r="I5858" s="12" t="inlineStr">
        <is>
          <t>Control</t>
        </is>
      </c>
      <c r="J5858" s="12" t="inlineStr">
        <is>
          <t>ARMOR-X MC-HL 600 V control, Cu #14 AWG (Class I Div 2)</t>
        </is>
      </c>
      <c r="K5858" s="12" t="inlineStr">
        <is>
          <t>CTAX|25/C|14</t>
        </is>
      </c>
      <c r="L5858" s="12" t="inlineStr">
        <is>
          <t>25/C</t>
        </is>
      </c>
      <c r="M5858" s="12" t="inlineStr">
        <is>
          <t>14</t>
        </is>
      </c>
      <c r="N5858" s="12" t="n">
        <v>1</v>
      </c>
      <c r="O5858" s="12" t="n">
        <v>1</v>
      </c>
      <c r="P5858" s="12" t="n"/>
      <c r="Q5858" s="12" t="n"/>
      <c r="R5858" s="12" t="n"/>
      <c r="S5858" s="12" t="inlineStr">
        <is>
          <t>Duct bank</t>
        </is>
      </c>
      <c r="T5858" s="17" t="n">
        <v>237</v>
      </c>
      <c r="U5858" s="17" t="n">
        <v>61</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K-C-0087</t>
        </is>
      </c>
      <c r="B5859" s="12" t="inlineStr">
        <is>
          <t>K</t>
        </is>
      </c>
      <c r="C5859" s="12" t="inlineStr">
        <is>
          <t>Fuel supply (adjacent market)</t>
        </is>
      </c>
      <c r="D5859" s="12" t="inlineStr">
        <is>
          <t>Motor 1 of 1: control / local station</t>
        </is>
      </c>
      <c r="E5859" s="12" t="inlineStr"/>
      <c r="F5859" s="12" t="inlineStr">
        <is>
          <t>LNG 17: LNG e-house (13.8 kV / 480 V)</t>
        </is>
      </c>
      <c r="G5859" s="12" t="inlineStr"/>
      <c r="H5859" s="12" t="inlineStr">
        <is>
          <t>LNG 10: truck unloading bay 2</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7" t="n">
        <v>147</v>
      </c>
      <c r="U5859" s="17" t="n">
        <v>66</v>
      </c>
      <c r="V5859" s="17">
        <f>ROUNDUP((T5859+U5859+2*'Read Me'!$B$13)*(1+'Read Me'!$B$12),-1)</f>
        <v/>
      </c>
      <c r="W5859" s="17">
        <f>V5859*N5859*O5859</f>
        <v/>
      </c>
      <c r="X5859" s="12">
        <f>IF(LEFT(I5859,2)="MV",2*N5859*IF(L5859="1/C",O5859,1),0)</f>
        <v/>
      </c>
      <c r="Y5859" s="12">
        <f>IF(OR(LEFT(K5859,4)="LVAX",LEFT(K5859,6)="MV15AX",LEFT(K5859,4)="CTAX",LEFT(K5859,2)="W|"),2*N5859*O5859,0)</f>
        <v/>
      </c>
      <c r="Z5859" s="12" t="inlineStr"/>
      <c r="AA5859" s="12">
        <f>N5859*O5859</f>
        <v/>
      </c>
    </row>
    <row r="5860">
      <c r="A5860" s="12" t="inlineStr">
        <is>
          <t>K-C-0088</t>
        </is>
      </c>
      <c r="B5860" s="12" t="inlineStr">
        <is>
          <t>K</t>
        </is>
      </c>
      <c r="C5860" s="12" t="inlineStr">
        <is>
          <t>Fuel supply (adjacent market)</t>
        </is>
      </c>
      <c r="D5860" s="12" t="inlineStr">
        <is>
          <t>Solenoid to JB JB-LNG 10: truck unlo-SOL01: 2 x 2/C (field cables)</t>
        </is>
      </c>
      <c r="E5860" s="12" t="inlineStr"/>
      <c r="F5860" s="12" t="inlineStr">
        <is>
          <t>LNG 10: truck unloading bay 2</t>
        </is>
      </c>
      <c r="G5860" s="12" t="inlineStr">
        <is>
          <t>JB-LNG 10: truck unlo-SOL01</t>
        </is>
      </c>
      <c r="H5860" s="12" t="inlineStr">
        <is>
          <t>LNG 10: truck unloading bay 2</t>
        </is>
      </c>
      <c r="I5860" s="12" t="inlineStr">
        <is>
          <t>Control</t>
        </is>
      </c>
      <c r="J5860" s="12" t="inlineStr">
        <is>
          <t>ARMOR-X MC-HL 600 V control, Cu #14 AWG (Class I Div 2)</t>
        </is>
      </c>
      <c r="K5860" s="12" t="inlineStr">
        <is>
          <t>CTAX|2/C|14</t>
        </is>
      </c>
      <c r="L5860" s="12" t="inlineStr">
        <is>
          <t>2/C</t>
        </is>
      </c>
      <c r="M5860" s="12" t="inlineStr">
        <is>
          <t>14</t>
        </is>
      </c>
      <c r="N5860" s="12" t="n">
        <v>2</v>
      </c>
      <c r="O5860" s="12" t="n">
        <v>1</v>
      </c>
      <c r="P5860" s="12" t="n"/>
      <c r="Q5860" s="12" t="n"/>
      <c r="R5860" s="12" t="n"/>
      <c r="S5860" s="12" t="inlineStr">
        <is>
          <t>Tray / conduit</t>
        </is>
      </c>
      <c r="T5860" s="17" t="n">
        <v>72</v>
      </c>
      <c r="U5860" s="17" t="n">
        <v>10</v>
      </c>
      <c r="V5860" s="17">
        <f>ROUNDUP((T5860+U5860+2*'Read Me'!$B$13)*(1+'Read Me'!$B$12),-1)</f>
        <v/>
      </c>
      <c r="W5860" s="17">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K-C-0089</t>
        </is>
      </c>
      <c r="B5861" s="12" t="inlineStr">
        <is>
          <t>K</t>
        </is>
      </c>
      <c r="C5861" s="12" t="inlineStr">
        <is>
          <t>Fuel supply (adjacent market)</t>
        </is>
      </c>
      <c r="D5861" s="12" t="inlineStr">
        <is>
          <t>Home run JB-LNG 10: truck unlo-SOL01 to the control / marshalling room</t>
        </is>
      </c>
      <c r="E5861" s="12" t="inlineStr"/>
      <c r="F5861" s="12" t="inlineStr">
        <is>
          <t>LNG 17: LNG e-house (13.8 kV / 480 V)</t>
        </is>
      </c>
      <c r="G5861" s="12" t="inlineStr">
        <is>
          <t>JB-LNG 10: truck unlo-SOL01</t>
        </is>
      </c>
      <c r="H5861" s="12" t="inlineStr">
        <is>
          <t>LNG 10: truck unloading bay 2</t>
        </is>
      </c>
      <c r="I5861" s="12" t="inlineStr">
        <is>
          <t>Control</t>
        </is>
      </c>
      <c r="J5861" s="12" t="inlineStr">
        <is>
          <t>ARMOR-X MC-HL 600 V control, Cu #14 AWG (Class I Div 2)</t>
        </is>
      </c>
      <c r="K5861" s="12" t="inlineStr">
        <is>
          <t>CTAX|25/C|14</t>
        </is>
      </c>
      <c r="L5861" s="12" t="inlineStr">
        <is>
          <t>25/C</t>
        </is>
      </c>
      <c r="M5861" s="12" t="inlineStr">
        <is>
          <t>14</t>
        </is>
      </c>
      <c r="N5861" s="12" t="n">
        <v>1</v>
      </c>
      <c r="O5861" s="12" t="n">
        <v>1</v>
      </c>
      <c r="P5861" s="12" t="n"/>
      <c r="Q5861" s="12" t="n"/>
      <c r="R5861" s="12" t="n"/>
      <c r="S5861" s="12" t="inlineStr">
        <is>
          <t>Duct bank</t>
        </is>
      </c>
      <c r="T5861" s="17" t="n">
        <v>147</v>
      </c>
      <c r="U5861" s="17" t="n">
        <v>66</v>
      </c>
      <c r="V5861" s="17">
        <f>ROUNDUP((T5861+U5861+2*'Read Me'!$B$13)*(1+'Read Me'!$B$12),-1)</f>
        <v/>
      </c>
      <c r="W5861" s="17">
        <f>V5861*N5861*O5861</f>
        <v/>
      </c>
      <c r="X5861" s="12">
        <f>IF(LEFT(I5861,2)="MV",2*N5861*IF(L5861="1/C",O5861,1),0)</f>
        <v/>
      </c>
      <c r="Y5861" s="12">
        <f>IF(OR(LEFT(K5861,4)="LVAX",LEFT(K5861,6)="MV15AX",LEFT(K5861,4)="CTAX",LEFT(K5861,2)="W|"),2*N5861*O5861,0)</f>
        <v/>
      </c>
      <c r="Z5861" s="12" t="inlineStr"/>
      <c r="AA5861" s="12">
        <f>N5861*O5861</f>
        <v/>
      </c>
    </row>
    <row r="5862">
      <c r="A5862" s="12" t="inlineStr">
        <is>
          <t>K-C-0090</t>
        </is>
      </c>
      <c r="B5862" s="12" t="inlineStr">
        <is>
          <t>K</t>
        </is>
      </c>
      <c r="C5862" s="12" t="inlineStr">
        <is>
          <t>Fuel supply (adjacent market)</t>
        </is>
      </c>
      <c r="D5862" s="12" t="inlineStr">
        <is>
          <t>Motor 1 of 1: control / local station</t>
        </is>
      </c>
      <c r="E5862" s="12" t="inlineStr"/>
      <c r="F5862" s="12" t="inlineStr">
        <is>
          <t>LNG 17: LNG e-house (13.8 kV / 480 V)</t>
        </is>
      </c>
      <c r="G5862" s="12" t="inlineStr"/>
      <c r="H5862" s="12" t="inlineStr">
        <is>
          <t>LNG 10: unloading skid</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7" t="n">
        <v>237</v>
      </c>
      <c r="U5862" s="17" t="n">
        <v>32</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K-C-0091</t>
        </is>
      </c>
      <c r="B5863" s="12" t="inlineStr">
        <is>
          <t>K</t>
        </is>
      </c>
      <c r="C5863" s="12" t="inlineStr">
        <is>
          <t>Fuel supply (adjacent market)</t>
        </is>
      </c>
      <c r="D5863" s="12" t="inlineStr">
        <is>
          <t>Solenoid to JB JB-LNG 10: unloading -SOL01: 2 x 2/C (field cables)</t>
        </is>
      </c>
      <c r="E5863" s="12" t="inlineStr"/>
      <c r="F5863" s="12" t="inlineStr">
        <is>
          <t>LNG 10: unloading skid</t>
        </is>
      </c>
      <c r="G5863" s="12" t="inlineStr">
        <is>
          <t>JB-LNG 10: unloading -SOL01</t>
        </is>
      </c>
      <c r="H5863" s="12" t="inlineStr">
        <is>
          <t>LNG 10: unloading skid</t>
        </is>
      </c>
      <c r="I5863" s="12" t="inlineStr">
        <is>
          <t>Control</t>
        </is>
      </c>
      <c r="J5863" s="12" t="inlineStr">
        <is>
          <t>ARMOR-X MC-HL 600 V control, Cu #14 AWG (Class I Div 2)</t>
        </is>
      </c>
      <c r="K5863" s="12" t="inlineStr">
        <is>
          <t>CTAX|2/C|14</t>
        </is>
      </c>
      <c r="L5863" s="12" t="inlineStr">
        <is>
          <t>2/C</t>
        </is>
      </c>
      <c r="M5863" s="12" t="inlineStr">
        <is>
          <t>14</t>
        </is>
      </c>
      <c r="N5863" s="12" t="n">
        <v>2</v>
      </c>
      <c r="O5863" s="12" t="n">
        <v>1</v>
      </c>
      <c r="P5863" s="12" t="n"/>
      <c r="Q5863" s="12" t="n"/>
      <c r="R5863" s="12" t="n"/>
      <c r="S5863" s="12" t="inlineStr">
        <is>
          <t>Tray / conduit</t>
        </is>
      </c>
      <c r="T5863" s="17" t="n">
        <v>54</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K-C-0092</t>
        </is>
      </c>
      <c r="B5864" s="12" t="inlineStr">
        <is>
          <t>K</t>
        </is>
      </c>
      <c r="C5864" s="12" t="inlineStr">
        <is>
          <t>Fuel supply (adjacent market)</t>
        </is>
      </c>
      <c r="D5864" s="12" t="inlineStr">
        <is>
          <t>Home run JB-LNG 10: unloading -SOL01 to the control / marshalling room</t>
        </is>
      </c>
      <c r="E5864" s="12" t="inlineStr"/>
      <c r="F5864" s="12" t="inlineStr">
        <is>
          <t>LNG 17: LNG e-house (13.8 kV / 480 V)</t>
        </is>
      </c>
      <c r="G5864" s="12" t="inlineStr">
        <is>
          <t>JB-LNG 10: unloading -SOL01</t>
        </is>
      </c>
      <c r="H5864" s="12" t="inlineStr">
        <is>
          <t>LNG 10: unloading skid</t>
        </is>
      </c>
      <c r="I5864" s="12" t="inlineStr">
        <is>
          <t>Control</t>
        </is>
      </c>
      <c r="J5864" s="12" t="inlineStr">
        <is>
          <t>ARMOR-X MC-HL 600 V control, Cu #14 AWG (Class I Div 2)</t>
        </is>
      </c>
      <c r="K5864" s="12" t="inlineStr">
        <is>
          <t>CTAX|25/C|14</t>
        </is>
      </c>
      <c r="L5864" s="12" t="inlineStr">
        <is>
          <t>25/C</t>
        </is>
      </c>
      <c r="M5864" s="12" t="inlineStr">
        <is>
          <t>14</t>
        </is>
      </c>
      <c r="N5864" s="12" t="n">
        <v>1</v>
      </c>
      <c r="O5864" s="12" t="n">
        <v>1</v>
      </c>
      <c r="P5864" s="12" t="n"/>
      <c r="Q5864" s="12" t="n"/>
      <c r="R5864" s="12" t="n"/>
      <c r="S5864" s="12" t="inlineStr">
        <is>
          <t>Duct bank</t>
        </is>
      </c>
      <c r="T5864" s="17" t="n">
        <v>237</v>
      </c>
      <c r="U5864" s="17" t="n">
        <v>32</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K-C-0093</t>
        </is>
      </c>
      <c r="B5865" s="12" t="inlineStr">
        <is>
          <t>K</t>
        </is>
      </c>
      <c r="C5865" s="12" t="inlineStr">
        <is>
          <t>Fuel supply (adjacent market)</t>
        </is>
      </c>
      <c r="D5865" s="12" t="inlineStr">
        <is>
          <t>Motor 1 of 1: control / local station</t>
        </is>
      </c>
      <c r="E5865" s="12" t="inlineStr"/>
      <c r="F5865" s="12" t="inlineStr">
        <is>
          <t>LNG 17: LNG e-house (13.8 kV / 480 V)</t>
        </is>
      </c>
      <c r="G5865" s="12" t="inlineStr"/>
      <c r="H5865" s="12" t="inlineStr">
        <is>
          <t>LNG 12: spill impoundment (NFPA 59A, to verify)</t>
        </is>
      </c>
      <c r="I5865" s="12" t="inlineStr">
        <is>
          <t>Control</t>
        </is>
      </c>
      <c r="J5865" s="12" t="inlineStr">
        <is>
          <t>ARMOR-X MC-HL 600 V control, Cu #14 AWG (Class I Div 2)</t>
        </is>
      </c>
      <c r="K5865" s="12" t="inlineStr">
        <is>
          <t>CTAX|7/C|14</t>
        </is>
      </c>
      <c r="L5865" s="12" t="inlineStr">
        <is>
          <t>7/C</t>
        </is>
      </c>
      <c r="M5865" s="12" t="inlineStr">
        <is>
          <t>14</t>
        </is>
      </c>
      <c r="N5865" s="12" t="n">
        <v>1</v>
      </c>
      <c r="O5865" s="12" t="n">
        <v>1</v>
      </c>
      <c r="P5865" s="12" t="n"/>
      <c r="Q5865" s="12" t="n"/>
      <c r="R5865" s="12" t="n"/>
      <c r="S5865" s="12" t="inlineStr">
        <is>
          <t>Duct bank</t>
        </is>
      </c>
      <c r="T5865" s="17" t="n">
        <v>230</v>
      </c>
      <c r="U5865" s="17" t="n">
        <v>32</v>
      </c>
      <c r="V5865" s="17">
        <f>ROUNDUP((T5865+U5865+2*'Read Me'!$B$13)*(1+'Read Me'!$B$12),-1)</f>
        <v/>
      </c>
      <c r="W5865" s="17">
        <f>V5865*N5865*O5865</f>
        <v/>
      </c>
      <c r="X5865" s="12">
        <f>IF(LEFT(I5865,2)="MV",2*N5865*IF(L5865="1/C",O5865,1),0)</f>
        <v/>
      </c>
      <c r="Y5865" s="12">
        <f>IF(OR(LEFT(K5865,4)="LVAX",LEFT(K5865,6)="MV15AX",LEFT(K5865,4)="CTAX",LEFT(K5865,2)="W|"),2*N5865*O5865,0)</f>
        <v/>
      </c>
      <c r="Z5865" s="12" t="inlineStr"/>
      <c r="AA5865" s="12">
        <f>N5865*O5865</f>
        <v/>
      </c>
    </row>
    <row r="5866">
      <c r="A5866" s="12" t="inlineStr">
        <is>
          <t>K-C-0094</t>
        </is>
      </c>
      <c r="B5866" s="12" t="inlineStr">
        <is>
          <t>K</t>
        </is>
      </c>
      <c r="C5866" s="12" t="inlineStr">
        <is>
          <t>Fuel supply (adjacent market)</t>
        </is>
      </c>
      <c r="D5866" s="12" t="inlineStr">
        <is>
          <t>Solenoid to JB JB-LNG 12: spill impo-SOL01: 2 x 2/C (field cables)</t>
        </is>
      </c>
      <c r="E5866" s="12" t="inlineStr"/>
      <c r="F5866" s="12" t="inlineStr">
        <is>
          <t>LNG 12: spill impoundment (NFPA 59A, to verify)</t>
        </is>
      </c>
      <c r="G5866" s="12" t="inlineStr">
        <is>
          <t>JB-LNG 12: spill impo-SOL01</t>
        </is>
      </c>
      <c r="H5866" s="12" t="inlineStr">
        <is>
          <t>LNG 12: spill impoundment (NFPA 59A, to verify)</t>
        </is>
      </c>
      <c r="I5866" s="12" t="inlineStr">
        <is>
          <t>Control</t>
        </is>
      </c>
      <c r="J5866" s="12" t="inlineStr">
        <is>
          <t>ARMOR-X MC-HL 600 V control, Cu #14 AWG (Class I Div 2)</t>
        </is>
      </c>
      <c r="K5866" s="12" t="inlineStr">
        <is>
          <t>CTAX|2/C|14</t>
        </is>
      </c>
      <c r="L5866" s="12" t="inlineStr">
        <is>
          <t>2/C</t>
        </is>
      </c>
      <c r="M5866" s="12" t="inlineStr">
        <is>
          <t>14</t>
        </is>
      </c>
      <c r="N5866" s="12" t="n">
        <v>2</v>
      </c>
      <c r="O5866" s="12" t="n">
        <v>1</v>
      </c>
      <c r="P5866" s="12" t="n"/>
      <c r="Q5866" s="12" t="n"/>
      <c r="R5866" s="12" t="n"/>
      <c r="S5866" s="12" t="inlineStr">
        <is>
          <t>Tray / conduit</t>
        </is>
      </c>
      <c r="T5866" s="17" t="n">
        <v>170</v>
      </c>
      <c r="U5866" s="17" t="n">
        <v>10</v>
      </c>
      <c r="V5866" s="17">
        <f>ROUNDUP((T5866+U5866+2*'Read Me'!$B$13)*(1+'Read Me'!$B$12),-1)</f>
        <v/>
      </c>
      <c r="W5866" s="17">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K-C-0095</t>
        </is>
      </c>
      <c r="B5867" s="12" t="inlineStr">
        <is>
          <t>K</t>
        </is>
      </c>
      <c r="C5867" s="12" t="inlineStr">
        <is>
          <t>Fuel supply (adjacent market)</t>
        </is>
      </c>
      <c r="D5867" s="12" t="inlineStr">
        <is>
          <t>Home run JB-LNG 12: spill impo-SOL01 to the control / marshalling room</t>
        </is>
      </c>
      <c r="E5867" s="12" t="inlineStr"/>
      <c r="F5867" s="12" t="inlineStr">
        <is>
          <t>LNG 17: LNG e-house (13.8 kV / 480 V)</t>
        </is>
      </c>
      <c r="G5867" s="12" t="inlineStr">
        <is>
          <t>JB-LNG 12: spill impo-SOL01</t>
        </is>
      </c>
      <c r="H5867" s="12" t="inlineStr">
        <is>
          <t>LNG 12: spill impoundment (NFPA 59A, to verify)</t>
        </is>
      </c>
      <c r="I5867" s="12" t="inlineStr">
        <is>
          <t>Control</t>
        </is>
      </c>
      <c r="J5867" s="12" t="inlineStr">
        <is>
          <t>ARMOR-X MC-HL 600 V control, Cu #14 AWG (Class I Div 2)</t>
        </is>
      </c>
      <c r="K5867" s="12" t="inlineStr">
        <is>
          <t>CTAX|25/C|14</t>
        </is>
      </c>
      <c r="L5867" s="12" t="inlineStr">
        <is>
          <t>25/C</t>
        </is>
      </c>
      <c r="M5867" s="12" t="inlineStr">
        <is>
          <t>14</t>
        </is>
      </c>
      <c r="N5867" s="12" t="n">
        <v>1</v>
      </c>
      <c r="O5867" s="12" t="n">
        <v>1</v>
      </c>
      <c r="P5867" s="12" t="n"/>
      <c r="Q5867" s="12" t="n"/>
      <c r="R5867" s="12" t="n"/>
      <c r="S5867" s="12" t="inlineStr">
        <is>
          <t>Duct bank</t>
        </is>
      </c>
      <c r="T5867" s="17" t="n">
        <v>230</v>
      </c>
      <c r="U5867" s="17" t="n">
        <v>32</v>
      </c>
      <c r="V5867" s="17">
        <f>ROUNDUP((T5867+U5867+2*'Read Me'!$B$13)*(1+'Read Me'!$B$12),-1)</f>
        <v/>
      </c>
      <c r="W5867" s="17">
        <f>V5867*N5867*O5867</f>
        <v/>
      </c>
      <c r="X5867" s="12">
        <f>IF(LEFT(I5867,2)="MV",2*N5867*IF(L5867="1/C",O5867,1),0)</f>
        <v/>
      </c>
      <c r="Y5867" s="12">
        <f>IF(OR(LEFT(K5867,4)="LVAX",LEFT(K5867,6)="MV15AX",LEFT(K5867,4)="CTAX",LEFT(K5867,2)="W|"),2*N5867*O5867,0)</f>
        <v/>
      </c>
      <c r="Z5867" s="12" t="inlineStr"/>
      <c r="AA5867" s="12">
        <f>N5867*O5867</f>
        <v/>
      </c>
    </row>
    <row r="5868">
      <c r="A5868" s="12" t="inlineStr">
        <is>
          <t>K-C-0096</t>
        </is>
      </c>
      <c r="B5868" s="12" t="inlineStr">
        <is>
          <t>K</t>
        </is>
      </c>
      <c r="C5868" s="12" t="inlineStr">
        <is>
          <t>Fuel supply (adjacent market)</t>
        </is>
      </c>
      <c r="D5868" s="12" t="inlineStr">
        <is>
          <t>Motor 1 of 1: control / local station</t>
        </is>
      </c>
      <c r="E5868" s="12" t="inlineStr"/>
      <c r="F5868" s="12" t="inlineStr">
        <is>
          <t>LNG 17: LNG e-house (13.8 kV / 480 V)</t>
        </is>
      </c>
      <c r="G5868" s="12" t="inlineStr"/>
      <c r="H5868" s="12" t="inlineStr">
        <is>
          <t>LNG 13: send-out pumps 2 x 100%</t>
        </is>
      </c>
      <c r="I5868" s="12" t="inlineStr">
        <is>
          <t>Control</t>
        </is>
      </c>
      <c r="J5868" s="12" t="inlineStr">
        <is>
          <t>ARMOR-X MC-HL 600 V control, Cu #14 AWG (Class I Div 2)</t>
        </is>
      </c>
      <c r="K5868" s="12" t="inlineStr">
        <is>
          <t>CTAX|7/C|14</t>
        </is>
      </c>
      <c r="L5868" s="12" t="inlineStr">
        <is>
          <t>7/C</t>
        </is>
      </c>
      <c r="M5868" s="12" t="inlineStr">
        <is>
          <t>14</t>
        </is>
      </c>
      <c r="N5868" s="12" t="n">
        <v>1</v>
      </c>
      <c r="O5868" s="12" t="n">
        <v>1</v>
      </c>
      <c r="P5868" s="12" t="n"/>
      <c r="Q5868" s="12" t="n"/>
      <c r="R5868" s="12" t="n"/>
      <c r="S5868" s="12" t="inlineStr">
        <is>
          <t>Duct bank</t>
        </is>
      </c>
      <c r="T5868" s="17" t="n">
        <v>110</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K-C-0097</t>
        </is>
      </c>
      <c r="B5869" s="12" t="inlineStr">
        <is>
          <t>K</t>
        </is>
      </c>
      <c r="C5869" s="12" t="inlineStr">
        <is>
          <t>Fuel supply (adjacent market)</t>
        </is>
      </c>
      <c r="D5869" s="12" t="inlineStr">
        <is>
          <t>Solenoid to JB JB-LNG 13: send-out p-SOL01: 2 x 2/C (field cables)</t>
        </is>
      </c>
      <c r="E5869" s="12" t="inlineStr"/>
      <c r="F5869" s="12" t="inlineStr">
        <is>
          <t>LNG 13: send-out pumps 2 x 100%</t>
        </is>
      </c>
      <c r="G5869" s="12" t="inlineStr">
        <is>
          <t>JB-LNG 13: send-out p-SOL01</t>
        </is>
      </c>
      <c r="H5869" s="12" t="inlineStr">
        <is>
          <t>LNG 13: send-out pumps 2 x 100%</t>
        </is>
      </c>
      <c r="I5869" s="12" t="inlineStr">
        <is>
          <t>Control</t>
        </is>
      </c>
      <c r="J5869" s="12" t="inlineStr">
        <is>
          <t>ARMOR-X MC-HL 600 V control, Cu #14 AWG (Class I Div 2)</t>
        </is>
      </c>
      <c r="K5869" s="12" t="inlineStr">
        <is>
          <t>CTAX|2/C|14</t>
        </is>
      </c>
      <c r="L5869" s="12" t="inlineStr">
        <is>
          <t>2/C</t>
        </is>
      </c>
      <c r="M5869" s="12" t="inlineStr">
        <is>
          <t>14</t>
        </is>
      </c>
      <c r="N5869" s="12" t="n">
        <v>2</v>
      </c>
      <c r="O5869" s="12" t="n">
        <v>1</v>
      </c>
      <c r="P5869" s="12" t="n"/>
      <c r="Q5869" s="12" t="n"/>
      <c r="R5869" s="12" t="n"/>
      <c r="S5869" s="12" t="inlineStr">
        <is>
          <t>Tray / conduit</t>
        </is>
      </c>
      <c r="T5869" s="17" t="n">
        <v>63</v>
      </c>
      <c r="U5869" s="17" t="n">
        <v>10</v>
      </c>
      <c r="V5869" s="17">
        <f>ROUNDUP((T5869+U5869+2*'Read Me'!$B$13)*(1+'Read Me'!$B$12),-1)</f>
        <v/>
      </c>
      <c r="W5869" s="17">
        <f>V5869*N5869*O5869</f>
        <v/>
      </c>
      <c r="X5869" s="12">
        <f>IF(LEFT(I5869,2)="MV",2*N5869*IF(L5869="1/C",O5869,1),0)</f>
        <v/>
      </c>
      <c r="Y5869" s="12">
        <f>IF(OR(LEFT(K5869,4)="LVAX",LEFT(K5869,6)="MV15AX",LEFT(K5869,4)="CTAX",LEFT(K5869,2)="W|"),2*N5869*O5869,0)</f>
        <v/>
      </c>
      <c r="Z5869" s="12" t="inlineStr">
        <is>
          <t>device-to-JB field wiring, one cable per device</t>
        </is>
      </c>
      <c r="AA5869" s="12">
        <f>N5869*O5869</f>
        <v/>
      </c>
    </row>
    <row r="5870">
      <c r="A5870" s="12" t="inlineStr">
        <is>
          <t>K-C-0098</t>
        </is>
      </c>
      <c r="B5870" s="12" t="inlineStr">
        <is>
          <t>K</t>
        </is>
      </c>
      <c r="C5870" s="12" t="inlineStr">
        <is>
          <t>Fuel supply (adjacent market)</t>
        </is>
      </c>
      <c r="D5870" s="12" t="inlineStr">
        <is>
          <t>Home run JB-LNG 13: send-out p-SOL01 to the control / marshalling room</t>
        </is>
      </c>
      <c r="E5870" s="12" t="inlineStr"/>
      <c r="F5870" s="12" t="inlineStr">
        <is>
          <t>LNG 17: LNG e-house (13.8 kV / 480 V)</t>
        </is>
      </c>
      <c r="G5870" s="12" t="inlineStr">
        <is>
          <t>JB-LNG 13: send-out p-SOL01</t>
        </is>
      </c>
      <c r="H5870" s="12" t="inlineStr">
        <is>
          <t>LNG 13: send-out pumps 2 x 100%</t>
        </is>
      </c>
      <c r="I5870" s="12" t="inlineStr">
        <is>
          <t>Control</t>
        </is>
      </c>
      <c r="J5870" s="12" t="inlineStr">
        <is>
          <t>ARMOR-X MC-HL 600 V control, Cu #14 AWG (Class I Div 2)</t>
        </is>
      </c>
      <c r="K5870" s="12" t="inlineStr">
        <is>
          <t>CTAX|25/C|14</t>
        </is>
      </c>
      <c r="L5870" s="12" t="inlineStr">
        <is>
          <t>25/C</t>
        </is>
      </c>
      <c r="M5870" s="12" t="inlineStr">
        <is>
          <t>14</t>
        </is>
      </c>
      <c r="N5870" s="12" t="n">
        <v>1</v>
      </c>
      <c r="O5870" s="12" t="n">
        <v>1</v>
      </c>
      <c r="P5870" s="12" t="n"/>
      <c r="Q5870" s="12" t="n"/>
      <c r="R5870" s="12" t="n"/>
      <c r="S5870" s="12" t="inlineStr">
        <is>
          <t>Duct bank</t>
        </is>
      </c>
      <c r="T5870" s="17" t="n">
        <v>110</v>
      </c>
      <c r="U5870" s="17" t="n">
        <v>32</v>
      </c>
      <c r="V5870" s="17">
        <f>ROUNDUP((T5870+U5870+2*'Read Me'!$B$13)*(1+'Read Me'!$B$12),-1)</f>
        <v/>
      </c>
      <c r="W5870" s="17">
        <f>V5870*N5870*O5870</f>
        <v/>
      </c>
      <c r="X5870" s="12">
        <f>IF(LEFT(I5870,2)="MV",2*N5870*IF(L5870="1/C",O5870,1),0)</f>
        <v/>
      </c>
      <c r="Y5870" s="12">
        <f>IF(OR(LEFT(K5870,4)="LVAX",LEFT(K5870,6)="MV15AX",LEFT(K5870,4)="CTAX",LEFT(K5870,2)="W|"),2*N5870*O5870,0)</f>
        <v/>
      </c>
      <c r="Z5870" s="12" t="inlineStr"/>
      <c r="AA5870" s="12">
        <f>N5870*O5870</f>
        <v/>
      </c>
    </row>
    <row r="5871">
      <c r="A5871" s="12" t="inlineStr">
        <is>
          <t>K-C-0099</t>
        </is>
      </c>
      <c r="B5871" s="12" t="inlineStr">
        <is>
          <t>K</t>
        </is>
      </c>
      <c r="C5871" s="12" t="inlineStr">
        <is>
          <t>Fuel supply (adjacent market)</t>
        </is>
      </c>
      <c r="D5871" s="12" t="inlineStr">
        <is>
          <t>Motor 1 of 1: control / local station</t>
        </is>
      </c>
      <c r="E5871" s="12" t="inlineStr"/>
      <c r="F5871" s="12" t="inlineStr">
        <is>
          <t>LNG 17: LNG e-house (13.8 kV / 480 V)</t>
        </is>
      </c>
      <c r="G5871" s="12" t="inlineStr"/>
      <c r="H5871" s="12" t="inlineStr">
        <is>
          <t>LNG 14: vaporizers + glycol heater</t>
        </is>
      </c>
      <c r="I5871" s="12" t="inlineStr">
        <is>
          <t>Control</t>
        </is>
      </c>
      <c r="J5871" s="12" t="inlineStr">
        <is>
          <t>ARMOR-X MC-HL 600 V control, Cu #14 AWG (Class I Div 2)</t>
        </is>
      </c>
      <c r="K5871" s="12" t="inlineStr">
        <is>
          <t>CTAX|7/C|14</t>
        </is>
      </c>
      <c r="L5871" s="12" t="inlineStr">
        <is>
          <t>7/C</t>
        </is>
      </c>
      <c r="M5871" s="12" t="inlineStr">
        <is>
          <t>14</t>
        </is>
      </c>
      <c r="N5871" s="12" t="n">
        <v>1</v>
      </c>
      <c r="O5871" s="12" t="n">
        <v>1</v>
      </c>
      <c r="P5871" s="12" t="n"/>
      <c r="Q5871" s="12" t="n"/>
      <c r="R5871" s="12" t="n"/>
      <c r="S5871" s="12" t="inlineStr">
        <is>
          <t>Duct bank</t>
        </is>
      </c>
      <c r="T5871" s="17" t="n">
        <v>259</v>
      </c>
      <c r="U5871" s="17" t="n">
        <v>32</v>
      </c>
      <c r="V5871" s="17">
        <f>ROUNDUP((T5871+U5871+2*'Read Me'!$B$13)*(1+'Read Me'!$B$12),-1)</f>
        <v/>
      </c>
      <c r="W5871" s="17">
        <f>V5871*N5871*O5871</f>
        <v/>
      </c>
      <c r="X5871" s="12">
        <f>IF(LEFT(I5871,2)="MV",2*N5871*IF(L5871="1/C",O5871,1),0)</f>
        <v/>
      </c>
      <c r="Y5871" s="12">
        <f>IF(OR(LEFT(K5871,4)="LVAX",LEFT(K5871,6)="MV15AX",LEFT(K5871,4)="CTAX",LEFT(K5871,2)="W|"),2*N5871*O5871,0)</f>
        <v/>
      </c>
      <c r="Z5871" s="12" t="inlineStr"/>
      <c r="AA5871" s="12">
        <f>N5871*O5871</f>
        <v/>
      </c>
    </row>
    <row r="5872">
      <c r="A5872" s="12" t="inlineStr">
        <is>
          <t>K-C-0100</t>
        </is>
      </c>
      <c r="B5872" s="12" t="inlineStr">
        <is>
          <t>K</t>
        </is>
      </c>
      <c r="C5872" s="12" t="inlineStr">
        <is>
          <t>Fuel supply (adjacent market)</t>
        </is>
      </c>
      <c r="D5872" s="12" t="inlineStr">
        <is>
          <t>Solenoid to JB JB-LNG 14: vaporizers-SOL01: 2 x 2/C (field cables)</t>
        </is>
      </c>
      <c r="E5872" s="12" t="inlineStr"/>
      <c r="F5872" s="12" t="inlineStr">
        <is>
          <t>LNG 14: vaporizers + glycol heater</t>
        </is>
      </c>
      <c r="G5872" s="12" t="inlineStr">
        <is>
          <t>JB-LNG 14: vaporizers-SOL01</t>
        </is>
      </c>
      <c r="H5872" s="12" t="inlineStr">
        <is>
          <t>LNG 14: vaporizers + glycol heater</t>
        </is>
      </c>
      <c r="I5872" s="12" t="inlineStr">
        <is>
          <t>Control</t>
        </is>
      </c>
      <c r="J5872" s="12" t="inlineStr">
        <is>
          <t>ARMOR-X MC-HL 600 V control, Cu #14 AWG (Class I Div 2)</t>
        </is>
      </c>
      <c r="K5872" s="12" t="inlineStr">
        <is>
          <t>CTAX|2/C|14</t>
        </is>
      </c>
      <c r="L5872" s="12" t="inlineStr">
        <is>
          <t>2/C</t>
        </is>
      </c>
      <c r="M5872" s="12" t="inlineStr">
        <is>
          <t>14</t>
        </is>
      </c>
      <c r="N5872" s="12" t="n">
        <v>2</v>
      </c>
      <c r="O5872" s="12" t="n">
        <v>1</v>
      </c>
      <c r="P5872" s="12" t="n"/>
      <c r="Q5872" s="12" t="n"/>
      <c r="R5872" s="12" t="n"/>
      <c r="S5872" s="12" t="inlineStr">
        <is>
          <t>Tray / conduit</t>
        </is>
      </c>
      <c r="T5872" s="17" t="n">
        <v>122</v>
      </c>
      <c r="U5872" s="17" t="n">
        <v>10</v>
      </c>
      <c r="V5872" s="17">
        <f>ROUNDUP((T5872+U5872+2*'Read Me'!$B$13)*(1+'Read Me'!$B$12),-1)</f>
        <v/>
      </c>
      <c r="W5872" s="17">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K-C-0101</t>
        </is>
      </c>
      <c r="B5873" s="12" t="inlineStr">
        <is>
          <t>K</t>
        </is>
      </c>
      <c r="C5873" s="12" t="inlineStr">
        <is>
          <t>Fuel supply (adjacent market)</t>
        </is>
      </c>
      <c r="D5873" s="12" t="inlineStr">
        <is>
          <t>Home run JB-LNG 14: vaporizers-SOL01 to the control / marshalling room</t>
        </is>
      </c>
      <c r="E5873" s="12" t="inlineStr"/>
      <c r="F5873" s="12" t="inlineStr">
        <is>
          <t>LNG 17: LNG e-house (13.8 kV / 480 V)</t>
        </is>
      </c>
      <c r="G5873" s="12" t="inlineStr">
        <is>
          <t>JB-LNG 14: vaporizers-SOL01</t>
        </is>
      </c>
      <c r="H5873" s="12" t="inlineStr">
        <is>
          <t>LNG 14: vaporizers + glycol heater</t>
        </is>
      </c>
      <c r="I5873" s="12" t="inlineStr">
        <is>
          <t>Control</t>
        </is>
      </c>
      <c r="J5873" s="12" t="inlineStr">
        <is>
          <t>ARMOR-X MC-HL 600 V control, Cu #14 AWG (Class I Div 2)</t>
        </is>
      </c>
      <c r="K5873" s="12" t="inlineStr">
        <is>
          <t>CTAX|25/C|14</t>
        </is>
      </c>
      <c r="L5873" s="12" t="inlineStr">
        <is>
          <t>25/C</t>
        </is>
      </c>
      <c r="M5873" s="12" t="inlineStr">
        <is>
          <t>14</t>
        </is>
      </c>
      <c r="N5873" s="12" t="n">
        <v>1</v>
      </c>
      <c r="O5873" s="12" t="n">
        <v>1</v>
      </c>
      <c r="P5873" s="12" t="n"/>
      <c r="Q5873" s="12" t="n"/>
      <c r="R5873" s="12" t="n"/>
      <c r="S5873" s="12" t="inlineStr">
        <is>
          <t>Duct bank</t>
        </is>
      </c>
      <c r="T5873" s="17" t="n">
        <v>259</v>
      </c>
      <c r="U5873" s="17" t="n">
        <v>32</v>
      </c>
      <c r="V5873" s="17">
        <f>ROUNDUP((T5873+U5873+2*'Read Me'!$B$13)*(1+'Read Me'!$B$12),-1)</f>
        <v/>
      </c>
      <c r="W5873" s="17">
        <f>V5873*N5873*O5873</f>
        <v/>
      </c>
      <c r="X5873" s="12">
        <f>IF(LEFT(I5873,2)="MV",2*N5873*IF(L5873="1/C",O5873,1),0)</f>
        <v/>
      </c>
      <c r="Y5873" s="12">
        <f>IF(OR(LEFT(K5873,4)="LVAX",LEFT(K5873,6)="MV15AX",LEFT(K5873,4)="CTAX",LEFT(K5873,2)="W|"),2*N5873*O5873,0)</f>
        <v/>
      </c>
      <c r="Z5873" s="12" t="inlineStr"/>
      <c r="AA5873" s="12">
        <f>N5873*O5873</f>
        <v/>
      </c>
    </row>
    <row r="5874">
      <c r="A5874" s="12" t="inlineStr">
        <is>
          <t>K-C-0102</t>
        </is>
      </c>
      <c r="B5874" s="12" t="inlineStr">
        <is>
          <t>K</t>
        </is>
      </c>
      <c r="C5874" s="12" t="inlineStr">
        <is>
          <t>Fuel supply (adjacent market)</t>
        </is>
      </c>
      <c r="D5874" s="12" t="inlineStr">
        <is>
          <t>Motor 1 of 1: control / local station</t>
        </is>
      </c>
      <c r="E5874" s="12" t="inlineStr"/>
      <c r="F5874" s="12" t="inlineStr">
        <is>
          <t>LNG 17: LNG e-house (13.8 kV / 480 V)</t>
        </is>
      </c>
      <c r="G5874" s="12" t="inlineStr"/>
      <c r="H5874" s="12" t="inlineStr">
        <is>
          <t>LNG 15: boil-off gas compressor</t>
        </is>
      </c>
      <c r="I5874" s="12" t="inlineStr">
        <is>
          <t>Control</t>
        </is>
      </c>
      <c r="J5874" s="12" t="inlineStr">
        <is>
          <t>ARMOR-X MC-HL 600 V control, Cu #14 AWG (Class I Div 2)</t>
        </is>
      </c>
      <c r="K5874" s="12" t="inlineStr">
        <is>
          <t>CTAX|7/C|14</t>
        </is>
      </c>
      <c r="L5874" s="12" t="inlineStr">
        <is>
          <t>7/C</t>
        </is>
      </c>
      <c r="M5874" s="12" t="inlineStr">
        <is>
          <t>14</t>
        </is>
      </c>
      <c r="N5874" s="12" t="n">
        <v>1</v>
      </c>
      <c r="O5874" s="12" t="n">
        <v>1</v>
      </c>
      <c r="P5874" s="12" t="n"/>
      <c r="Q5874" s="12" t="n"/>
      <c r="R5874" s="12" t="n"/>
      <c r="S5874" s="12" t="inlineStr">
        <is>
          <t>Duct bank</t>
        </is>
      </c>
      <c r="T5874" s="17" t="n">
        <v>25</v>
      </c>
      <c r="U5874" s="17" t="n">
        <v>54</v>
      </c>
      <c r="V5874" s="17">
        <f>ROUNDUP((T5874+U5874+2*'Read Me'!$B$13)*(1+'Read Me'!$B$12),-1)</f>
        <v/>
      </c>
      <c r="W5874" s="17">
        <f>V5874*N5874*O5874</f>
        <v/>
      </c>
      <c r="X5874" s="12">
        <f>IF(LEFT(I5874,2)="MV",2*N5874*IF(L5874="1/C",O5874,1),0)</f>
        <v/>
      </c>
      <c r="Y5874" s="12">
        <f>IF(OR(LEFT(K5874,4)="LVAX",LEFT(K5874,6)="MV15AX",LEFT(K5874,4)="CTAX",LEFT(K5874,2)="W|"),2*N5874*O5874,0)</f>
        <v/>
      </c>
      <c r="Z5874" s="12" t="inlineStr"/>
      <c r="AA5874" s="12">
        <f>N5874*O5874</f>
        <v/>
      </c>
    </row>
    <row r="5875">
      <c r="A5875" s="12" t="inlineStr">
        <is>
          <t>K-C-0103</t>
        </is>
      </c>
      <c r="B5875" s="12" t="inlineStr">
        <is>
          <t>K</t>
        </is>
      </c>
      <c r="C5875" s="12" t="inlineStr">
        <is>
          <t>Fuel supply (adjacent market)</t>
        </is>
      </c>
      <c r="D5875" s="12" t="inlineStr">
        <is>
          <t>Solenoid to JB JB-LNG 15: boil-off g-SOL01: 2 x 2/C (field cables)</t>
        </is>
      </c>
      <c r="E5875" s="12" t="inlineStr"/>
      <c r="F5875" s="12" t="inlineStr">
        <is>
          <t>LNG 15: boil-off gas compressor</t>
        </is>
      </c>
      <c r="G5875" s="12" t="inlineStr">
        <is>
          <t>JB-LNG 15: boil-off g-SOL01</t>
        </is>
      </c>
      <c r="H5875" s="12" t="inlineStr">
        <is>
          <t>LNG 15: boil-off gas compressor</t>
        </is>
      </c>
      <c r="I5875" s="12" t="inlineStr">
        <is>
          <t>Control</t>
        </is>
      </c>
      <c r="J5875" s="12" t="inlineStr">
        <is>
          <t>ARMOR-X MC-HL 600 V control, Cu #14 AWG (Class I Div 2)</t>
        </is>
      </c>
      <c r="K5875" s="12" t="inlineStr">
        <is>
          <t>CTAX|2/C|14</t>
        </is>
      </c>
      <c r="L5875" s="12" t="inlineStr">
        <is>
          <t>2/C</t>
        </is>
      </c>
      <c r="M5875" s="12" t="inlineStr">
        <is>
          <t>14</t>
        </is>
      </c>
      <c r="N5875" s="12" t="n">
        <v>2</v>
      </c>
      <c r="O5875" s="12" t="n">
        <v>1</v>
      </c>
      <c r="P5875" s="12" t="n"/>
      <c r="Q5875" s="12" t="n"/>
      <c r="R5875" s="12" t="n"/>
      <c r="S5875" s="12" t="inlineStr">
        <is>
          <t>Tray / conduit</t>
        </is>
      </c>
      <c r="T5875" s="17" t="n">
        <v>67</v>
      </c>
      <c r="U5875" s="17" t="n">
        <v>10</v>
      </c>
      <c r="V5875" s="17">
        <f>ROUNDUP((T5875+U5875+2*'Read Me'!$B$13)*(1+'Read Me'!$B$12),-1)</f>
        <v/>
      </c>
      <c r="W5875" s="17">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K-C-0104</t>
        </is>
      </c>
      <c r="B5876" s="12" t="inlineStr">
        <is>
          <t>K</t>
        </is>
      </c>
      <c r="C5876" s="12" t="inlineStr">
        <is>
          <t>Fuel supply (adjacent market)</t>
        </is>
      </c>
      <c r="D5876" s="12" t="inlineStr">
        <is>
          <t>Home run JB-LNG 15: boil-off g-SOL01 to the control / marshalling room</t>
        </is>
      </c>
      <c r="E5876" s="12" t="inlineStr"/>
      <c r="F5876" s="12" t="inlineStr">
        <is>
          <t>LNG 17: LNG e-house (13.8 kV / 480 V)</t>
        </is>
      </c>
      <c r="G5876" s="12" t="inlineStr">
        <is>
          <t>JB-LNG 15: boil-off g-SOL01</t>
        </is>
      </c>
      <c r="H5876" s="12" t="inlineStr">
        <is>
          <t>LNG 15: boil-off gas compressor</t>
        </is>
      </c>
      <c r="I5876" s="12" t="inlineStr">
        <is>
          <t>Control</t>
        </is>
      </c>
      <c r="J5876" s="12" t="inlineStr">
        <is>
          <t>ARMOR-X MC-HL 600 V control, Cu #14 AWG (Class I Div 2)</t>
        </is>
      </c>
      <c r="K5876" s="12" t="inlineStr">
        <is>
          <t>CTAX|25/C|14</t>
        </is>
      </c>
      <c r="L5876" s="12" t="inlineStr">
        <is>
          <t>25/C</t>
        </is>
      </c>
      <c r="M5876" s="12" t="inlineStr">
        <is>
          <t>14</t>
        </is>
      </c>
      <c r="N5876" s="12" t="n">
        <v>1</v>
      </c>
      <c r="O5876" s="12" t="n">
        <v>1</v>
      </c>
      <c r="P5876" s="12" t="n"/>
      <c r="Q5876" s="12" t="n"/>
      <c r="R5876" s="12" t="n"/>
      <c r="S5876" s="12" t="inlineStr">
        <is>
          <t>Duct bank</t>
        </is>
      </c>
      <c r="T5876" s="17" t="n">
        <v>25</v>
      </c>
      <c r="U5876" s="17" t="n">
        <v>54</v>
      </c>
      <c r="V5876" s="17">
        <f>ROUNDUP((T5876+U5876+2*'Read Me'!$B$13)*(1+'Read Me'!$B$12),-1)</f>
        <v/>
      </c>
      <c r="W5876" s="17">
        <f>V5876*N5876*O5876</f>
        <v/>
      </c>
      <c r="X5876" s="12">
        <f>IF(LEFT(I5876,2)="MV",2*N5876*IF(L5876="1/C",O5876,1),0)</f>
        <v/>
      </c>
      <c r="Y5876" s="12">
        <f>IF(OR(LEFT(K5876,4)="LVAX",LEFT(K5876,6)="MV15AX",LEFT(K5876,4)="CTAX",LEFT(K5876,2)="W|"),2*N5876*O5876,0)</f>
        <v/>
      </c>
      <c r="Z5876" s="12" t="inlineStr"/>
      <c r="AA5876" s="12">
        <f>N5876*O5876</f>
        <v/>
      </c>
    </row>
    <row r="5877">
      <c r="A5877" s="12" t="inlineStr">
        <is>
          <t>K-C-0105</t>
        </is>
      </c>
      <c r="B5877" s="12" t="inlineStr">
        <is>
          <t>K</t>
        </is>
      </c>
      <c r="C5877" s="12" t="inlineStr">
        <is>
          <t>Fuel supply (adjacent market)</t>
        </is>
      </c>
      <c r="D5877" s="12" t="inlineStr">
        <is>
          <t>Motor 1 of 1: control / local station</t>
        </is>
      </c>
      <c r="E5877" s="12" t="inlineStr"/>
      <c r="F5877" s="12" t="inlineStr">
        <is>
          <t>LNG 17: LNG e-house (13.8 kV / 480 V)</t>
        </is>
      </c>
      <c r="G5877" s="12" t="inlineStr"/>
      <c r="H5877" s="12" t="inlineStr">
        <is>
          <t>LNG 16: send-out metering + pressure control</t>
        </is>
      </c>
      <c r="I5877" s="12" t="inlineStr">
        <is>
          <t>Control</t>
        </is>
      </c>
      <c r="J5877" s="12" t="inlineStr">
        <is>
          <t>ARMOR-X MC-HL 600 V control, Cu #14 AWG (Class I Div 2)</t>
        </is>
      </c>
      <c r="K5877" s="12" t="inlineStr">
        <is>
          <t>CTAX|7/C|14</t>
        </is>
      </c>
      <c r="L5877" s="12" t="inlineStr">
        <is>
          <t>7/C</t>
        </is>
      </c>
      <c r="M5877" s="12" t="inlineStr">
        <is>
          <t>14</t>
        </is>
      </c>
      <c r="N5877" s="12" t="n">
        <v>1</v>
      </c>
      <c r="O5877" s="12" t="n">
        <v>1</v>
      </c>
      <c r="P5877" s="12" t="n"/>
      <c r="Q5877" s="12" t="n"/>
      <c r="R5877" s="12" t="n"/>
      <c r="S5877" s="12" t="inlineStr">
        <is>
          <t>Duct bank</t>
        </is>
      </c>
      <c r="T5877" s="17" t="n">
        <v>20</v>
      </c>
      <c r="U5877" s="17" t="n">
        <v>32</v>
      </c>
      <c r="V5877" s="17">
        <f>ROUNDUP((T5877+U5877+2*'Read Me'!$B$13)*(1+'Read Me'!$B$12),-1)</f>
        <v/>
      </c>
      <c r="W5877" s="17">
        <f>V5877*N5877*O5877</f>
        <v/>
      </c>
      <c r="X5877" s="12">
        <f>IF(LEFT(I5877,2)="MV",2*N5877*IF(L5877="1/C",O5877,1),0)</f>
        <v/>
      </c>
      <c r="Y5877" s="12">
        <f>IF(OR(LEFT(K5877,4)="LVAX",LEFT(K5877,6)="MV15AX",LEFT(K5877,4)="CTAX",LEFT(K5877,2)="W|"),2*N5877*O5877,0)</f>
        <v/>
      </c>
      <c r="Z5877" s="12" t="inlineStr"/>
      <c r="AA5877" s="12">
        <f>N5877*O5877</f>
        <v/>
      </c>
    </row>
    <row r="5878">
      <c r="A5878" s="12" t="inlineStr">
        <is>
          <t>K-C-0106</t>
        </is>
      </c>
      <c r="B5878" s="12" t="inlineStr">
        <is>
          <t>K</t>
        </is>
      </c>
      <c r="C5878" s="12" t="inlineStr">
        <is>
          <t>Fuel supply (adjacent market)</t>
        </is>
      </c>
      <c r="D5878" s="12" t="inlineStr">
        <is>
          <t>Solenoid to JB JB-LNG 16: send-out m-SOL01: 2 x 2/C (field cables)</t>
        </is>
      </c>
      <c r="E5878" s="12" t="inlineStr"/>
      <c r="F5878" s="12" t="inlineStr">
        <is>
          <t>LNG 16: send-out metering + pressure control</t>
        </is>
      </c>
      <c r="G5878" s="12" t="inlineStr">
        <is>
          <t>JB-LNG 16: send-out m-SOL01</t>
        </is>
      </c>
      <c r="H5878" s="12" t="inlineStr">
        <is>
          <t>LNG 16: send-out metering + pressure control</t>
        </is>
      </c>
      <c r="I5878" s="12" t="inlineStr">
        <is>
          <t>Control</t>
        </is>
      </c>
      <c r="J5878" s="12" t="inlineStr">
        <is>
          <t>ARMOR-X MC-HL 600 V control, Cu #14 AWG (Class I Div 2)</t>
        </is>
      </c>
      <c r="K5878" s="12" t="inlineStr">
        <is>
          <t>CTAX|2/C|14</t>
        </is>
      </c>
      <c r="L5878" s="12" t="inlineStr">
        <is>
          <t>2/C</t>
        </is>
      </c>
      <c r="M5878" s="12" t="inlineStr">
        <is>
          <t>14</t>
        </is>
      </c>
      <c r="N5878" s="12" t="n">
        <v>2</v>
      </c>
      <c r="O5878" s="12" t="n">
        <v>1</v>
      </c>
      <c r="P5878" s="12" t="n"/>
      <c r="Q5878" s="12" t="n"/>
      <c r="R5878" s="12" t="n"/>
      <c r="S5878" s="12" t="inlineStr">
        <is>
          <t>Tray / conduit</t>
        </is>
      </c>
      <c r="T5878" s="17" t="n">
        <v>74</v>
      </c>
      <c r="U5878" s="17" t="n">
        <v>10</v>
      </c>
      <c r="V5878" s="17">
        <f>ROUNDUP((T5878+U5878+2*'Read Me'!$B$13)*(1+'Read Me'!$B$12),-1)</f>
        <v/>
      </c>
      <c r="W5878" s="17">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K-C-0107</t>
        </is>
      </c>
      <c r="B5879" s="12" t="inlineStr">
        <is>
          <t>K</t>
        </is>
      </c>
      <c r="C5879" s="12" t="inlineStr">
        <is>
          <t>Fuel supply (adjacent market)</t>
        </is>
      </c>
      <c r="D5879" s="12" t="inlineStr">
        <is>
          <t>Home run JB-LNG 16: send-out m-SOL01 to the control / marshalling room</t>
        </is>
      </c>
      <c r="E5879" s="12" t="inlineStr"/>
      <c r="F5879" s="12" t="inlineStr">
        <is>
          <t>LNG 17: LNG e-house (13.8 kV / 480 V)</t>
        </is>
      </c>
      <c r="G5879" s="12" t="inlineStr">
        <is>
          <t>JB-LNG 16: send-out m-SOL01</t>
        </is>
      </c>
      <c r="H5879" s="12" t="inlineStr">
        <is>
          <t>LNG 16: send-out metering + pressure control</t>
        </is>
      </c>
      <c r="I5879" s="12" t="inlineStr">
        <is>
          <t>Control</t>
        </is>
      </c>
      <c r="J5879" s="12" t="inlineStr">
        <is>
          <t>ARMOR-X MC-HL 600 V control, Cu #14 AWG (Class I Div 2)</t>
        </is>
      </c>
      <c r="K5879" s="12" t="inlineStr">
        <is>
          <t>CTAX|25/C|14</t>
        </is>
      </c>
      <c r="L5879" s="12" t="inlineStr">
        <is>
          <t>25/C</t>
        </is>
      </c>
      <c r="M5879" s="12" t="inlineStr">
        <is>
          <t>14</t>
        </is>
      </c>
      <c r="N5879" s="12" t="n">
        <v>1</v>
      </c>
      <c r="O5879" s="12" t="n">
        <v>1</v>
      </c>
      <c r="P5879" s="12" t="n"/>
      <c r="Q5879" s="12" t="n"/>
      <c r="R5879" s="12" t="n"/>
      <c r="S5879" s="12" t="inlineStr">
        <is>
          <t>Duct bank</t>
        </is>
      </c>
      <c r="T5879" s="17" t="n">
        <v>20</v>
      </c>
      <c r="U5879" s="17" t="n">
        <v>32</v>
      </c>
      <c r="V5879" s="17">
        <f>ROUNDUP((T5879+U5879+2*'Read Me'!$B$13)*(1+'Read Me'!$B$12),-1)</f>
        <v/>
      </c>
      <c r="W5879" s="17">
        <f>V5879*N5879*O5879</f>
        <v/>
      </c>
      <c r="X5879" s="12">
        <f>IF(LEFT(I5879,2)="MV",2*N5879*IF(L5879="1/C",O5879,1),0)</f>
        <v/>
      </c>
      <c r="Y5879" s="12">
        <f>IF(OR(LEFT(K5879,4)="LVAX",LEFT(K5879,6)="MV15AX",LEFT(K5879,4)="CTAX",LEFT(K5879,2)="W|"),2*N5879*O5879,0)</f>
        <v/>
      </c>
      <c r="Z5879" s="12" t="inlineStr"/>
      <c r="AA5879" s="12">
        <f>N5879*O5879</f>
        <v/>
      </c>
    </row>
    <row r="5880">
      <c r="A5880" s="12" t="inlineStr">
        <is>
          <t>K-C-0108</t>
        </is>
      </c>
      <c r="B5880" s="12" t="inlineStr">
        <is>
          <t>K</t>
        </is>
      </c>
      <c r="C5880" s="12" t="inlineStr">
        <is>
          <t>Fuel supply (adjacent market)</t>
        </is>
      </c>
      <c r="D5880" s="12" t="inlineStr">
        <is>
          <t>Motor 1 of 1: control / local station</t>
        </is>
      </c>
      <c r="E5880" s="12" t="inlineStr"/>
      <c r="F5880" s="12" t="inlineStr">
        <is>
          <t>LNG 17: LNG e-house (13.8 kV / 480 V)</t>
        </is>
      </c>
      <c r="G5880" s="12" t="inlineStr"/>
      <c r="H5880" s="12" t="inlineStr">
        <is>
          <t>LNG 17: LNG e-house (13.8 kV / 480 V)</t>
        </is>
      </c>
      <c r="I5880" s="12" t="inlineStr">
        <is>
          <t>Control</t>
        </is>
      </c>
      <c r="J5880" s="12" t="inlineStr">
        <is>
          <t>ARMOR-X MC-HL 600 V control, Cu #14 AWG (Class I Div 2)</t>
        </is>
      </c>
      <c r="K5880" s="12" t="inlineStr">
        <is>
          <t>CTAX|7/C|14</t>
        </is>
      </c>
      <c r="L5880" s="12" t="inlineStr">
        <is>
          <t>7/C</t>
        </is>
      </c>
      <c r="M5880" s="12" t="inlineStr">
        <is>
          <t>14</t>
        </is>
      </c>
      <c r="N5880" s="12" t="n">
        <v>1</v>
      </c>
      <c r="O5880" s="12" t="n">
        <v>1</v>
      </c>
      <c r="P5880" s="12" t="n"/>
      <c r="Q5880" s="12" t="n"/>
      <c r="R5880" s="12" t="n"/>
      <c r="S5880" s="12" t="inlineStr">
        <is>
          <t>Tray</t>
        </is>
      </c>
      <c r="T5880" s="17" t="n">
        <v>0</v>
      </c>
      <c r="U5880" s="17" t="n">
        <v>32</v>
      </c>
      <c r="V5880" s="17">
        <f>ROUNDUP((T5880+U5880+2*'Read Me'!$B$13)*(1+'Read Me'!$B$12),-1)</f>
        <v/>
      </c>
      <c r="W5880" s="17">
        <f>V5880*N5880*O5880</f>
        <v/>
      </c>
      <c r="X5880" s="12">
        <f>IF(LEFT(I5880,2)="MV",2*N5880*IF(L5880="1/C",O5880,1),0)</f>
        <v/>
      </c>
      <c r="Y5880" s="12">
        <f>IF(OR(LEFT(K5880,4)="LVAX",LEFT(K5880,6)="MV15AX",LEFT(K5880,4)="CTAX",LEFT(K5880,2)="W|"),2*N5880*O5880,0)</f>
        <v/>
      </c>
      <c r="Z5880" s="12" t="inlineStr"/>
      <c r="AA5880" s="12">
        <f>N5880*O5880</f>
        <v/>
      </c>
    </row>
    <row r="5881">
      <c r="A5881" s="12" t="inlineStr">
        <is>
          <t>K-C-0109</t>
        </is>
      </c>
      <c r="B5881" s="12" t="inlineStr">
        <is>
          <t>K</t>
        </is>
      </c>
      <c r="C5881" s="12" t="inlineStr">
        <is>
          <t>Fuel supply (adjacent market)</t>
        </is>
      </c>
      <c r="D5881" s="12" t="inlineStr">
        <is>
          <t>Solenoid to JB JB-LNG 17: LNG e-hous-SOL01: 2 x 2/C (field cables)</t>
        </is>
      </c>
      <c r="E5881" s="12" t="inlineStr"/>
      <c r="F5881" s="12" t="inlineStr">
        <is>
          <t>LNG 17: LNG e-house (13.8 kV / 480 V)</t>
        </is>
      </c>
      <c r="G5881" s="12" t="inlineStr">
        <is>
          <t>JB-LNG 17: LNG e-hous-SOL01</t>
        </is>
      </c>
      <c r="H5881" s="12" t="inlineStr">
        <is>
          <t>LNG 17: LNG e-house (13.8 kV / 480 V)</t>
        </is>
      </c>
      <c r="I5881" s="12" t="inlineStr">
        <is>
          <t>Control</t>
        </is>
      </c>
      <c r="J5881" s="12" t="inlineStr">
        <is>
          <t>ARMOR-X MC-HL 600 V control, Cu #14 AWG (Class I Div 2)</t>
        </is>
      </c>
      <c r="K5881" s="12" t="inlineStr">
        <is>
          <t>CTAX|2/C|14</t>
        </is>
      </c>
      <c r="L5881" s="12" t="inlineStr">
        <is>
          <t>2/C</t>
        </is>
      </c>
      <c r="M5881" s="12" t="inlineStr">
        <is>
          <t>14</t>
        </is>
      </c>
      <c r="N5881" s="12" t="n">
        <v>2</v>
      </c>
      <c r="O5881" s="12" t="n">
        <v>1</v>
      </c>
      <c r="P5881" s="12" t="n"/>
      <c r="Q5881" s="12" t="n"/>
      <c r="R5881" s="12" t="n"/>
      <c r="S5881" s="12" t="inlineStr">
        <is>
          <t>Tray / conduit</t>
        </is>
      </c>
      <c r="T5881" s="17" t="n">
        <v>58</v>
      </c>
      <c r="U5881" s="17" t="n">
        <v>10</v>
      </c>
      <c r="V5881" s="17">
        <f>ROUNDUP((T5881+U5881+2*'Read Me'!$B$13)*(1+'Read Me'!$B$12),-1)</f>
        <v/>
      </c>
      <c r="W5881" s="17">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K-C-0110</t>
        </is>
      </c>
      <c r="B5882" s="12" t="inlineStr">
        <is>
          <t>K</t>
        </is>
      </c>
      <c r="C5882" s="12" t="inlineStr">
        <is>
          <t>Fuel supply (adjacent market)</t>
        </is>
      </c>
      <c r="D5882" s="12" t="inlineStr">
        <is>
          <t>Home run JB-LNG 17: LNG e-hous-SOL01 to the control / marshalling room</t>
        </is>
      </c>
      <c r="E5882" s="12" t="inlineStr"/>
      <c r="F5882" s="12" t="inlineStr">
        <is>
          <t>LNG 17: LNG e-house (13.8 kV / 480 V)</t>
        </is>
      </c>
      <c r="G5882" s="12" t="inlineStr">
        <is>
          <t>JB-LNG 17: LNG e-hous-SOL01</t>
        </is>
      </c>
      <c r="H5882" s="12" t="inlineStr">
        <is>
          <t>LNG 17: LNG e-house (13.8 kV / 480 V)</t>
        </is>
      </c>
      <c r="I5882" s="12" t="inlineStr">
        <is>
          <t>Control</t>
        </is>
      </c>
      <c r="J5882" s="12" t="inlineStr">
        <is>
          <t>ARMOR-X MC-HL 600 V control, Cu #14 AWG (Class I Div 2)</t>
        </is>
      </c>
      <c r="K5882" s="12" t="inlineStr">
        <is>
          <t>CTAX|25/C|14</t>
        </is>
      </c>
      <c r="L5882" s="12" t="inlineStr">
        <is>
          <t>25/C</t>
        </is>
      </c>
      <c r="M5882" s="12" t="inlineStr">
        <is>
          <t>14</t>
        </is>
      </c>
      <c r="N5882" s="12" t="n">
        <v>1</v>
      </c>
      <c r="O5882" s="12" t="n">
        <v>1</v>
      </c>
      <c r="P5882" s="12" t="n"/>
      <c r="Q5882" s="12" t="n"/>
      <c r="R5882" s="12" t="n"/>
      <c r="S5882" s="12" t="inlineStr">
        <is>
          <t>Tray</t>
        </is>
      </c>
      <c r="T5882" s="17" t="n">
        <v>0</v>
      </c>
      <c r="U5882" s="17" t="n">
        <v>32</v>
      </c>
      <c r="V5882" s="17">
        <f>ROUNDUP((T5882+U5882+2*'Read Me'!$B$13)*(1+'Read Me'!$B$12),-1)</f>
        <v/>
      </c>
      <c r="W5882" s="17">
        <f>V5882*N5882*O5882</f>
        <v/>
      </c>
      <c r="X5882" s="12">
        <f>IF(LEFT(I5882,2)="MV",2*N5882*IF(L5882="1/C",O5882,1),0)</f>
        <v/>
      </c>
      <c r="Y5882" s="12">
        <f>IF(OR(LEFT(K5882,4)="LVAX",LEFT(K5882,6)="MV15AX",LEFT(K5882,4)="CTAX",LEFT(K5882,2)="W|"),2*N5882*O5882,0)</f>
        <v/>
      </c>
      <c r="Z5882" s="12" t="inlineStr"/>
      <c r="AA5882" s="12">
        <f>N5882*O5882</f>
        <v/>
      </c>
    </row>
    <row r="5883">
      <c r="A5883" s="12" t="inlineStr">
        <is>
          <t>K-C-0111</t>
        </is>
      </c>
      <c r="B5883" s="12" t="inlineStr">
        <is>
          <t>K</t>
        </is>
      </c>
      <c r="C5883" s="12" t="inlineStr">
        <is>
          <t>Fuel supply (adjacent market)</t>
        </is>
      </c>
      <c r="D5883" s="12" t="inlineStr">
        <is>
          <t>Motor 1 of 1: control / local station</t>
        </is>
      </c>
      <c r="E5883" s="12" t="inlineStr"/>
      <c r="F5883" s="12" t="inlineStr">
        <is>
          <t>LNG 17: LNG e-house (13.8 kV / 480 V)</t>
        </is>
      </c>
      <c r="G5883" s="12" t="inlineStr"/>
      <c r="H5883" s="12" t="inlineStr">
        <is>
          <t>LNG 18: vent stack</t>
        </is>
      </c>
      <c r="I5883" s="12" t="inlineStr">
        <is>
          <t>Control</t>
        </is>
      </c>
      <c r="J5883" s="12" t="inlineStr">
        <is>
          <t>ARMOR-X MC-HL 600 V control, Cu #14 AWG (Class I Div 2)</t>
        </is>
      </c>
      <c r="K5883" s="12" t="inlineStr">
        <is>
          <t>CTAX|7/C|14</t>
        </is>
      </c>
      <c r="L5883" s="12" t="inlineStr">
        <is>
          <t>7/C</t>
        </is>
      </c>
      <c r="M5883" s="12" t="inlineStr">
        <is>
          <t>14</t>
        </is>
      </c>
      <c r="N5883" s="12" t="n">
        <v>1</v>
      </c>
      <c r="O5883" s="12" t="n">
        <v>1</v>
      </c>
      <c r="P5883" s="12" t="n"/>
      <c r="Q5883" s="12" t="n"/>
      <c r="R5883" s="12" t="n"/>
      <c r="S5883" s="12" t="inlineStr">
        <is>
          <t>Duct bank</t>
        </is>
      </c>
      <c r="T5883" s="17" t="n">
        <v>25</v>
      </c>
      <c r="U5883" s="17" t="n">
        <v>117</v>
      </c>
      <c r="V5883" s="17">
        <f>ROUNDUP((T5883+U5883+2*'Read Me'!$B$13)*(1+'Read Me'!$B$12),-1)</f>
        <v/>
      </c>
      <c r="W5883" s="17">
        <f>V5883*N5883*O5883</f>
        <v/>
      </c>
      <c r="X5883" s="12">
        <f>IF(LEFT(I5883,2)="MV",2*N5883*IF(L5883="1/C",O5883,1),0)</f>
        <v/>
      </c>
      <c r="Y5883" s="12">
        <f>IF(OR(LEFT(K5883,4)="LVAX",LEFT(K5883,6)="MV15AX",LEFT(K5883,4)="CTAX",LEFT(K5883,2)="W|"),2*N5883*O5883,0)</f>
        <v/>
      </c>
      <c r="Z5883" s="12" t="inlineStr"/>
      <c r="AA5883" s="12">
        <f>N5883*O5883</f>
        <v/>
      </c>
    </row>
    <row r="5884">
      <c r="A5884" s="12" t="inlineStr">
        <is>
          <t>K-C-0112</t>
        </is>
      </c>
      <c r="B5884" s="12" t="inlineStr">
        <is>
          <t>K</t>
        </is>
      </c>
      <c r="C5884" s="12" t="inlineStr">
        <is>
          <t>Fuel supply (adjacent market)</t>
        </is>
      </c>
      <c r="D5884" s="12" t="inlineStr">
        <is>
          <t>Solenoid to JB JB-LNG 18: vent stack-SOL01: 2 x 2/C (field cables)</t>
        </is>
      </c>
      <c r="E5884" s="12" t="inlineStr"/>
      <c r="F5884" s="12" t="inlineStr">
        <is>
          <t>LNG 18: vent stack</t>
        </is>
      </c>
      <c r="G5884" s="12" t="inlineStr">
        <is>
          <t>JB-LNG 18: vent stack-SOL01</t>
        </is>
      </c>
      <c r="H5884" s="12" t="inlineStr">
        <is>
          <t>LNG 18: vent stack</t>
        </is>
      </c>
      <c r="I5884" s="12" t="inlineStr">
        <is>
          <t>Control</t>
        </is>
      </c>
      <c r="J5884" s="12" t="inlineStr">
        <is>
          <t>ARMOR-X MC-HL 600 V control, Cu #14 AWG (Class I Div 2)</t>
        </is>
      </c>
      <c r="K5884" s="12" t="inlineStr">
        <is>
          <t>CTAX|2/C|14</t>
        </is>
      </c>
      <c r="L5884" s="12" t="inlineStr">
        <is>
          <t>2/C</t>
        </is>
      </c>
      <c r="M5884" s="12" t="inlineStr">
        <is>
          <t>14</t>
        </is>
      </c>
      <c r="N5884" s="12" t="n">
        <v>2</v>
      </c>
      <c r="O5884" s="12" t="n">
        <v>1</v>
      </c>
      <c r="P5884" s="12" t="n"/>
      <c r="Q5884" s="12" t="n"/>
      <c r="R5884" s="12" t="n"/>
      <c r="S5884" s="12" t="inlineStr">
        <is>
          <t>Tray / conduit</t>
        </is>
      </c>
      <c r="T5884" s="17" t="n">
        <v>55</v>
      </c>
      <c r="U5884" s="17" t="n">
        <v>10</v>
      </c>
      <c r="V5884" s="17">
        <f>ROUNDUP((T5884+U5884+2*'Read Me'!$B$13)*(1+'Read Me'!$B$12),-1)</f>
        <v/>
      </c>
      <c r="W5884" s="17">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K-C-0113</t>
        </is>
      </c>
      <c r="B5885" s="12" t="inlineStr">
        <is>
          <t>K</t>
        </is>
      </c>
      <c r="C5885" s="12" t="inlineStr">
        <is>
          <t>Fuel supply (adjacent market)</t>
        </is>
      </c>
      <c r="D5885" s="12" t="inlineStr">
        <is>
          <t>Home run JB-LNG 18: vent stack-SOL01 to the control / marshalling room</t>
        </is>
      </c>
      <c r="E5885" s="12" t="inlineStr"/>
      <c r="F5885" s="12" t="inlineStr">
        <is>
          <t>LNG 17: LNG e-house (13.8 kV / 480 V)</t>
        </is>
      </c>
      <c r="G5885" s="12" t="inlineStr">
        <is>
          <t>JB-LNG 18: vent stack-SOL01</t>
        </is>
      </c>
      <c r="H5885" s="12" t="inlineStr">
        <is>
          <t>LNG 18: vent stack</t>
        </is>
      </c>
      <c r="I5885" s="12" t="inlineStr">
        <is>
          <t>Control</t>
        </is>
      </c>
      <c r="J5885" s="12" t="inlineStr">
        <is>
          <t>ARMOR-X MC-HL 600 V control, Cu #14 AWG (Class I Div 2)</t>
        </is>
      </c>
      <c r="K5885" s="12" t="inlineStr">
        <is>
          <t>CTAX|25/C|14</t>
        </is>
      </c>
      <c r="L5885" s="12" t="inlineStr">
        <is>
          <t>25/C</t>
        </is>
      </c>
      <c r="M5885" s="12" t="inlineStr">
        <is>
          <t>14</t>
        </is>
      </c>
      <c r="N5885" s="12" t="n">
        <v>1</v>
      </c>
      <c r="O5885" s="12" t="n">
        <v>1</v>
      </c>
      <c r="P5885" s="12" t="n"/>
      <c r="Q5885" s="12" t="n"/>
      <c r="R5885" s="12" t="n"/>
      <c r="S5885" s="12" t="inlineStr">
        <is>
          <t>Duct bank</t>
        </is>
      </c>
      <c r="T5885" s="17" t="n">
        <v>25</v>
      </c>
      <c r="U5885" s="17" t="n">
        <v>117</v>
      </c>
      <c r="V5885" s="17">
        <f>ROUNDUP((T5885+U5885+2*'Read Me'!$B$13)*(1+'Read Me'!$B$12),-1)</f>
        <v/>
      </c>
      <c r="W5885" s="17">
        <f>V5885*N5885*O5885</f>
        <v/>
      </c>
      <c r="X5885" s="12">
        <f>IF(LEFT(I5885,2)="MV",2*N5885*IF(L5885="1/C",O5885,1),0)</f>
        <v/>
      </c>
      <c r="Y5885" s="12">
        <f>IF(OR(LEFT(K5885,4)="LVAX",LEFT(K5885,6)="MV15AX",LEFT(K5885,4)="CTAX",LEFT(K5885,2)="W|"),2*N5885*O5885,0)</f>
        <v/>
      </c>
      <c r="Z5885" s="12" t="inlineStr"/>
      <c r="AA5885" s="12">
        <f>N5885*O5885</f>
        <v/>
      </c>
    </row>
    <row r="5886">
      <c r="A5886" s="12" t="inlineStr">
        <is>
          <t>K-C-0114</t>
        </is>
      </c>
      <c r="B5886" s="12" t="inlineStr">
        <is>
          <t>K</t>
        </is>
      </c>
      <c r="C5886" s="12" t="inlineStr">
        <is>
          <t>Fuel supply (adjacent market)</t>
        </is>
      </c>
      <c r="D5886" s="12" t="inlineStr">
        <is>
          <t>Solenoid to JB JB-M&amp;R 2: insulating -SOL01: 4 x 2/C (field cables)</t>
        </is>
      </c>
      <c r="E5886" s="12" t="inlineStr"/>
      <c r="F5886" s="12" t="inlineStr">
        <is>
          <t>M&amp;R 2: insulating joint + ESD valve</t>
        </is>
      </c>
      <c r="G5886" s="12" t="inlineStr">
        <is>
          <t>JB-M&amp;R 2: insulating -SOL01</t>
        </is>
      </c>
      <c r="H5886" s="12" t="inlineStr">
        <is>
          <t>M&amp;R 2: insulating joint + ESD valve</t>
        </is>
      </c>
      <c r="I5886" s="12" t="inlineStr">
        <is>
          <t>Control</t>
        </is>
      </c>
      <c r="J5886" s="12" t="inlineStr">
        <is>
          <t>ARMOR-X MC-HL 600 V control, Cu #14 AWG (Class I Div 2)</t>
        </is>
      </c>
      <c r="K5886" s="12" t="inlineStr">
        <is>
          <t>CTAX|2/C|14</t>
        </is>
      </c>
      <c r="L5886" s="12" t="inlineStr">
        <is>
          <t>2/C</t>
        </is>
      </c>
      <c r="M5886" s="12" t="inlineStr">
        <is>
          <t>14</t>
        </is>
      </c>
      <c r="N5886" s="12" t="n">
        <v>4</v>
      </c>
      <c r="O5886" s="12" t="n">
        <v>1</v>
      </c>
      <c r="P5886" s="12" t="n"/>
      <c r="Q5886" s="12" t="n"/>
      <c r="R5886" s="12" t="n"/>
      <c r="S5886" s="12" t="inlineStr">
        <is>
          <t>Tray / conduit</t>
        </is>
      </c>
      <c r="T5886" s="17" t="n">
        <v>40</v>
      </c>
      <c r="U5886" s="17" t="n">
        <v>10</v>
      </c>
      <c r="V5886" s="17">
        <f>ROUNDUP((T5886+U5886+2*'Read Me'!$B$13)*(1+'Read Me'!$B$12),-1)</f>
        <v/>
      </c>
      <c r="W5886" s="17">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K-C-0115</t>
        </is>
      </c>
      <c r="B5887" s="12" t="inlineStr">
        <is>
          <t>K</t>
        </is>
      </c>
      <c r="C5887" s="12" t="inlineStr">
        <is>
          <t>Fuel supply (adjacent market)</t>
        </is>
      </c>
      <c r="D5887" s="12" t="inlineStr">
        <is>
          <t>Home run JB-M&amp;R 2: insulating -SOL01 to the control / marshalling room</t>
        </is>
      </c>
      <c r="E5887" s="12" t="inlineStr"/>
      <c r="F5887" s="12" t="inlineStr">
        <is>
          <t>LNG 17: LNG e-house (13.8 kV / 480 V)</t>
        </is>
      </c>
      <c r="G5887" s="12" t="inlineStr">
        <is>
          <t>JB-M&amp;R 2: insulating -SOL01</t>
        </is>
      </c>
      <c r="H5887" s="12" t="inlineStr">
        <is>
          <t>M&amp;R 2: insulating joint + ESD valve</t>
        </is>
      </c>
      <c r="I5887" s="12" t="inlineStr">
        <is>
          <t>Control</t>
        </is>
      </c>
      <c r="J5887" s="12" t="inlineStr">
        <is>
          <t>ARMOR-X MC-HL 600 V control, Cu #14 AWG (Class I Div 2)</t>
        </is>
      </c>
      <c r="K5887" s="12" t="inlineStr">
        <is>
          <t>CTAX|25/C|14</t>
        </is>
      </c>
      <c r="L5887" s="12" t="inlineStr">
        <is>
          <t>25/C</t>
        </is>
      </c>
      <c r="M5887" s="12" t="inlineStr">
        <is>
          <t>14</t>
        </is>
      </c>
      <c r="N5887" s="12" t="n">
        <v>1</v>
      </c>
      <c r="O5887" s="12" t="n">
        <v>1</v>
      </c>
      <c r="P5887" s="12" t="n"/>
      <c r="Q5887" s="12" t="n"/>
      <c r="R5887" s="12" t="n"/>
      <c r="S5887" s="12" t="inlineStr">
        <is>
          <t>Duct bank</t>
        </is>
      </c>
      <c r="T5887" s="17" t="n">
        <v>758</v>
      </c>
      <c r="U5887" s="17" t="n">
        <v>32</v>
      </c>
      <c r="V5887" s="17">
        <f>ROUNDUP((T5887+U5887+2*'Read Me'!$B$13)*(1+'Read Me'!$B$12),-1)</f>
        <v/>
      </c>
      <c r="W5887" s="17">
        <f>V5887*N5887*O5887</f>
        <v/>
      </c>
      <c r="X5887" s="12">
        <f>IF(LEFT(I5887,2)="MV",2*N5887*IF(L5887="1/C",O5887,1),0)</f>
        <v/>
      </c>
      <c r="Y5887" s="12">
        <f>IF(OR(LEFT(K5887,4)="LVAX",LEFT(K5887,6)="MV15AX",LEFT(K5887,4)="CTAX",LEFT(K5887,2)="W|"),2*N5887*O5887,0)</f>
        <v/>
      </c>
      <c r="Z5887" s="12" t="inlineStr"/>
      <c r="AA5887" s="12">
        <f>N5887*O5887</f>
        <v/>
      </c>
    </row>
    <row r="5888">
      <c r="A5888" s="12" t="inlineStr">
        <is>
          <t>K-C-0116</t>
        </is>
      </c>
      <c r="B5888" s="12" t="inlineStr">
        <is>
          <t>K</t>
        </is>
      </c>
      <c r="C5888" s="12" t="inlineStr">
        <is>
          <t>Fuel supply (adjacent market)</t>
        </is>
      </c>
      <c r="D5888" s="12" t="inlineStr">
        <is>
          <t>Solenoid to JB JB-M&amp;R 3: horizontal -SOL01: 4 x 2/C (field cables)</t>
        </is>
      </c>
      <c r="E5888" s="12" t="inlineStr"/>
      <c r="F5888" s="12" t="inlineStr">
        <is>
          <t>M&amp;R 3: horizontal filter-separator</t>
        </is>
      </c>
      <c r="G5888" s="12" t="inlineStr">
        <is>
          <t>JB-M&amp;R 3: horizontal -SOL01</t>
        </is>
      </c>
      <c r="H5888" s="12" t="inlineStr">
        <is>
          <t>M&amp;R 3: horizontal filter-separator</t>
        </is>
      </c>
      <c r="I5888" s="12" t="inlineStr">
        <is>
          <t>Control</t>
        </is>
      </c>
      <c r="J5888" s="12" t="inlineStr">
        <is>
          <t>ARMOR-X MC-HL 600 V control, Cu #14 AWG (Class I Div 2)</t>
        </is>
      </c>
      <c r="K5888" s="12" t="inlineStr">
        <is>
          <t>CTAX|2/C|14</t>
        </is>
      </c>
      <c r="L5888" s="12" t="inlineStr">
        <is>
          <t>2/C</t>
        </is>
      </c>
      <c r="M5888" s="12" t="inlineStr">
        <is>
          <t>14</t>
        </is>
      </c>
      <c r="N5888" s="12" t="n">
        <v>4</v>
      </c>
      <c r="O5888" s="12" t="n">
        <v>1</v>
      </c>
      <c r="P5888" s="12" t="n"/>
      <c r="Q5888" s="12" t="n"/>
      <c r="R5888" s="12" t="n"/>
      <c r="S5888" s="12" t="inlineStr">
        <is>
          <t>Tray / conduit</t>
        </is>
      </c>
      <c r="T5888" s="17" t="n">
        <v>53</v>
      </c>
      <c r="U5888" s="17" t="n">
        <v>10</v>
      </c>
      <c r="V5888" s="17">
        <f>ROUNDUP((T5888+U5888+2*'Read Me'!$B$13)*(1+'Read Me'!$B$12),-1)</f>
        <v/>
      </c>
      <c r="W5888" s="17">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K-C-0117</t>
        </is>
      </c>
      <c r="B5889" s="12" t="inlineStr">
        <is>
          <t>K</t>
        </is>
      </c>
      <c r="C5889" s="12" t="inlineStr">
        <is>
          <t>Fuel supply (adjacent market)</t>
        </is>
      </c>
      <c r="D5889" s="12" t="inlineStr">
        <is>
          <t>Home run JB-M&amp;R 3: horizontal -SOL01 to the control / marshalling room</t>
        </is>
      </c>
      <c r="E5889" s="12" t="inlineStr"/>
      <c r="F5889" s="12" t="inlineStr">
        <is>
          <t>LNG 17: LNG e-house (13.8 kV / 480 V)</t>
        </is>
      </c>
      <c r="G5889" s="12" t="inlineStr">
        <is>
          <t>JB-M&amp;R 3: horizontal -SOL01</t>
        </is>
      </c>
      <c r="H5889" s="12" t="inlineStr">
        <is>
          <t>M&amp;R 3: horizontal filter-separator</t>
        </is>
      </c>
      <c r="I5889" s="12" t="inlineStr">
        <is>
          <t>Control</t>
        </is>
      </c>
      <c r="J5889" s="12" t="inlineStr">
        <is>
          <t>ARMOR-X MC-HL 600 V control, Cu #14 AWG (Class I Div 2)</t>
        </is>
      </c>
      <c r="K5889" s="12" t="inlineStr">
        <is>
          <t>CTAX|25/C|14</t>
        </is>
      </c>
      <c r="L5889" s="12" t="inlineStr">
        <is>
          <t>25/C</t>
        </is>
      </c>
      <c r="M5889" s="12" t="inlineStr">
        <is>
          <t>14</t>
        </is>
      </c>
      <c r="N5889" s="12" t="n">
        <v>1</v>
      </c>
      <c r="O5889" s="12" t="n">
        <v>1</v>
      </c>
      <c r="P5889" s="12" t="n"/>
      <c r="Q5889" s="12" t="n"/>
      <c r="R5889" s="12" t="n"/>
      <c r="S5889" s="12" t="inlineStr">
        <is>
          <t>Duct bank</t>
        </is>
      </c>
      <c r="T5889" s="17" t="n">
        <v>797</v>
      </c>
      <c r="U5889" s="17" t="n">
        <v>32</v>
      </c>
      <c r="V5889" s="17">
        <f>ROUNDUP((T5889+U5889+2*'Read Me'!$B$13)*(1+'Read Me'!$B$12),-1)</f>
        <v/>
      </c>
      <c r="W5889" s="17">
        <f>V5889*N5889*O5889</f>
        <v/>
      </c>
      <c r="X5889" s="12">
        <f>IF(LEFT(I5889,2)="MV",2*N5889*IF(L5889="1/C",O5889,1),0)</f>
        <v/>
      </c>
      <c r="Y5889" s="12">
        <f>IF(OR(LEFT(K5889,4)="LVAX",LEFT(K5889,6)="MV15AX",LEFT(K5889,4)="CTAX",LEFT(K5889,2)="W|"),2*N5889*O5889,0)</f>
        <v/>
      </c>
      <c r="Z5889" s="12" t="inlineStr"/>
      <c r="AA5889" s="12">
        <f>N5889*O5889</f>
        <v/>
      </c>
    </row>
    <row r="5890">
      <c r="A5890" s="12" t="inlineStr">
        <is>
          <t>K-C-0118</t>
        </is>
      </c>
      <c r="B5890" s="12" t="inlineStr">
        <is>
          <t>K</t>
        </is>
      </c>
      <c r="C5890" s="12" t="inlineStr">
        <is>
          <t>Fuel supply (adjacent market)</t>
        </is>
      </c>
      <c r="D5890" s="12" t="inlineStr">
        <is>
          <t>Control</t>
        </is>
      </c>
      <c r="E5890" s="12" t="inlineStr"/>
      <c r="F5890" s="12" t="inlineStr">
        <is>
          <t>LNG 17: LNG e-house (13.8 kV / 480 V)</t>
        </is>
      </c>
      <c r="G5890" s="12" t="inlineStr"/>
      <c r="H5890" s="12" t="inlineStr">
        <is>
          <t>M&amp;R 4: line heater 1 (water bath)</t>
        </is>
      </c>
      <c r="I5890" s="12" t="inlineStr">
        <is>
          <t>Control</t>
        </is>
      </c>
      <c r="J5890" s="12" t="inlineStr">
        <is>
          <t>ARMOR-X MC-HL 600 V control, Cu #14 AWG (Class I Div 2)</t>
        </is>
      </c>
      <c r="K5890" s="12" t="inlineStr">
        <is>
          <t>CTAX|7/C|14</t>
        </is>
      </c>
      <c r="L5890" s="12" t="inlineStr">
        <is>
          <t>7/C</t>
        </is>
      </c>
      <c r="M5890" s="12" t="inlineStr">
        <is>
          <t>14</t>
        </is>
      </c>
      <c r="N5890" s="12" t="n">
        <v>1</v>
      </c>
      <c r="O5890" s="12" t="n">
        <v>1</v>
      </c>
      <c r="P5890" s="12" t="n"/>
      <c r="Q5890" s="12" t="n"/>
      <c r="R5890" s="12" t="n"/>
      <c r="S5890" s="12" t="inlineStr">
        <is>
          <t>Duct bank</t>
        </is>
      </c>
      <c r="T5890" s="17" t="n">
        <v>593</v>
      </c>
      <c r="U5890" s="17" t="n">
        <v>32</v>
      </c>
      <c r="V5890" s="17">
        <f>ROUNDUP((T5890+U5890+2*'Read Me'!$B$13)*(1+'Read Me'!$B$12),-1)</f>
        <v/>
      </c>
      <c r="W5890" s="17">
        <f>V5890*N5890*O5890</f>
        <v/>
      </c>
      <c r="X5890" s="12">
        <f>IF(LEFT(I5890,2)="MV",2*N5890*IF(L5890="1/C",O5890,1),0)</f>
        <v/>
      </c>
      <c r="Y5890" s="12">
        <f>IF(OR(LEFT(K5890,4)="LVAX",LEFT(K5890,6)="MV15AX",LEFT(K5890,4)="CTAX",LEFT(K5890,2)="W|"),2*N5890*O5890,0)</f>
        <v/>
      </c>
      <c r="Z5890" s="12" t="inlineStr"/>
      <c r="AA5890" s="12">
        <f>N5890*O5890</f>
        <v/>
      </c>
    </row>
    <row r="5891">
      <c r="A5891" s="12" t="inlineStr">
        <is>
          <t>K-C-0119</t>
        </is>
      </c>
      <c r="B5891" s="12" t="inlineStr">
        <is>
          <t>K</t>
        </is>
      </c>
      <c r="C5891" s="12" t="inlineStr">
        <is>
          <t>Fuel supply (adjacent market)</t>
        </is>
      </c>
      <c r="D5891" s="12" t="inlineStr">
        <is>
          <t>Control</t>
        </is>
      </c>
      <c r="E5891" s="12" t="inlineStr"/>
      <c r="F5891" s="12" t="inlineStr">
        <is>
          <t>LNG 17: LNG e-house (13.8 kV / 480 V)</t>
        </is>
      </c>
      <c r="G5891" s="12" t="inlineStr"/>
      <c r="H5891" s="12" t="inlineStr">
        <is>
          <t>M&amp;R 4: line heater 2 (water bath)</t>
        </is>
      </c>
      <c r="I5891" s="12" t="inlineStr">
        <is>
          <t>Control</t>
        </is>
      </c>
      <c r="J5891" s="12" t="inlineStr">
        <is>
          <t>ARMOR-X MC-HL 600 V control, Cu #14 AWG (Class I Div 2)</t>
        </is>
      </c>
      <c r="K5891" s="12" t="inlineStr">
        <is>
          <t>CTAX|7/C|14</t>
        </is>
      </c>
      <c r="L5891" s="12" t="inlineStr">
        <is>
          <t>7/C</t>
        </is>
      </c>
      <c r="M5891" s="12" t="inlineStr">
        <is>
          <t>14</t>
        </is>
      </c>
      <c r="N5891" s="12" t="n">
        <v>1</v>
      </c>
      <c r="O5891" s="12" t="n">
        <v>1</v>
      </c>
      <c r="P5891" s="12" t="n"/>
      <c r="Q5891" s="12" t="n"/>
      <c r="R5891" s="12" t="n"/>
      <c r="S5891" s="12" t="inlineStr">
        <is>
          <t>Duct bank</t>
        </is>
      </c>
      <c r="T5891" s="17" t="n">
        <v>593</v>
      </c>
      <c r="U5891" s="17" t="n">
        <v>50</v>
      </c>
      <c r="V5891" s="17">
        <f>ROUNDUP((T5891+U5891+2*'Read Me'!$B$13)*(1+'Read Me'!$B$12),-1)</f>
        <v/>
      </c>
      <c r="W5891" s="17">
        <f>V5891*N5891*O5891</f>
        <v/>
      </c>
      <c r="X5891" s="12">
        <f>IF(LEFT(I5891,2)="MV",2*N5891*IF(L5891="1/C",O5891,1),0)</f>
        <v/>
      </c>
      <c r="Y5891" s="12">
        <f>IF(OR(LEFT(K5891,4)="LVAX",LEFT(K5891,6)="MV15AX",LEFT(K5891,4)="CTAX",LEFT(K5891,2)="W|"),2*N5891*O5891,0)</f>
        <v/>
      </c>
      <c r="Z5891" s="12" t="inlineStr"/>
      <c r="AA5891" s="12">
        <f>N5891*O5891</f>
        <v/>
      </c>
    </row>
    <row r="5892">
      <c r="A5892" s="12" t="inlineStr">
        <is>
          <t>K-C-0120</t>
        </is>
      </c>
      <c r="B5892" s="12" t="inlineStr">
        <is>
          <t>K</t>
        </is>
      </c>
      <c r="C5892" s="12" t="inlineStr">
        <is>
          <t>Fuel supply (adjacent market)</t>
        </is>
      </c>
      <c r="D5892" s="12" t="inlineStr">
        <is>
          <t>Control</t>
        </is>
      </c>
      <c r="E5892" s="12" t="inlineStr"/>
      <c r="F5892" s="12" t="inlineStr">
        <is>
          <t>LNG 17: LNG e-house (13.8 kV / 480 V)</t>
        </is>
      </c>
      <c r="G5892" s="12" t="inlineStr"/>
      <c r="H5892" s="12" t="inlineStr">
        <is>
          <t>M&amp;R 4: line heater 3 (water bath)</t>
        </is>
      </c>
      <c r="I5892" s="12" t="inlineStr">
        <is>
          <t>Control</t>
        </is>
      </c>
      <c r="J5892" s="12" t="inlineStr">
        <is>
          <t>ARMOR-X MC-HL 600 V control, Cu #14 AWG (Class I Div 2)</t>
        </is>
      </c>
      <c r="K5892" s="12" t="inlineStr">
        <is>
          <t>CTAX|7/C|14</t>
        </is>
      </c>
      <c r="L5892" s="12" t="inlineStr">
        <is>
          <t>7/C</t>
        </is>
      </c>
      <c r="M5892" s="12" t="inlineStr">
        <is>
          <t>14</t>
        </is>
      </c>
      <c r="N5892" s="12" t="n">
        <v>1</v>
      </c>
      <c r="O5892" s="12" t="n">
        <v>1</v>
      </c>
      <c r="P5892" s="12" t="n"/>
      <c r="Q5892" s="12" t="n"/>
      <c r="R5892" s="12" t="n"/>
      <c r="S5892" s="12" t="inlineStr">
        <is>
          <t>Duct bank</t>
        </is>
      </c>
      <c r="T5892" s="17" t="n">
        <v>593</v>
      </c>
      <c r="U5892" s="17" t="n">
        <v>68</v>
      </c>
      <c r="V5892" s="17">
        <f>ROUNDUP((T5892+U5892+2*'Read Me'!$B$13)*(1+'Read Me'!$B$12),-1)</f>
        <v/>
      </c>
      <c r="W5892" s="17">
        <f>V5892*N5892*O5892</f>
        <v/>
      </c>
      <c r="X5892" s="12">
        <f>IF(LEFT(I5892,2)="MV",2*N5892*IF(L5892="1/C",O5892,1),0)</f>
        <v/>
      </c>
      <c r="Y5892" s="12">
        <f>IF(OR(LEFT(K5892,4)="LVAX",LEFT(K5892,6)="MV15AX",LEFT(K5892,4)="CTAX",LEFT(K5892,2)="W|"),2*N5892*O5892,0)</f>
        <v/>
      </c>
      <c r="Z5892" s="12" t="inlineStr"/>
      <c r="AA5892" s="12">
        <f>N5892*O5892</f>
        <v/>
      </c>
    </row>
    <row r="5893">
      <c r="A5893" s="12" t="inlineStr">
        <is>
          <t>K-C-0121</t>
        </is>
      </c>
      <c r="B5893" s="12" t="inlineStr">
        <is>
          <t>K</t>
        </is>
      </c>
      <c r="C5893" s="12" t="inlineStr">
        <is>
          <t>Fuel supply (adjacent market)</t>
        </is>
      </c>
      <c r="D5893" s="12" t="inlineStr">
        <is>
          <t>Solenoid to JB JB-M&amp;R 6: regulation -SOL01: 6 x 2/C (field cables)</t>
        </is>
      </c>
      <c r="E5893" s="12" t="inlineStr"/>
      <c r="F5893" s="12" t="inlineStr">
        <is>
          <t>M&amp;R 6: regulation / flow control building</t>
        </is>
      </c>
      <c r="G5893" s="12" t="inlineStr">
        <is>
          <t>JB-M&amp;R 6: regulation -SOL01</t>
        </is>
      </c>
      <c r="H5893" s="12" t="inlineStr">
        <is>
          <t>M&amp;R 6: regulation / flow control building</t>
        </is>
      </c>
      <c r="I5893" s="12" t="inlineStr">
        <is>
          <t>Control</t>
        </is>
      </c>
      <c r="J5893" s="12" t="inlineStr">
        <is>
          <t>ARMOR-X MC-HL 600 V control, Cu #14 AWG (Class I Div 2)</t>
        </is>
      </c>
      <c r="K5893" s="12" t="inlineStr">
        <is>
          <t>CTAX|2/C|14</t>
        </is>
      </c>
      <c r="L5893" s="12" t="inlineStr">
        <is>
          <t>2/C</t>
        </is>
      </c>
      <c r="M5893" s="12" t="inlineStr">
        <is>
          <t>14</t>
        </is>
      </c>
      <c r="N5893" s="12" t="n">
        <v>6</v>
      </c>
      <c r="O5893" s="12" t="n">
        <v>1</v>
      </c>
      <c r="P5893" s="12" t="n"/>
      <c r="Q5893" s="12" t="n"/>
      <c r="R5893" s="12" t="n"/>
      <c r="S5893" s="12" t="inlineStr">
        <is>
          <t>Tray / conduit</t>
        </is>
      </c>
      <c r="T5893" s="17" t="n">
        <v>61</v>
      </c>
      <c r="U5893" s="17" t="n">
        <v>10</v>
      </c>
      <c r="V5893" s="17">
        <f>ROUNDUP((T5893+U5893+2*'Read Me'!$B$13)*(1+'Read Me'!$B$12),-1)</f>
        <v/>
      </c>
      <c r="W5893" s="17">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K-C-0122</t>
        </is>
      </c>
      <c r="B5894" s="12" t="inlineStr">
        <is>
          <t>K</t>
        </is>
      </c>
      <c r="C5894" s="12" t="inlineStr">
        <is>
          <t>Fuel supply (adjacent market)</t>
        </is>
      </c>
      <c r="D5894" s="12" t="inlineStr">
        <is>
          <t>Home run JB-M&amp;R 6: regulation -SOL01 to the control / marshalling room</t>
        </is>
      </c>
      <c r="E5894" s="12" t="inlineStr"/>
      <c r="F5894" s="12" t="inlineStr">
        <is>
          <t>LNG 17: LNG e-house (13.8 kV / 480 V)</t>
        </is>
      </c>
      <c r="G5894" s="12" t="inlineStr">
        <is>
          <t>JB-M&amp;R 6: regulation -SOL01</t>
        </is>
      </c>
      <c r="H5894" s="12" t="inlineStr">
        <is>
          <t>M&amp;R 6: regulation / flow control building</t>
        </is>
      </c>
      <c r="I5894" s="12" t="inlineStr">
        <is>
          <t>Control</t>
        </is>
      </c>
      <c r="J5894" s="12" t="inlineStr">
        <is>
          <t>ARMOR-X MC-HL 600 V control, Cu #14 AWG (Class I Div 2)</t>
        </is>
      </c>
      <c r="K5894" s="12" t="inlineStr">
        <is>
          <t>CTAX|25/C|14</t>
        </is>
      </c>
      <c r="L5894" s="12" t="inlineStr">
        <is>
          <t>25/C</t>
        </is>
      </c>
      <c r="M5894" s="12" t="inlineStr">
        <is>
          <t>14</t>
        </is>
      </c>
      <c r="N5894" s="12" t="n">
        <v>1</v>
      </c>
      <c r="O5894" s="12" t="n">
        <v>1</v>
      </c>
      <c r="P5894" s="12" t="n"/>
      <c r="Q5894" s="12" t="n"/>
      <c r="R5894" s="12" t="n"/>
      <c r="S5894" s="12" t="inlineStr">
        <is>
          <t>Duct bank</t>
        </is>
      </c>
      <c r="T5894" s="17" t="n">
        <v>470</v>
      </c>
      <c r="U5894" s="17" t="n">
        <v>70</v>
      </c>
      <c r="V5894" s="17">
        <f>ROUNDUP((T5894+U5894+2*'Read Me'!$B$13)*(1+'Read Me'!$B$12),-1)</f>
        <v/>
      </c>
      <c r="W5894" s="17">
        <f>V5894*N5894*O5894</f>
        <v/>
      </c>
      <c r="X5894" s="12">
        <f>IF(LEFT(I5894,2)="MV",2*N5894*IF(L5894="1/C",O5894,1),0)</f>
        <v/>
      </c>
      <c r="Y5894" s="12">
        <f>IF(OR(LEFT(K5894,4)="LVAX",LEFT(K5894,6)="MV15AX",LEFT(K5894,4)="CTAX",LEFT(K5894,2)="W|"),2*N5894*O5894,0)</f>
        <v/>
      </c>
      <c r="Z5894" s="12" t="inlineStr"/>
      <c r="AA5894" s="12">
        <f>N5894*O5894</f>
        <v/>
      </c>
    </row>
    <row r="5895">
      <c r="A5895" s="12" t="inlineStr">
        <is>
          <t>K-C-0123</t>
        </is>
      </c>
      <c r="B5895" s="12" t="inlineStr">
        <is>
          <t>K</t>
        </is>
      </c>
      <c r="C5895" s="12" t="inlineStr">
        <is>
          <t>Fuel supply (adjacent market)</t>
        </is>
      </c>
      <c r="D5895" s="12" t="inlineStr">
        <is>
          <t>Control</t>
        </is>
      </c>
      <c r="E5895" s="12" t="inlineStr"/>
      <c r="F5895" s="12" t="inlineStr">
        <is>
          <t>LNG 17: LNG e-house (13.8 kV / 480 V)</t>
        </is>
      </c>
      <c r="G5895" s="12" t="inlineStr"/>
      <c r="H5895" s="12" t="inlineStr">
        <is>
          <t>M&amp;R 9: service panel + UPS, SCADA RTU, CP</t>
        </is>
      </c>
      <c r="I5895" s="12" t="inlineStr">
        <is>
          <t>Control</t>
        </is>
      </c>
      <c r="J5895" s="12" t="inlineStr">
        <is>
          <t>ARMOR-X MC-HL 600 V control, Cu #14 AWG (Class I Div 2)</t>
        </is>
      </c>
      <c r="K5895" s="12" t="inlineStr">
        <is>
          <t>CTAX|7/C|14</t>
        </is>
      </c>
      <c r="L5895" s="12" t="inlineStr">
        <is>
          <t>7/C</t>
        </is>
      </c>
      <c r="M5895" s="12" t="inlineStr">
        <is>
          <t>14</t>
        </is>
      </c>
      <c r="N5895" s="12" t="n">
        <v>1</v>
      </c>
      <c r="O5895" s="12" t="n">
        <v>1</v>
      </c>
      <c r="P5895" s="12" t="n"/>
      <c r="Q5895" s="12" t="n"/>
      <c r="R5895" s="12" t="n"/>
      <c r="S5895" s="12" t="inlineStr">
        <is>
          <t>Duct bank</t>
        </is>
      </c>
      <c r="T5895" s="17" t="n">
        <v>466</v>
      </c>
      <c r="U5895" s="17" t="n">
        <v>32</v>
      </c>
      <c r="V5895" s="17">
        <f>ROUNDUP((T5895+U5895+2*'Read Me'!$B$13)*(1+'Read Me'!$B$12),-1)</f>
        <v/>
      </c>
      <c r="W5895" s="17">
        <f>V5895*N5895*O5895</f>
        <v/>
      </c>
      <c r="X5895" s="12">
        <f>IF(LEFT(I5895,2)="MV",2*N5895*IF(L5895="1/C",O5895,1),0)</f>
        <v/>
      </c>
      <c r="Y5895" s="12">
        <f>IF(OR(LEFT(K5895,4)="LVAX",LEFT(K5895,6)="MV15AX",LEFT(K5895,4)="CTAX",LEFT(K5895,2)="W|"),2*N5895*O5895,0)</f>
        <v/>
      </c>
      <c r="Z5895" s="12" t="inlineStr"/>
      <c r="AA5895" s="12">
        <f>N5895*O5895</f>
        <v/>
      </c>
    </row>
    <row r="5896">
      <c r="A5896" s="12" t="inlineStr">
        <is>
          <t>K-C-0124</t>
        </is>
      </c>
      <c r="B5896" s="12" t="inlineStr">
        <is>
          <t>K</t>
        </is>
      </c>
      <c r="C5896" s="12" t="inlineStr">
        <is>
          <t>Fuel supply (adjacent market)</t>
        </is>
      </c>
      <c r="D5896" s="12" t="inlineStr">
        <is>
          <t>Control</t>
        </is>
      </c>
      <c r="E5896" s="12" t="inlineStr"/>
      <c r="F5896" s="12" t="inlineStr">
        <is>
          <t>LNG 17: LNG e-house (13.8 kV / 480 V)</t>
        </is>
      </c>
      <c r="G5896" s="12" t="inlineStr"/>
      <c r="H5896" s="12" t="inlineStr">
        <is>
          <t>M&amp;R CP test station (as drawn)</t>
        </is>
      </c>
      <c r="I5896" s="12" t="inlineStr">
        <is>
          <t>Control</t>
        </is>
      </c>
      <c r="J5896" s="12" t="inlineStr">
        <is>
          <t>ARMOR-X MC-HL 600 V control, Cu #14 AWG (Class I Div 2)</t>
        </is>
      </c>
      <c r="K5896" s="12" t="inlineStr">
        <is>
          <t>CTAX|7/C|14</t>
        </is>
      </c>
      <c r="L5896" s="12" t="inlineStr">
        <is>
          <t>7/C</t>
        </is>
      </c>
      <c r="M5896" s="12" t="inlineStr">
        <is>
          <t>14</t>
        </is>
      </c>
      <c r="N5896" s="12" t="n">
        <v>1</v>
      </c>
      <c r="O5896" s="12" t="n">
        <v>1</v>
      </c>
      <c r="P5896" s="12" t="n"/>
      <c r="Q5896" s="12" t="n"/>
      <c r="R5896" s="12" t="n"/>
      <c r="S5896" s="12" t="inlineStr">
        <is>
          <t>Duct bank</t>
        </is>
      </c>
      <c r="T5896" s="17" t="n">
        <v>441</v>
      </c>
      <c r="U5896" s="17" t="n">
        <v>42</v>
      </c>
      <c r="V5896" s="17">
        <f>ROUNDUP((T5896+U5896+2*'Read Me'!$B$13)*(1+'Read Me'!$B$12),-1)</f>
        <v/>
      </c>
      <c r="W5896" s="17">
        <f>V5896*N5896*O5896</f>
        <v/>
      </c>
      <c r="X5896" s="12">
        <f>IF(LEFT(I5896,2)="MV",2*N5896*IF(L5896="1/C",O5896,1),0)</f>
        <v/>
      </c>
      <c r="Y5896" s="12">
        <f>IF(OR(LEFT(K5896,4)="LVAX",LEFT(K5896,6)="MV15AX",LEFT(K5896,4)="CTAX",LEFT(K5896,2)="W|"),2*N5896*O5896,0)</f>
        <v/>
      </c>
      <c r="Z5896" s="12" t="inlineStr"/>
      <c r="AA5896" s="12">
        <f>N5896*O5896</f>
        <v/>
      </c>
    </row>
    <row r="5897">
      <c r="A5897" s="12" t="inlineStr">
        <is>
          <t>K-C-0125</t>
        </is>
      </c>
      <c r="B5897" s="12" t="inlineStr">
        <is>
          <t>K</t>
        </is>
      </c>
      <c r="C5897" s="12" t="inlineStr">
        <is>
          <t>Fuel supply (adjacent market)</t>
        </is>
      </c>
      <c r="D5897" s="12" t="inlineStr">
        <is>
          <t>Control</t>
        </is>
      </c>
      <c r="E5897" s="12" t="inlineStr"/>
      <c r="F5897" s="12" t="inlineStr">
        <is>
          <t>LNG 17: LNG e-house (13.8 kV / 480 V)</t>
        </is>
      </c>
      <c r="G5897" s="12" t="inlineStr"/>
      <c r="H5897" s="12" t="inlineStr">
        <is>
          <t>M&amp;R SCADA antenna mast base (as drawn)</t>
        </is>
      </c>
      <c r="I5897" s="12" t="inlineStr">
        <is>
          <t>Control</t>
        </is>
      </c>
      <c r="J5897" s="12" t="inlineStr">
        <is>
          <t>ARMOR-X MC-HL 600 V control, Cu #14 AWG (Class I Div 2)</t>
        </is>
      </c>
      <c r="K5897" s="12" t="inlineStr">
        <is>
          <t>CTAX|7/C|14</t>
        </is>
      </c>
      <c r="L5897" s="12" t="inlineStr">
        <is>
          <t>7/C</t>
        </is>
      </c>
      <c r="M5897" s="12" t="inlineStr">
        <is>
          <t>14</t>
        </is>
      </c>
      <c r="N5897" s="12" t="n">
        <v>1</v>
      </c>
      <c r="O5897" s="12" t="n">
        <v>1</v>
      </c>
      <c r="P5897" s="12" t="n"/>
      <c r="Q5897" s="12" t="n"/>
      <c r="R5897" s="12" t="n"/>
      <c r="S5897" s="12" t="inlineStr">
        <is>
          <t>Duct bank</t>
        </is>
      </c>
      <c r="T5897" s="17" t="n">
        <v>433</v>
      </c>
      <c r="U5897" s="17" t="n">
        <v>32</v>
      </c>
      <c r="V5897" s="17">
        <f>ROUNDUP((T5897+U5897+2*'Read Me'!$B$13)*(1+'Read Me'!$B$12),-1)</f>
        <v/>
      </c>
      <c r="W5897" s="17">
        <f>V5897*N5897*O5897</f>
        <v/>
      </c>
      <c r="X5897" s="12">
        <f>IF(LEFT(I5897,2)="MV",2*N5897*IF(L5897="1/C",O5897,1),0)</f>
        <v/>
      </c>
      <c r="Y5897" s="12">
        <f>IF(OR(LEFT(K5897,4)="LVAX",LEFT(K5897,6)="MV15AX",LEFT(K5897,4)="CTAX",LEFT(K5897,2)="W|"),2*N5897*O5897,0)</f>
        <v/>
      </c>
      <c r="Z5897" s="12" t="inlineStr"/>
      <c r="AA5897" s="12">
        <f>N5897*O5897</f>
        <v/>
      </c>
    </row>
    <row r="5898">
      <c r="A5898" s="12" t="inlineStr">
        <is>
          <t>K-C-0126</t>
        </is>
      </c>
      <c r="B5898" s="12" t="inlineStr">
        <is>
          <t>K</t>
        </is>
      </c>
      <c r="C5898" s="12" t="inlineStr">
        <is>
          <t>Fuel supply (adjacent market)</t>
        </is>
      </c>
      <c r="D5898" s="12" t="inlineStr">
        <is>
          <t>Control</t>
        </is>
      </c>
      <c r="E5898" s="12" t="inlineStr"/>
      <c r="F5898" s="12" t="inlineStr">
        <is>
          <t>H2 20: 13.8 kV e-house</t>
        </is>
      </c>
      <c r="G5898" s="12" t="inlineStr"/>
      <c r="H5898" s="12" t="inlineStr">
        <is>
          <t>PEM electrolyzer 1 (HyLYZER-1000)</t>
        </is>
      </c>
      <c r="I5898" s="12" t="inlineStr">
        <is>
          <t>Control</t>
        </is>
      </c>
      <c r="J5898" s="12" t="inlineStr">
        <is>
          <t>ARMOR-X MC-HL 600 V control, Cu #14 AWG (Class I Div 2)</t>
        </is>
      </c>
      <c r="K5898" s="12" t="inlineStr">
        <is>
          <t>CTAX|7/C|14</t>
        </is>
      </c>
      <c r="L5898" s="12" t="inlineStr">
        <is>
          <t>7/C</t>
        </is>
      </c>
      <c r="M5898" s="12" t="inlineStr">
        <is>
          <t>14</t>
        </is>
      </c>
      <c r="N5898" s="12" t="n">
        <v>1</v>
      </c>
      <c r="O5898" s="12" t="n">
        <v>1</v>
      </c>
      <c r="P5898" s="12" t="n"/>
      <c r="Q5898" s="12" t="n"/>
      <c r="R5898" s="12" t="n"/>
      <c r="S5898" s="12" t="inlineStr">
        <is>
          <t>Duct bank</t>
        </is>
      </c>
      <c r="T5898" s="17" t="n">
        <v>358</v>
      </c>
      <c r="U5898" s="17" t="n">
        <v>32</v>
      </c>
      <c r="V5898" s="17">
        <f>ROUNDUP((T5898+U5898+2*'Read Me'!$B$13)*(1+'Read Me'!$B$12),-1)</f>
        <v/>
      </c>
      <c r="W5898" s="17">
        <f>V5898*N5898*O5898</f>
        <v/>
      </c>
      <c r="X5898" s="12">
        <f>IF(LEFT(I5898,2)="MV",2*N5898*IF(L5898="1/C",O5898,1),0)</f>
        <v/>
      </c>
      <c r="Y5898" s="12">
        <f>IF(OR(LEFT(K5898,4)="LVAX",LEFT(K5898,6)="MV15AX",LEFT(K5898,4)="CTAX",LEFT(K5898,2)="W|"),2*N5898*O5898,0)</f>
        <v/>
      </c>
      <c r="Z5898" s="12" t="inlineStr"/>
      <c r="AA5898" s="12">
        <f>N5898*O5898</f>
        <v/>
      </c>
    </row>
    <row r="5899">
      <c r="A5899" s="12" t="inlineStr">
        <is>
          <t>K-C-0127</t>
        </is>
      </c>
      <c r="B5899" s="12" t="inlineStr">
        <is>
          <t>K</t>
        </is>
      </c>
      <c r="C5899" s="12" t="inlineStr">
        <is>
          <t>Fuel supply (adjacent market)</t>
        </is>
      </c>
      <c r="D5899" s="12" t="inlineStr">
        <is>
          <t>Control</t>
        </is>
      </c>
      <c r="E5899" s="12" t="inlineStr"/>
      <c r="F5899" s="12" t="inlineStr">
        <is>
          <t>H2 20: 13.8 kV e-house</t>
        </is>
      </c>
      <c r="G5899" s="12" t="inlineStr"/>
      <c r="H5899" s="12" t="inlineStr">
        <is>
          <t>PEM electrolyzer 2 (HyLYZER-1000)</t>
        </is>
      </c>
      <c r="I5899" s="12" t="inlineStr">
        <is>
          <t>Control</t>
        </is>
      </c>
      <c r="J5899" s="12" t="inlineStr">
        <is>
          <t>ARMOR-X MC-HL 600 V control, Cu #14 AWG (Class I Div 2)</t>
        </is>
      </c>
      <c r="K5899" s="12" t="inlineStr">
        <is>
          <t>CTAX|7/C|14</t>
        </is>
      </c>
      <c r="L5899" s="12" t="inlineStr">
        <is>
          <t>7/C</t>
        </is>
      </c>
      <c r="M5899" s="12" t="inlineStr">
        <is>
          <t>14</t>
        </is>
      </c>
      <c r="N5899" s="12" t="n">
        <v>1</v>
      </c>
      <c r="O5899" s="12" t="n">
        <v>1</v>
      </c>
      <c r="P5899" s="12" t="n"/>
      <c r="Q5899" s="12" t="n"/>
      <c r="R5899" s="12" t="n"/>
      <c r="S5899" s="12" t="inlineStr">
        <is>
          <t>Duct bank</t>
        </is>
      </c>
      <c r="T5899" s="17" t="n">
        <v>358</v>
      </c>
      <c r="U5899" s="17" t="n">
        <v>48</v>
      </c>
      <c r="V5899" s="17">
        <f>ROUNDUP((T5899+U5899+2*'Read Me'!$B$13)*(1+'Read Me'!$B$12),-1)</f>
        <v/>
      </c>
      <c r="W5899" s="17">
        <f>V5899*N5899*O5899</f>
        <v/>
      </c>
      <c r="X5899" s="12">
        <f>IF(LEFT(I5899,2)="MV",2*N5899*IF(L5899="1/C",O5899,1),0)</f>
        <v/>
      </c>
      <c r="Y5899" s="12">
        <f>IF(OR(LEFT(K5899,4)="LVAX",LEFT(K5899,6)="MV15AX",LEFT(K5899,4)="CTAX",LEFT(K5899,2)="W|"),2*N5899*O5899,0)</f>
        <v/>
      </c>
      <c r="Z5899" s="12" t="inlineStr"/>
      <c r="AA5899" s="12">
        <f>N5899*O5899</f>
        <v/>
      </c>
    </row>
    <row r="5900">
      <c r="A5900" s="12" t="inlineStr">
        <is>
          <t>K-C-0128</t>
        </is>
      </c>
      <c r="B5900" s="12" t="inlineStr">
        <is>
          <t>K</t>
        </is>
      </c>
      <c r="C5900" s="12" t="inlineStr">
        <is>
          <t>Fuel supply (adjacent market)</t>
        </is>
      </c>
      <c r="D5900" s="12" t="inlineStr">
        <is>
          <t>Control</t>
        </is>
      </c>
      <c r="E5900" s="12" t="inlineStr"/>
      <c r="F5900" s="12" t="inlineStr">
        <is>
          <t>H2 20: 13.8 kV e-house</t>
        </is>
      </c>
      <c r="G5900" s="12" t="inlineStr"/>
      <c r="H5900" s="12" t="inlineStr">
        <is>
          <t>PEM electrolyzer 3 (HyLYZER-1000)</t>
        </is>
      </c>
      <c r="I5900" s="12" t="inlineStr">
        <is>
          <t>Control</t>
        </is>
      </c>
      <c r="J5900" s="12" t="inlineStr">
        <is>
          <t>ARMOR-X MC-HL 600 V control, Cu #14 AWG (Class I Div 2)</t>
        </is>
      </c>
      <c r="K5900" s="12" t="inlineStr">
        <is>
          <t>CTAX|7/C|14</t>
        </is>
      </c>
      <c r="L5900" s="12" t="inlineStr">
        <is>
          <t>7/C</t>
        </is>
      </c>
      <c r="M5900" s="12" t="inlineStr">
        <is>
          <t>14</t>
        </is>
      </c>
      <c r="N5900" s="12" t="n">
        <v>1</v>
      </c>
      <c r="O5900" s="12" t="n">
        <v>1</v>
      </c>
      <c r="P5900" s="12" t="n"/>
      <c r="Q5900" s="12" t="n"/>
      <c r="R5900" s="12" t="n"/>
      <c r="S5900" s="12" t="inlineStr">
        <is>
          <t>Duct bank</t>
        </is>
      </c>
      <c r="T5900" s="17" t="n">
        <v>348</v>
      </c>
      <c r="U5900" s="17" t="n">
        <v>49</v>
      </c>
      <c r="V5900" s="17">
        <f>ROUNDUP((T5900+U5900+2*'Read Me'!$B$13)*(1+'Read Me'!$B$12),-1)</f>
        <v/>
      </c>
      <c r="W5900" s="17">
        <f>V5900*N5900*O5900</f>
        <v/>
      </c>
      <c r="X5900" s="12">
        <f>IF(LEFT(I5900,2)="MV",2*N5900*IF(L5900="1/C",O5900,1),0)</f>
        <v/>
      </c>
      <c r="Y5900" s="12">
        <f>IF(OR(LEFT(K5900,4)="LVAX",LEFT(K5900,6)="MV15AX",LEFT(K5900,4)="CTAX",LEFT(K5900,2)="W|"),2*N5900*O5900,0)</f>
        <v/>
      </c>
      <c r="Z5900" s="12" t="inlineStr"/>
      <c r="AA5900" s="12">
        <f>N5900*O5900</f>
        <v/>
      </c>
    </row>
    <row r="5901">
      <c r="A5901" s="12" t="inlineStr">
        <is>
          <t>K-C-0129</t>
        </is>
      </c>
      <c r="B5901" s="12" t="inlineStr">
        <is>
          <t>K</t>
        </is>
      </c>
      <c r="C5901" s="12" t="inlineStr">
        <is>
          <t>Fuel supply (adjacent market)</t>
        </is>
      </c>
      <c r="D5901" s="12" t="inlineStr">
        <is>
          <t>Control</t>
        </is>
      </c>
      <c r="E5901" s="12" t="inlineStr"/>
      <c r="F5901" s="12" t="inlineStr">
        <is>
          <t>H2 20: 13.8 kV e-house</t>
        </is>
      </c>
      <c r="G5901" s="12" t="inlineStr"/>
      <c r="H5901" s="12" t="inlineStr">
        <is>
          <t>PEM electrolyzer 4 (HyLYZER-1000)</t>
        </is>
      </c>
      <c r="I5901" s="12" t="inlineStr">
        <is>
          <t>Control</t>
        </is>
      </c>
      <c r="J5901" s="12" t="inlineStr">
        <is>
          <t>ARMOR-X MC-HL 600 V control, Cu #14 AWG (Class I Div 2)</t>
        </is>
      </c>
      <c r="K5901" s="12" t="inlineStr">
        <is>
          <t>CTAX|7/C|14</t>
        </is>
      </c>
      <c r="L5901" s="12" t="inlineStr">
        <is>
          <t>7/C</t>
        </is>
      </c>
      <c r="M5901" s="12" t="inlineStr">
        <is>
          <t>14</t>
        </is>
      </c>
      <c r="N5901" s="12" t="n">
        <v>1</v>
      </c>
      <c r="O5901" s="12" t="n">
        <v>1</v>
      </c>
      <c r="P5901" s="12" t="n"/>
      <c r="Q5901" s="12" t="n"/>
      <c r="R5901" s="12" t="n"/>
      <c r="S5901" s="12" t="inlineStr">
        <is>
          <t>Duct bank</t>
        </is>
      </c>
      <c r="T5901" s="17" t="n">
        <v>328</v>
      </c>
      <c r="U5901" s="17" t="n">
        <v>49</v>
      </c>
      <c r="V5901" s="17">
        <f>ROUNDUP((T5901+U5901+2*'Read Me'!$B$13)*(1+'Read Me'!$B$12),-1)</f>
        <v/>
      </c>
      <c r="W5901" s="17">
        <f>V5901*N5901*O5901</f>
        <v/>
      </c>
      <c r="X5901" s="12">
        <f>IF(LEFT(I5901,2)="MV",2*N5901*IF(L5901="1/C",O5901,1),0)</f>
        <v/>
      </c>
      <c r="Y5901" s="12">
        <f>IF(OR(LEFT(K5901,4)="LVAX",LEFT(K5901,6)="MV15AX",LEFT(K5901,4)="CTAX",LEFT(K5901,2)="W|"),2*N5901*O5901,0)</f>
        <v/>
      </c>
      <c r="Z5901" s="12" t="inlineStr"/>
      <c r="AA5901" s="12">
        <f>N5901*O5901</f>
        <v/>
      </c>
    </row>
    <row r="5902">
      <c r="A5902" s="12" t="inlineStr">
        <is>
          <t>K-C-0130</t>
        </is>
      </c>
      <c r="B5902" s="12" t="inlineStr">
        <is>
          <t>K</t>
        </is>
      </c>
      <c r="C5902" s="12" t="inlineStr">
        <is>
          <t>Fuel supply (adjacent market)</t>
        </is>
      </c>
      <c r="D5902" s="12" t="inlineStr">
        <is>
          <t>Control</t>
        </is>
      </c>
      <c r="E5902" s="12" t="inlineStr"/>
      <c r="F5902" s="12" t="inlineStr">
        <is>
          <t>H2 20: 13.8 kV e-house</t>
        </is>
      </c>
      <c r="G5902" s="12" t="inlineStr"/>
      <c r="H5902" s="12" t="inlineStr">
        <is>
          <t>PEM electrolyzer 5 (HyLYZER-1000)</t>
        </is>
      </c>
      <c r="I5902" s="12" t="inlineStr">
        <is>
          <t>Control</t>
        </is>
      </c>
      <c r="J5902" s="12" t="inlineStr">
        <is>
          <t>ARMOR-X MC-HL 600 V control, Cu #14 AWG (Class I Div 2)</t>
        </is>
      </c>
      <c r="K5902" s="12" t="inlineStr">
        <is>
          <t>CTAX|7/C|14</t>
        </is>
      </c>
      <c r="L5902" s="12" t="inlineStr">
        <is>
          <t>7/C</t>
        </is>
      </c>
      <c r="M5902" s="12" t="inlineStr">
        <is>
          <t>14</t>
        </is>
      </c>
      <c r="N5902" s="12" t="n">
        <v>1</v>
      </c>
      <c r="O5902" s="12" t="n">
        <v>1</v>
      </c>
      <c r="P5902" s="12" t="n"/>
      <c r="Q5902" s="12" t="n"/>
      <c r="R5902" s="12" t="n"/>
      <c r="S5902" s="12" t="inlineStr">
        <is>
          <t>Duct bank</t>
        </is>
      </c>
      <c r="T5902" s="17" t="n">
        <v>328</v>
      </c>
      <c r="U5902" s="17" t="n">
        <v>32</v>
      </c>
      <c r="V5902" s="17">
        <f>ROUNDUP((T5902+U5902+2*'Read Me'!$B$13)*(1+'Read Me'!$B$12),-1)</f>
        <v/>
      </c>
      <c r="W5902" s="17">
        <f>V5902*N5902*O5902</f>
        <v/>
      </c>
      <c r="X5902" s="12">
        <f>IF(LEFT(I5902,2)="MV",2*N5902*IF(L5902="1/C",O5902,1),0)</f>
        <v/>
      </c>
      <c r="Y5902" s="12">
        <f>IF(OR(LEFT(K5902,4)="LVAX",LEFT(K5902,6)="MV15AX",LEFT(K5902,4)="CTAX",LEFT(K5902,2)="W|"),2*N5902*O5902,0)</f>
        <v/>
      </c>
      <c r="Z5902" s="12" t="inlineStr"/>
      <c r="AA5902" s="12">
        <f>N5902*O5902</f>
        <v/>
      </c>
    </row>
    <row r="5903">
      <c r="A5903" s="12" t="inlineStr">
        <is>
          <t>K-C-0131</t>
        </is>
      </c>
      <c r="B5903" s="12" t="inlineStr">
        <is>
          <t>K</t>
        </is>
      </c>
      <c r="C5903" s="12" t="inlineStr">
        <is>
          <t>Fuel supply (adjacent market)</t>
        </is>
      </c>
      <c r="D5903" s="12" t="inlineStr">
        <is>
          <t>Control</t>
        </is>
      </c>
      <c r="E5903" s="12" t="inlineStr"/>
      <c r="F5903" s="12" t="inlineStr">
        <is>
          <t>H2 20: 13.8 kV e-house</t>
        </is>
      </c>
      <c r="G5903" s="12" t="inlineStr"/>
      <c r="H5903" s="12" t="inlineStr">
        <is>
          <t>Rectifier 1 (7 MVA)</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7" t="n">
        <v>346</v>
      </c>
      <c r="U5903" s="17" t="n">
        <v>32</v>
      </c>
      <c r="V5903" s="17">
        <f>ROUNDUP((T5903+U5903+2*'Read Me'!$B$13)*(1+'Read Me'!$B$12),-1)</f>
        <v/>
      </c>
      <c r="W5903" s="17">
        <f>V5903*N5903*O5903</f>
        <v/>
      </c>
      <c r="X5903" s="12">
        <f>IF(LEFT(I5903,2)="MV",2*N5903*IF(L5903="1/C",O5903,1),0)</f>
        <v/>
      </c>
      <c r="Y5903" s="12">
        <f>IF(OR(LEFT(K5903,4)="LVAX",LEFT(K5903,6)="MV15AX",LEFT(K5903,4)="CTAX",LEFT(K5903,2)="W|"),2*N5903*O5903,0)</f>
        <v/>
      </c>
      <c r="Z5903" s="12" t="inlineStr"/>
      <c r="AA5903" s="12">
        <f>N5903*O5903</f>
        <v/>
      </c>
    </row>
    <row r="5904">
      <c r="A5904" s="12" t="inlineStr">
        <is>
          <t>K-C-0132</t>
        </is>
      </c>
      <c r="B5904" s="12" t="inlineStr">
        <is>
          <t>K</t>
        </is>
      </c>
      <c r="C5904" s="12" t="inlineStr">
        <is>
          <t>Fuel supply (adjacent market)</t>
        </is>
      </c>
      <c r="D5904" s="12" t="inlineStr">
        <is>
          <t>Control</t>
        </is>
      </c>
      <c r="E5904" s="12" t="inlineStr"/>
      <c r="F5904" s="12" t="inlineStr">
        <is>
          <t>H2 20: 13.8 kV e-house</t>
        </is>
      </c>
      <c r="G5904" s="12" t="inlineStr"/>
      <c r="H5904" s="12" t="inlineStr">
        <is>
          <t>Rectifier 2 (7 MVA)</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7" t="n">
        <v>361</v>
      </c>
      <c r="U5904" s="17" t="n">
        <v>32</v>
      </c>
      <c r="V5904" s="17">
        <f>ROUNDUP((T5904+U5904+2*'Read Me'!$B$13)*(1+'Read Me'!$B$12),-1)</f>
        <v/>
      </c>
      <c r="W5904" s="17">
        <f>V5904*N5904*O5904</f>
        <v/>
      </c>
      <c r="X5904" s="12">
        <f>IF(LEFT(I5904,2)="MV",2*N5904*IF(L5904="1/C",O5904,1),0)</f>
        <v/>
      </c>
      <c r="Y5904" s="12">
        <f>IF(OR(LEFT(K5904,4)="LVAX",LEFT(K5904,6)="MV15AX",LEFT(K5904,4)="CTAX",LEFT(K5904,2)="W|"),2*N5904*O5904,0)</f>
        <v/>
      </c>
      <c r="Z5904" s="12" t="inlineStr"/>
      <c r="AA5904" s="12">
        <f>N5904*O5904</f>
        <v/>
      </c>
    </row>
    <row r="5905">
      <c r="A5905" s="12" t="inlineStr">
        <is>
          <t>K-C-0133</t>
        </is>
      </c>
      <c r="B5905" s="12" t="inlineStr">
        <is>
          <t>K</t>
        </is>
      </c>
      <c r="C5905" s="12" t="inlineStr">
        <is>
          <t>Fuel supply (adjacent market)</t>
        </is>
      </c>
      <c r="D5905" s="12" t="inlineStr">
        <is>
          <t>Control</t>
        </is>
      </c>
      <c r="E5905" s="12" t="inlineStr"/>
      <c r="F5905" s="12" t="inlineStr">
        <is>
          <t>H2 20: 13.8 kV e-house</t>
        </is>
      </c>
      <c r="G5905" s="12" t="inlineStr"/>
      <c r="H5905" s="12" t="inlineStr">
        <is>
          <t>Rectifier 3 (7 MVA)</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7" t="n">
        <v>341</v>
      </c>
      <c r="U5905" s="17" t="n">
        <v>32</v>
      </c>
      <c r="V5905" s="17">
        <f>ROUNDUP((T5905+U5905+2*'Read Me'!$B$13)*(1+'Read Me'!$B$12),-1)</f>
        <v/>
      </c>
      <c r="W5905" s="17">
        <f>V5905*N5905*O5905</f>
        <v/>
      </c>
      <c r="X5905" s="12">
        <f>IF(LEFT(I5905,2)="MV",2*N5905*IF(L5905="1/C",O5905,1),0)</f>
        <v/>
      </c>
      <c r="Y5905" s="12">
        <f>IF(OR(LEFT(K5905,4)="LVAX",LEFT(K5905,6)="MV15AX",LEFT(K5905,4)="CTAX",LEFT(K5905,2)="W|"),2*N5905*O5905,0)</f>
        <v/>
      </c>
      <c r="Z5905" s="12" t="inlineStr"/>
      <c r="AA5905" s="12">
        <f>N5905*O5905</f>
        <v/>
      </c>
    </row>
    <row r="5906">
      <c r="A5906" s="12" t="inlineStr">
        <is>
          <t>K-C-0134</t>
        </is>
      </c>
      <c r="B5906" s="12" t="inlineStr">
        <is>
          <t>K</t>
        </is>
      </c>
      <c r="C5906" s="12" t="inlineStr">
        <is>
          <t>Fuel supply (adjacent market)</t>
        </is>
      </c>
      <c r="D5906" s="12" t="inlineStr">
        <is>
          <t>Control</t>
        </is>
      </c>
      <c r="E5906" s="12" t="inlineStr"/>
      <c r="F5906" s="12" t="inlineStr">
        <is>
          <t>H2 20: 13.8 kV e-house</t>
        </is>
      </c>
      <c r="G5906" s="12" t="inlineStr"/>
      <c r="H5906" s="12" t="inlineStr">
        <is>
          <t>Rectifier 4 (7 MVA)</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7" t="n">
        <v>321</v>
      </c>
      <c r="U5906" s="17" t="n">
        <v>32</v>
      </c>
      <c r="V5906" s="17">
        <f>ROUNDUP((T5906+U5906+2*'Read Me'!$B$13)*(1+'Read Me'!$B$12),-1)</f>
        <v/>
      </c>
      <c r="W5906" s="17">
        <f>V5906*N5906*O5906</f>
        <v/>
      </c>
      <c r="X5906" s="12">
        <f>IF(LEFT(I5906,2)="MV",2*N5906*IF(L5906="1/C",O5906,1),0)</f>
        <v/>
      </c>
      <c r="Y5906" s="12">
        <f>IF(OR(LEFT(K5906,4)="LVAX",LEFT(K5906,6)="MV15AX",LEFT(K5906,4)="CTAX",LEFT(K5906,2)="W|"),2*N5906*O5906,0)</f>
        <v/>
      </c>
      <c r="Z5906" s="12" t="inlineStr"/>
      <c r="AA5906" s="12">
        <f>N5906*O5906</f>
        <v/>
      </c>
    </row>
    <row r="5907">
      <c r="A5907" s="12" t="inlineStr">
        <is>
          <t>K-C-0135</t>
        </is>
      </c>
      <c r="B5907" s="12" t="inlineStr">
        <is>
          <t>K</t>
        </is>
      </c>
      <c r="C5907" s="12" t="inlineStr">
        <is>
          <t>Fuel supply (adjacent market)</t>
        </is>
      </c>
      <c r="D5907" s="12" t="inlineStr">
        <is>
          <t>Control</t>
        </is>
      </c>
      <c r="E5907" s="12" t="inlineStr"/>
      <c r="F5907" s="12" t="inlineStr">
        <is>
          <t>H2 20: 13.8 kV e-house</t>
        </is>
      </c>
      <c r="G5907" s="12" t="inlineStr"/>
      <c r="H5907" s="12" t="inlineStr">
        <is>
          <t>Rectifier 5 (7 MVA)</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7" t="n">
        <v>301</v>
      </c>
      <c r="U5907" s="17" t="n">
        <v>32</v>
      </c>
      <c r="V5907" s="17">
        <f>ROUNDUP((T5907+U5907+2*'Read Me'!$B$13)*(1+'Read Me'!$B$12),-1)</f>
        <v/>
      </c>
      <c r="W5907" s="17">
        <f>V5907*N5907*O5907</f>
        <v/>
      </c>
      <c r="X5907" s="12">
        <f>IF(LEFT(I5907,2)="MV",2*N5907*IF(L5907="1/C",O5907,1),0)</f>
        <v/>
      </c>
      <c r="Y5907" s="12">
        <f>IF(OR(LEFT(K5907,4)="LVAX",LEFT(K5907,6)="MV15AX",LEFT(K5907,4)="CTAX",LEFT(K5907,2)="W|"),2*N5907*O5907,0)</f>
        <v/>
      </c>
      <c r="Z5907" s="12" t="inlineStr"/>
      <c r="AA5907" s="12">
        <f>N5907*O5907</f>
        <v/>
      </c>
    </row>
    <row r="5908">
      <c r="A5908" s="12" t="inlineStr">
        <is>
          <t>K-F-0001</t>
        </is>
      </c>
      <c r="B5908" s="12" t="inlineStr">
        <is>
          <t>K</t>
        </is>
      </c>
      <c r="C5908" s="12" t="inlineStr">
        <is>
          <t>Fuel supply (adjacent market)</t>
        </is>
      </c>
      <c r="D5908" s="12" t="inlineStr">
        <is>
          <t>Plant network / DCS fibre</t>
        </is>
      </c>
      <c r="E5908" s="12" t="inlineStr">
        <is>
          <t>CR</t>
        </is>
      </c>
      <c r="F5908" s="12" t="inlineStr">
        <is>
          <t>Control / admin building (main control room)</t>
        </is>
      </c>
      <c r="G5908" s="12" t="inlineStr"/>
      <c r="H5908" s="12" t="inlineStr">
        <is>
          <t>H2 20: 13.8 kV e-house</t>
        </is>
      </c>
      <c r="I5908" s="12" t="inlineStr">
        <is>
          <t>Fibre / data</t>
        </is>
      </c>
      <c r="J5908" s="12" t="inlineStr">
        <is>
          <t>Fibre optic, single-mode, 12-fibre, armored, orange jacket</t>
        </is>
      </c>
      <c r="K5908" s="12" t="inlineStr">
        <is>
          <t>FO|12 SM|-</t>
        </is>
      </c>
      <c r="L5908" s="12" t="inlineStr">
        <is>
          <t>12 SM</t>
        </is>
      </c>
      <c r="M5908" s="12" t="inlineStr">
        <is>
          <t>-</t>
        </is>
      </c>
      <c r="N5908" s="12" t="n">
        <v>1</v>
      </c>
      <c r="O5908" s="12" t="n">
        <v>1</v>
      </c>
      <c r="P5908" s="12" t="n"/>
      <c r="Q5908" s="12" t="n"/>
      <c r="R5908" s="12" t="n"/>
      <c r="S5908" s="12" t="inlineStr">
        <is>
          <t>Trench</t>
        </is>
      </c>
      <c r="T5908" s="17" t="n">
        <v>4293</v>
      </c>
      <c r="U5908" s="17" t="n">
        <v>36</v>
      </c>
      <c r="V5908" s="17">
        <f>ROUNDUP((T5908+U5908+2*'Read Me'!$B$13)*(1+'Read Me'!$B$12),-1)</f>
        <v/>
      </c>
      <c r="W5908" s="17">
        <f>V5908*N5908*O5908</f>
        <v/>
      </c>
      <c r="X5908" s="12">
        <f>IF(LEFT(I5908,2)="MV",2*N5908*IF(L5908="1/C",O5908,1),0)</f>
        <v/>
      </c>
      <c r="Y5908" s="12">
        <f>IF(OR(LEFT(K5908,4)="LVAX",LEFT(K5908,6)="MV15AX",LEFT(K5908,4)="CTAX",LEFT(K5908,2)="W|"),2*N5908*O5908,0)</f>
        <v/>
      </c>
      <c r="Z5908" s="12" t="inlineStr"/>
      <c r="AA5908" s="12">
        <f>N5908*O5908</f>
        <v/>
      </c>
    </row>
    <row r="5909">
      <c r="A5909" s="12" t="inlineStr">
        <is>
          <t>K-F-0002</t>
        </is>
      </c>
      <c r="B5909" s="12" t="inlineStr">
        <is>
          <t>K</t>
        </is>
      </c>
      <c r="C5909" s="12" t="inlineStr">
        <is>
          <t>Fuel supply (adjacent market)</t>
        </is>
      </c>
      <c r="D5909" s="12" t="inlineStr">
        <is>
          <t>Plant network / DCS fibre</t>
        </is>
      </c>
      <c r="E5909" s="12" t="inlineStr">
        <is>
          <t>CR</t>
        </is>
      </c>
      <c r="F5909" s="12" t="inlineStr">
        <is>
          <t>Control / admin building (main control room)</t>
        </is>
      </c>
      <c r="G5909" s="12" t="inlineStr"/>
      <c r="H5909" s="12" t="inlineStr">
        <is>
          <t>LNG 17: LNG e-house (13.8 kV / 480 V)</t>
        </is>
      </c>
      <c r="I5909" s="12" t="inlineStr">
        <is>
          <t>Fibre / data</t>
        </is>
      </c>
      <c r="J5909" s="12" t="inlineStr">
        <is>
          <t>Fibre optic, single-mode, 12-fibre, armored, orange jacket</t>
        </is>
      </c>
      <c r="K5909" s="12" t="inlineStr">
        <is>
          <t>FO|12 SM|-</t>
        </is>
      </c>
      <c r="L5909" s="12" t="inlineStr">
        <is>
          <t>12 SM</t>
        </is>
      </c>
      <c r="M5909" s="12" t="inlineStr">
        <is>
          <t>-</t>
        </is>
      </c>
      <c r="N5909" s="12" t="n">
        <v>1</v>
      </c>
      <c r="O5909" s="12" t="n">
        <v>1</v>
      </c>
      <c r="P5909" s="12" t="n"/>
      <c r="Q5909" s="12" t="n"/>
      <c r="R5909" s="12" t="n"/>
      <c r="S5909" s="12" t="inlineStr">
        <is>
          <t>Duct bank</t>
        </is>
      </c>
      <c r="T5909" s="17" t="n">
        <v>3499</v>
      </c>
      <c r="U5909" s="17" t="n">
        <v>359</v>
      </c>
      <c r="V5909" s="17">
        <f>ROUNDUP((T5909+U5909+2*'Read Me'!$B$13)*(1+'Read Me'!$B$12),-1)</f>
        <v/>
      </c>
      <c r="W5909" s="17">
        <f>V5909*N5909*O5909</f>
        <v/>
      </c>
      <c r="X5909" s="12">
        <f>IF(LEFT(I5909,2)="MV",2*N5909*IF(L5909="1/C",O5909,1),0)</f>
        <v/>
      </c>
      <c r="Y5909" s="12">
        <f>IF(OR(LEFT(K5909,4)="LVAX",LEFT(K5909,6)="MV15AX",LEFT(K5909,4)="CTAX",LEFT(K5909,2)="W|"),2*N5909*O5909,0)</f>
        <v/>
      </c>
      <c r="Z5909" s="12" t="inlineStr"/>
      <c r="AA5909" s="12">
        <f>N5909*O5909</f>
        <v/>
      </c>
    </row>
    <row r="5910">
      <c r="A5910" s="12" t="inlineStr">
        <is>
          <t>K-F-0003</t>
        </is>
      </c>
      <c r="B5910" s="12" t="inlineStr">
        <is>
          <t>K</t>
        </is>
      </c>
      <c r="C5910" s="12" t="inlineStr">
        <is>
          <t>Fuel supply (adjacent market)</t>
        </is>
      </c>
      <c r="D5910" s="12" t="inlineStr">
        <is>
          <t>Plant network / DCS fibre</t>
        </is>
      </c>
      <c r="E5910" s="12" t="inlineStr">
        <is>
          <t>CR</t>
        </is>
      </c>
      <c r="F5910" s="12" t="inlineStr">
        <is>
          <t>Control / admin building (main control room)</t>
        </is>
      </c>
      <c r="G5910" s="12" t="inlineStr"/>
      <c r="H5910" s="12" t="inlineStr">
        <is>
          <t>M&amp;R 6: regulation / flow control building</t>
        </is>
      </c>
      <c r="I5910" s="12" t="inlineStr">
        <is>
          <t>Fibre / data</t>
        </is>
      </c>
      <c r="J5910" s="12" t="inlineStr">
        <is>
          <t>Fibre optic, single-mode, 12-fibre, armored, orange jacket</t>
        </is>
      </c>
      <c r="K5910" s="12" t="inlineStr">
        <is>
          <t>FO|12 SM|-</t>
        </is>
      </c>
      <c r="L5910" s="12" t="inlineStr">
        <is>
          <t>12 SM</t>
        </is>
      </c>
      <c r="M5910" s="12" t="inlineStr">
        <is>
          <t>-</t>
        </is>
      </c>
      <c r="N5910" s="12" t="n">
        <v>1</v>
      </c>
      <c r="O5910" s="12" t="n">
        <v>1</v>
      </c>
      <c r="P5910" s="12" t="n"/>
      <c r="Q5910" s="12" t="n"/>
      <c r="R5910" s="12" t="n"/>
      <c r="S5910" s="12" t="inlineStr">
        <is>
          <t>Duct bank</t>
        </is>
      </c>
      <c r="T5910" s="17" t="n">
        <v>3128</v>
      </c>
      <c r="U5910" s="17" t="n">
        <v>302</v>
      </c>
      <c r="V5910" s="17">
        <f>ROUNDUP((T5910+U5910+2*'Read Me'!$B$13)*(1+'Read Me'!$B$12),-1)</f>
        <v/>
      </c>
      <c r="W5910" s="17">
        <f>V5910*N5910*O5910</f>
        <v/>
      </c>
      <c r="X5910" s="12">
        <f>IF(LEFT(I5910,2)="MV",2*N5910*IF(L5910="1/C",O5910,1),0)</f>
        <v/>
      </c>
      <c r="Y5910" s="12">
        <f>IF(OR(LEFT(K5910,4)="LVAX",LEFT(K5910,6)="MV15AX",LEFT(K5910,4)="CTAX",LEFT(K5910,2)="W|"),2*N5910*O5910,0)</f>
        <v/>
      </c>
      <c r="Z5910" s="12" t="inlineStr"/>
      <c r="AA5910" s="12">
        <f>N5910*O5910</f>
        <v/>
      </c>
    </row>
    <row r="5911">
      <c r="A5911" s="12" t="inlineStr">
        <is>
          <t>K-F-0004</t>
        </is>
      </c>
      <c r="B5911" s="12" t="inlineStr">
        <is>
          <t>K</t>
        </is>
      </c>
      <c r="C5911" s="12" t="inlineStr">
        <is>
          <t>Fuel supply (adjacent market)</t>
        </is>
      </c>
      <c r="D5911" s="12" t="inlineStr">
        <is>
          <t>Plant network / DCS fibre</t>
        </is>
      </c>
      <c r="E5911" s="12" t="inlineStr">
        <is>
          <t>CR</t>
        </is>
      </c>
      <c r="F5911" s="12" t="inlineStr">
        <is>
          <t>Control / admin building (main control room)</t>
        </is>
      </c>
      <c r="G5911" s="12" t="inlineStr"/>
      <c r="H5911" s="12" t="inlineStr">
        <is>
          <t>M&amp;R 7: gas quality + measurement building</t>
        </is>
      </c>
      <c r="I5911" s="12" t="inlineStr">
        <is>
          <t>Fibre / data</t>
        </is>
      </c>
      <c r="J5911" s="12" t="inlineStr">
        <is>
          <t>Fibre optic, single-mode, 12-fibre, armored, orange jacket</t>
        </is>
      </c>
      <c r="K5911" s="12" t="inlineStr">
        <is>
          <t>FO|12 SM|-</t>
        </is>
      </c>
      <c r="L5911" s="12" t="inlineStr">
        <is>
          <t>12 SM</t>
        </is>
      </c>
      <c r="M5911" s="12" t="inlineStr">
        <is>
          <t>-</t>
        </is>
      </c>
      <c r="N5911" s="12" t="n">
        <v>1</v>
      </c>
      <c r="O5911" s="12" t="n">
        <v>1</v>
      </c>
      <c r="P5911" s="12" t="n"/>
      <c r="Q5911" s="12" t="n"/>
      <c r="R5911" s="12" t="n"/>
      <c r="S5911" s="12" t="inlineStr">
        <is>
          <t>Duct bank</t>
        </is>
      </c>
      <c r="T5911" s="17" t="n">
        <v>2978</v>
      </c>
      <c r="U5911" s="17" t="n">
        <v>284</v>
      </c>
      <c r="V5911" s="17">
        <f>ROUNDUP((T5911+U5911+2*'Read Me'!$B$13)*(1+'Read Me'!$B$12),-1)</f>
        <v/>
      </c>
      <c r="W5911" s="17">
        <f>V5911*N5911*O5911</f>
        <v/>
      </c>
      <c r="X5911" s="12">
        <f>IF(LEFT(I5911,2)="MV",2*N5911*IF(L5911="1/C",O5911,1),0)</f>
        <v/>
      </c>
      <c r="Y5911" s="12">
        <f>IF(OR(LEFT(K5911,4)="LVAX",LEFT(K5911,6)="MV15AX",LEFT(K5911,4)="CTAX",LEFT(K5911,2)="W|"),2*N5911*O5911,0)</f>
        <v/>
      </c>
      <c r="Z5911" s="12" t="inlineStr"/>
      <c r="AA5911" s="12">
        <f>N5911*O5911</f>
        <v/>
      </c>
    </row>
    <row r="5912">
      <c r="A5912" s="12" t="inlineStr">
        <is>
          <t>K-FA-0001</t>
        </is>
      </c>
      <c r="B5912" s="12" t="inlineStr">
        <is>
          <t>K</t>
        </is>
      </c>
      <c r="C5912" s="12" t="inlineStr">
        <is>
          <t>Fuel supply (adjacent market)</t>
        </is>
      </c>
      <c r="D5912" s="12" t="inlineStr">
        <is>
          <t>Fire alarm / F&amp;G loop (to the local FACP / F&amp;G node)</t>
        </is>
      </c>
      <c r="E5912" s="12" t="inlineStr"/>
      <c r="F5912" s="12" t="inlineStr">
        <is>
          <t>H2 20: 13.8 kV e-house</t>
        </is>
      </c>
      <c r="G5912" s="12" t="inlineStr"/>
      <c r="H5912" s="12" t="inlineStr">
        <is>
          <t>H2 20: 13.8 kV e-house</t>
        </is>
      </c>
      <c r="I5912" s="12" t="inlineStr">
        <is>
          <t>Fire alarm</t>
        </is>
      </c>
      <c r="J5912" s="12" t="inlineStr">
        <is>
          <t>Fire alarm FPLR 2/C #14 shielded, red jacket (NEC 760)</t>
        </is>
      </c>
      <c r="K5912" s="12" t="inlineStr">
        <is>
          <t>FA|2/C|14</t>
        </is>
      </c>
      <c r="L5912" s="12" t="inlineStr">
        <is>
          <t>2/C</t>
        </is>
      </c>
      <c r="M5912" s="12" t="inlineStr">
        <is>
          <t>14</t>
        </is>
      </c>
      <c r="N5912" s="12" t="n">
        <v>1</v>
      </c>
      <c r="O5912" s="12" t="n">
        <v>1</v>
      </c>
      <c r="P5912" s="12" t="n"/>
      <c r="Q5912" s="12" t="n"/>
      <c r="R5912" s="12" t="n"/>
      <c r="S5912" s="12" t="inlineStr">
        <is>
          <t>Tray</t>
        </is>
      </c>
      <c r="T5912" s="17" t="n">
        <v>0</v>
      </c>
      <c r="U5912" s="17" t="n">
        <v>32</v>
      </c>
      <c r="V5912" s="17">
        <f>ROUNDUP((T5912+U5912+2*'Read Me'!$B$13)*(1+'Read Me'!$B$12),-1)</f>
        <v/>
      </c>
      <c r="W5912" s="17">
        <f>V5912*N5912*O5912</f>
        <v/>
      </c>
      <c r="X5912" s="12">
        <f>IF(LEFT(I5912,2)="MV",2*N5912*IF(L5912="1/C",O5912,1),0)</f>
        <v/>
      </c>
      <c r="Y5912" s="12">
        <f>IF(OR(LEFT(K5912,4)="LVAX",LEFT(K5912,6)="MV15AX",LEFT(K5912,4)="CTAX",LEFT(K5912,2)="W|"),2*N5912*O5912,0)</f>
        <v/>
      </c>
      <c r="Z5912" s="12" t="inlineStr"/>
      <c r="AA5912" s="12">
        <f>N5912*O5912</f>
        <v/>
      </c>
    </row>
    <row r="5913">
      <c r="A5913" s="12" t="inlineStr">
        <is>
          <t>K-FA-0002</t>
        </is>
      </c>
      <c r="B5913" s="12" t="inlineStr">
        <is>
          <t>K</t>
        </is>
      </c>
      <c r="C5913" s="12" t="inlineStr">
        <is>
          <t>Fuel supply (adjacent market)</t>
        </is>
      </c>
      <c r="D5913" s="12" t="inlineStr">
        <is>
          <t>Fire alarm / F&amp;G loop (to the local FACP / F&amp;G node)</t>
        </is>
      </c>
      <c r="E5913" s="12" t="inlineStr"/>
      <c r="F5913" s="12" t="inlineStr">
        <is>
          <t>LNG 17: LNG e-house (13.8 kV / 480 V)</t>
        </is>
      </c>
      <c r="G5913" s="12" t="inlineStr"/>
      <c r="H5913" s="12" t="inlineStr">
        <is>
          <t>LNG 17: LNG e-house (13.8 kV / 480 V)</t>
        </is>
      </c>
      <c r="I5913" s="12" t="inlineStr">
        <is>
          <t>Fire alarm</t>
        </is>
      </c>
      <c r="J5913" s="12" t="inlineStr">
        <is>
          <t>Fire alarm FPLR 2/C #14 shielded, red jacket (NEC 760)</t>
        </is>
      </c>
      <c r="K5913" s="12" t="inlineStr">
        <is>
          <t>FA|2/C|14</t>
        </is>
      </c>
      <c r="L5913" s="12" t="inlineStr">
        <is>
          <t>2/C</t>
        </is>
      </c>
      <c r="M5913" s="12" t="inlineStr">
        <is>
          <t>14</t>
        </is>
      </c>
      <c r="N5913" s="12" t="n">
        <v>1</v>
      </c>
      <c r="O5913" s="12" t="n">
        <v>1</v>
      </c>
      <c r="P5913" s="12" t="n"/>
      <c r="Q5913" s="12" t="n"/>
      <c r="R5913" s="12" t="n"/>
      <c r="S5913" s="12" t="inlineStr">
        <is>
          <t>Tray</t>
        </is>
      </c>
      <c r="T5913" s="17" t="n">
        <v>0</v>
      </c>
      <c r="U5913" s="17" t="n">
        <v>32</v>
      </c>
      <c r="V5913" s="17">
        <f>ROUNDUP((T5913+U5913+2*'Read Me'!$B$13)*(1+'Read Me'!$B$12),-1)</f>
        <v/>
      </c>
      <c r="W5913" s="17">
        <f>V5913*N5913*O5913</f>
        <v/>
      </c>
      <c r="X5913" s="12">
        <f>IF(LEFT(I5913,2)="MV",2*N5913*IF(L5913="1/C",O5913,1),0)</f>
        <v/>
      </c>
      <c r="Y5913" s="12">
        <f>IF(OR(LEFT(K5913,4)="LVAX",LEFT(K5913,6)="MV15AX",LEFT(K5913,4)="CTAX",LEFT(K5913,2)="W|"),2*N5913*O5913,0)</f>
        <v/>
      </c>
      <c r="Z5913" s="12" t="inlineStr"/>
      <c r="AA5913" s="12">
        <f>N5913*O5913</f>
        <v/>
      </c>
    </row>
    <row r="5914">
      <c r="A5914" s="12" t="inlineStr">
        <is>
          <t>K-FA-0003</t>
        </is>
      </c>
      <c r="B5914" s="12" t="inlineStr">
        <is>
          <t>K</t>
        </is>
      </c>
      <c r="C5914" s="12" t="inlineStr">
        <is>
          <t>Fuel supply (adjacent market)</t>
        </is>
      </c>
      <c r="D5914" s="12" t="inlineStr">
        <is>
          <t>Fire alarm / F&amp;G loop (to the local FACP / F&amp;G node)</t>
        </is>
      </c>
      <c r="E5914" s="12" t="inlineStr"/>
      <c r="F5914" s="12" t="inlineStr">
        <is>
          <t>LNG 17: LNG e-house (13.8 kV / 480 V)</t>
        </is>
      </c>
      <c r="G5914" s="12" t="inlineStr"/>
      <c r="H5914" s="12" t="inlineStr">
        <is>
          <t>M&amp;R 6: regulation / flow control building</t>
        </is>
      </c>
      <c r="I5914" s="12" t="inlineStr">
        <is>
          <t>Fire alarm</t>
        </is>
      </c>
      <c r="J5914" s="12" t="inlineStr">
        <is>
          <t>Fire alarm FPLR 2/C #14 shielded, red jacket (NEC 760)</t>
        </is>
      </c>
      <c r="K5914" s="12" t="inlineStr">
        <is>
          <t>FA|2/C|14</t>
        </is>
      </c>
      <c r="L5914" s="12" t="inlineStr">
        <is>
          <t>2/C</t>
        </is>
      </c>
      <c r="M5914" s="12" t="inlineStr">
        <is>
          <t>14</t>
        </is>
      </c>
      <c r="N5914" s="12" t="n">
        <v>1</v>
      </c>
      <c r="O5914" s="12" t="n">
        <v>1</v>
      </c>
      <c r="P5914" s="12" t="n"/>
      <c r="Q5914" s="12" t="n"/>
      <c r="R5914" s="12" t="n"/>
      <c r="S5914" s="12" t="inlineStr">
        <is>
          <t>Duct bank</t>
        </is>
      </c>
      <c r="T5914" s="17" t="n">
        <v>470</v>
      </c>
      <c r="U5914" s="17" t="n">
        <v>70</v>
      </c>
      <c r="V5914" s="17">
        <f>ROUNDUP((T5914+U5914+2*'Read Me'!$B$13)*(1+'Read Me'!$B$12),-1)</f>
        <v/>
      </c>
      <c r="W5914" s="17">
        <f>V5914*N5914*O5914</f>
        <v/>
      </c>
      <c r="X5914" s="12">
        <f>IF(LEFT(I5914,2)="MV",2*N5914*IF(L5914="1/C",O5914,1),0)</f>
        <v/>
      </c>
      <c r="Y5914" s="12">
        <f>IF(OR(LEFT(K5914,4)="LVAX",LEFT(K5914,6)="MV15AX",LEFT(K5914,4)="CTAX",LEFT(K5914,2)="W|"),2*N5914*O5914,0)</f>
        <v/>
      </c>
      <c r="Z5914" s="12" t="inlineStr"/>
      <c r="AA5914" s="12">
        <f>N5914*O5914</f>
        <v/>
      </c>
    </row>
    <row r="5915">
      <c r="A5915" s="12" t="inlineStr">
        <is>
          <t>K-FA-0004</t>
        </is>
      </c>
      <c r="B5915" s="12" t="inlineStr">
        <is>
          <t>K</t>
        </is>
      </c>
      <c r="C5915" s="12" t="inlineStr">
        <is>
          <t>Fuel supply (adjacent market)</t>
        </is>
      </c>
      <c r="D5915" s="12" t="inlineStr">
        <is>
          <t>Fire alarm / F&amp;G loop (to the local FACP / F&amp;G node)</t>
        </is>
      </c>
      <c r="E5915" s="12" t="inlineStr"/>
      <c r="F5915" s="12" t="inlineStr">
        <is>
          <t>LNG 17: LNG e-house (13.8 kV / 480 V)</t>
        </is>
      </c>
      <c r="G5915" s="12" t="inlineStr"/>
      <c r="H5915" s="12" t="inlineStr">
        <is>
          <t>M&amp;R 9: service panel + UPS, SCADA RTU, CP</t>
        </is>
      </c>
      <c r="I5915" s="12" t="inlineStr">
        <is>
          <t>Fire alarm</t>
        </is>
      </c>
      <c r="J5915" s="12" t="inlineStr">
        <is>
          <t>Fire alarm FPLR 2/C #14 shielded, red jacket (NEC 760)</t>
        </is>
      </c>
      <c r="K5915" s="12" t="inlineStr">
        <is>
          <t>FA|2/C|14</t>
        </is>
      </c>
      <c r="L5915" s="12" t="inlineStr">
        <is>
          <t>2/C</t>
        </is>
      </c>
      <c r="M5915" s="12" t="inlineStr">
        <is>
          <t>14</t>
        </is>
      </c>
      <c r="N5915" s="12" t="n">
        <v>1</v>
      </c>
      <c r="O5915" s="12" t="n">
        <v>1</v>
      </c>
      <c r="P5915" s="12" t="n"/>
      <c r="Q5915" s="12" t="n"/>
      <c r="R5915" s="12" t="n"/>
      <c r="S5915" s="12" t="inlineStr">
        <is>
          <t>Duct bank</t>
        </is>
      </c>
      <c r="T5915" s="17" t="n">
        <v>466</v>
      </c>
      <c r="U5915" s="17" t="n">
        <v>32</v>
      </c>
      <c r="V5915" s="17">
        <f>ROUNDUP((T5915+U5915+2*'Read Me'!$B$13)*(1+'Read Me'!$B$12),-1)</f>
        <v/>
      </c>
      <c r="W5915" s="17">
        <f>V5915*N5915*O5915</f>
        <v/>
      </c>
      <c r="X5915" s="12">
        <f>IF(LEFT(I5915,2)="MV",2*N5915*IF(L5915="1/C",O5915,1),0)</f>
        <v/>
      </c>
      <c r="Y5915" s="12">
        <f>IF(OR(LEFT(K5915,4)="LVAX",LEFT(K5915,6)="MV15AX",LEFT(K5915,4)="CTAX",LEFT(K5915,2)="W|"),2*N5915*O5915,0)</f>
        <v/>
      </c>
      <c r="Z5915" s="12" t="inlineStr"/>
      <c r="AA5915" s="12">
        <f>N5915*O5915</f>
        <v/>
      </c>
    </row>
    <row r="5916">
      <c r="A5916" s="12" t="inlineStr">
        <is>
          <t>K-FA-0005</t>
        </is>
      </c>
      <c r="B5916" s="12" t="inlineStr">
        <is>
          <t>K</t>
        </is>
      </c>
      <c r="C5916" s="12" t="inlineStr">
        <is>
          <t>Fuel supply (adjacent market)</t>
        </is>
      </c>
      <c r="D5916" s="12" t="inlineStr">
        <is>
          <t>Fire alarm / F&amp;G loop (to the local FACP / F&amp;G node)</t>
        </is>
      </c>
      <c r="E5916" s="12" t="inlineStr"/>
      <c r="F5916" s="12" t="inlineStr">
        <is>
          <t>LNG 17: LNG e-house (13.8 kV / 480 V)</t>
        </is>
      </c>
      <c r="G5916" s="12" t="inlineStr"/>
      <c r="H5916" s="12" t="inlineStr">
        <is>
          <t>M&amp;R SCADA antenna mast base (as drawn)</t>
        </is>
      </c>
      <c r="I5916" s="12" t="inlineStr">
        <is>
          <t>Fire alarm</t>
        </is>
      </c>
      <c r="J5916" s="12" t="inlineStr">
        <is>
          <t>Fire alarm FPLR 2/C #14 shielded, red jacket (NEC 760)</t>
        </is>
      </c>
      <c r="K5916" s="12" t="inlineStr">
        <is>
          <t>FA|2/C|14</t>
        </is>
      </c>
      <c r="L5916" s="12" t="inlineStr">
        <is>
          <t>2/C</t>
        </is>
      </c>
      <c r="M5916" s="12" t="inlineStr">
        <is>
          <t>14</t>
        </is>
      </c>
      <c r="N5916" s="12" t="n">
        <v>1</v>
      </c>
      <c r="O5916" s="12" t="n">
        <v>1</v>
      </c>
      <c r="P5916" s="12" t="n"/>
      <c r="Q5916" s="12" t="n"/>
      <c r="R5916" s="12" t="n"/>
      <c r="S5916" s="12" t="inlineStr">
        <is>
          <t>Duct bank</t>
        </is>
      </c>
      <c r="T5916" s="17" t="n">
        <v>433</v>
      </c>
      <c r="U5916" s="17" t="n">
        <v>32</v>
      </c>
      <c r="V5916" s="17">
        <f>ROUNDUP((T5916+U5916+2*'Read Me'!$B$13)*(1+'Read Me'!$B$12),-1)</f>
        <v/>
      </c>
      <c r="W5916" s="17">
        <f>V5916*N5916*O5916</f>
        <v/>
      </c>
      <c r="X5916" s="12">
        <f>IF(LEFT(I5916,2)="MV",2*N5916*IF(L5916="1/C",O5916,1),0)</f>
        <v/>
      </c>
      <c r="Y5916" s="12">
        <f>IF(OR(LEFT(K5916,4)="LVAX",LEFT(K5916,6)="MV15AX",LEFT(K5916,4)="CTAX",LEFT(K5916,2)="W|"),2*N5916*O5916,0)</f>
        <v/>
      </c>
      <c r="Z5916" s="12" t="inlineStr"/>
      <c r="AA5916" s="12">
        <f>N5916*O5916</f>
        <v/>
      </c>
    </row>
    <row r="5917">
      <c r="A5917" s="12" t="inlineStr">
        <is>
          <t>K-I-0001</t>
        </is>
      </c>
      <c r="B5917" s="12" t="inlineStr">
        <is>
          <t>K</t>
        </is>
      </c>
      <c r="C5917" s="12" t="inlineStr">
        <is>
          <t>Fuel supply (adjacent market)</t>
        </is>
      </c>
      <c r="D5917" s="12" t="inlineStr">
        <is>
          <t>Analog instrument to JB JB-T-H2-AI01: 12 x 1 pr (field cables)</t>
        </is>
      </c>
      <c r="E5917" s="12" t="inlineStr">
        <is>
          <t>T-H2</t>
        </is>
      </c>
      <c r="F5917" s="12" t="inlineStr">
        <is>
          <t>H2 19: T-H2 230/13.8 kV (about 40 MVA)</t>
        </is>
      </c>
      <c r="G5917" s="12" t="inlineStr">
        <is>
          <t>JB-T-H2-AI01</t>
        </is>
      </c>
      <c r="H5917" s="12" t="inlineStr">
        <is>
          <t>H2 19: T-H2 230/13.8 kV (about 40 MVA)</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7" t="n">
        <v>80</v>
      </c>
      <c r="U5917" s="17" t="n">
        <v>10</v>
      </c>
      <c r="V5917" s="17">
        <f>ROUNDUP((T5917+U5917+2*'Read Me'!$B$13)*(1+'Read Me'!$B$12),-1)</f>
        <v/>
      </c>
      <c r="W5917" s="17">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K-I-0002</t>
        </is>
      </c>
      <c r="B5918" s="12" t="inlineStr">
        <is>
          <t>K</t>
        </is>
      </c>
      <c r="C5918" s="12" t="inlineStr">
        <is>
          <t>Fuel supply (adjacent market)</t>
        </is>
      </c>
      <c r="D5918" s="12" t="inlineStr">
        <is>
          <t>Home run JB-T-H2-AI01 to the control / marshalling room</t>
        </is>
      </c>
      <c r="E5918" s="12" t="inlineStr"/>
      <c r="F5918" s="12" t="inlineStr">
        <is>
          <t>H2 20: 13.8 kV e-house</t>
        </is>
      </c>
      <c r="G5918" s="12" t="inlineStr">
        <is>
          <t>JB-T-H2-AI01</t>
        </is>
      </c>
      <c r="H5918" s="12" t="inlineStr">
        <is>
          <t>H2 19: T-H2 230/13.8 kV (about 40 MVA)</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7" t="n">
        <v>35</v>
      </c>
      <c r="U5918" s="17" t="n">
        <v>32</v>
      </c>
      <c r="V5918" s="17">
        <f>ROUNDUP((T5918+U5918+2*'Read Me'!$B$13)*(1+'Read Me'!$B$12),-1)</f>
        <v/>
      </c>
      <c r="W5918" s="17">
        <f>V5918*N5918*O5918</f>
        <v/>
      </c>
      <c r="X5918" s="12">
        <f>IF(LEFT(I5918,2)="MV",2*N5918*IF(L5918="1/C",O5918,1),0)</f>
        <v/>
      </c>
      <c r="Y5918" s="12">
        <f>IF(OR(LEFT(K5918,4)="LVAX",LEFT(K5918,6)="MV15AX",LEFT(K5918,4)="CTAX",LEFT(K5918,2)="W|"),2*N5918*O5918,0)</f>
        <v/>
      </c>
      <c r="Z5918" s="12" t="inlineStr"/>
      <c r="AA5918" s="12">
        <f>N5918*O5918</f>
        <v/>
      </c>
    </row>
    <row r="5919">
      <c r="A5919" s="12" t="inlineStr">
        <is>
          <t>K-I-0003</t>
        </is>
      </c>
      <c r="B5919" s="12" t="inlineStr">
        <is>
          <t>K</t>
        </is>
      </c>
      <c r="C5919" s="12" t="inlineStr">
        <is>
          <t>Fuel supply (adjacent market)</t>
        </is>
      </c>
      <c r="D5919" s="12" t="inlineStr">
        <is>
          <t>Discrete device to JB JB-T-H2-DI01: 12 x 1 pr (field cables)</t>
        </is>
      </c>
      <c r="E5919" s="12" t="inlineStr">
        <is>
          <t>T-H2</t>
        </is>
      </c>
      <c r="F5919" s="12" t="inlineStr">
        <is>
          <t>H2 19: T-H2 230/13.8 kV (about 40 MVA)</t>
        </is>
      </c>
      <c r="G5919" s="12" t="inlineStr">
        <is>
          <t>JB-T-H2-DI01</t>
        </is>
      </c>
      <c r="H5919" s="12" t="inlineStr">
        <is>
          <t>H2 19: T-H2 230/13.8 kV (about 40 MVA)</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7" t="n">
        <v>80</v>
      </c>
      <c r="U5919" s="17" t="n">
        <v>10</v>
      </c>
      <c r="V5919" s="17">
        <f>ROUNDUP((T5919+U5919+2*'Read Me'!$B$13)*(1+'Read Me'!$B$12),-1)</f>
        <v/>
      </c>
      <c r="W5919" s="17">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K-I-0004</t>
        </is>
      </c>
      <c r="B5920" s="12" t="inlineStr">
        <is>
          <t>K</t>
        </is>
      </c>
      <c r="C5920" s="12" t="inlineStr">
        <is>
          <t>Fuel supply (adjacent market)</t>
        </is>
      </c>
      <c r="D5920" s="12" t="inlineStr">
        <is>
          <t>Home run JB-T-H2-DI01 to the control / marshalling room</t>
        </is>
      </c>
      <c r="E5920" s="12" t="inlineStr"/>
      <c r="F5920" s="12" t="inlineStr">
        <is>
          <t>H2 20: 13.8 kV e-house</t>
        </is>
      </c>
      <c r="G5920" s="12" t="inlineStr">
        <is>
          <t>JB-T-H2-DI01</t>
        </is>
      </c>
      <c r="H5920" s="12" t="inlineStr">
        <is>
          <t>H2 19: T-H2 230/13.8 kV (about 40 MVA)</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7" t="n">
        <v>35</v>
      </c>
      <c r="U5920" s="17" t="n">
        <v>32</v>
      </c>
      <c r="V5920" s="17">
        <f>ROUNDUP((T5920+U5920+2*'Read Me'!$B$13)*(1+'Read Me'!$B$12),-1)</f>
        <v/>
      </c>
      <c r="W5920" s="17">
        <f>V5920*N5920*O5920</f>
        <v/>
      </c>
      <c r="X5920" s="12">
        <f>IF(LEFT(I5920,2)="MV",2*N5920*IF(L5920="1/C",O5920,1),0)</f>
        <v/>
      </c>
      <c r="Y5920" s="12">
        <f>IF(OR(LEFT(K5920,4)="LVAX",LEFT(K5920,6)="MV15AX",LEFT(K5920,4)="CTAX",LEFT(K5920,2)="W|"),2*N5920*O5920,0)</f>
        <v/>
      </c>
      <c r="Z5920" s="12" t="inlineStr"/>
      <c r="AA5920" s="12">
        <f>N5920*O5920</f>
        <v/>
      </c>
    </row>
    <row r="5921">
      <c r="A5921" s="12" t="inlineStr">
        <is>
          <t>K-I-0005</t>
        </is>
      </c>
      <c r="B5921" s="12" t="inlineStr">
        <is>
          <t>K</t>
        </is>
      </c>
      <c r="C5921" s="12" t="inlineStr">
        <is>
          <t>Fuel supply (adjacent market)</t>
        </is>
      </c>
      <c r="D5921" s="12" t="inlineStr">
        <is>
          <t>Analog instrument to JB JB-H2 20: 13.8 kV e-h-AI01: 12 x 1 pr (field cables)</t>
        </is>
      </c>
      <c r="E5921" s="12" t="inlineStr"/>
      <c r="F5921" s="12" t="inlineStr">
        <is>
          <t>H2 20: 13.8 kV e-house</t>
        </is>
      </c>
      <c r="G5921" s="12" t="inlineStr">
        <is>
          <t>JB-H2 20: 13.8 kV e-h-AI01</t>
        </is>
      </c>
      <c r="H5921" s="12" t="inlineStr">
        <is>
          <t>H2 20: 13.8 kV e-house</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7" t="n">
        <v>69</v>
      </c>
      <c r="U5921" s="17" t="n">
        <v>10</v>
      </c>
      <c r="V5921" s="17">
        <f>ROUNDUP((T5921+U5921+2*'Read Me'!$B$13)*(1+'Read Me'!$B$12),-1)</f>
        <v/>
      </c>
      <c r="W5921" s="17">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K-I-0006</t>
        </is>
      </c>
      <c r="B5922" s="12" t="inlineStr">
        <is>
          <t>K</t>
        </is>
      </c>
      <c r="C5922" s="12" t="inlineStr">
        <is>
          <t>Fuel supply (adjacent market)</t>
        </is>
      </c>
      <c r="D5922" s="12" t="inlineStr">
        <is>
          <t>Home run JB-H2 20: 13.8 kV e-h-AI01 to the control / marshalling room</t>
        </is>
      </c>
      <c r="E5922" s="12" t="inlineStr"/>
      <c r="F5922" s="12" t="inlineStr">
        <is>
          <t>H2 20: 13.8 kV e-house</t>
        </is>
      </c>
      <c r="G5922" s="12" t="inlineStr">
        <is>
          <t>JB-H2 20: 13.8 kV e-h-AI01</t>
        </is>
      </c>
      <c r="H5922" s="12" t="inlineStr">
        <is>
          <t>H2 20: 13.8 kV e-house</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Tray</t>
        </is>
      </c>
      <c r="T5922" s="17" t="n">
        <v>0</v>
      </c>
      <c r="U5922" s="17" t="n">
        <v>32</v>
      </c>
      <c r="V5922" s="17">
        <f>ROUNDUP((T5922+U5922+2*'Read Me'!$B$13)*(1+'Read Me'!$B$12),-1)</f>
        <v/>
      </c>
      <c r="W5922" s="17">
        <f>V5922*N5922*O5922</f>
        <v/>
      </c>
      <c r="X5922" s="12">
        <f>IF(LEFT(I5922,2)="MV",2*N5922*IF(L5922="1/C",O5922,1),0)</f>
        <v/>
      </c>
      <c r="Y5922" s="12">
        <f>IF(OR(LEFT(K5922,4)="LVAX",LEFT(K5922,6)="MV15AX",LEFT(K5922,4)="CTAX",LEFT(K5922,2)="W|"),2*N5922*O5922,0)</f>
        <v/>
      </c>
      <c r="Z5922" s="12" t="inlineStr"/>
      <c r="AA5922" s="12">
        <f>N5922*O5922</f>
        <v/>
      </c>
    </row>
    <row r="5923">
      <c r="A5923" s="12" t="inlineStr">
        <is>
          <t>K-I-0007</t>
        </is>
      </c>
      <c r="B5923" s="12" t="inlineStr">
        <is>
          <t>K</t>
        </is>
      </c>
      <c r="C5923" s="12" t="inlineStr">
        <is>
          <t>Fuel supply (adjacent market)</t>
        </is>
      </c>
      <c r="D5923" s="12" t="inlineStr">
        <is>
          <t>Discrete device to JB JB-H2 20: 13.8 kV e-h-DI01: 12 x 1 pr (field cables)</t>
        </is>
      </c>
      <c r="E5923" s="12" t="inlineStr"/>
      <c r="F5923" s="12" t="inlineStr">
        <is>
          <t>H2 20: 13.8 kV e-house</t>
        </is>
      </c>
      <c r="G5923" s="12" t="inlineStr">
        <is>
          <t>JB-H2 20: 13.8 kV e-h-DI01</t>
        </is>
      </c>
      <c r="H5923" s="12" t="inlineStr">
        <is>
          <t>H2 20: 13.8 kV e-house</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7" t="n">
        <v>69</v>
      </c>
      <c r="U5923" s="17" t="n">
        <v>10</v>
      </c>
      <c r="V5923" s="17">
        <f>ROUNDUP((T5923+U5923+2*'Read Me'!$B$13)*(1+'Read Me'!$B$12),-1)</f>
        <v/>
      </c>
      <c r="W5923" s="17">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K-I-0008</t>
        </is>
      </c>
      <c r="B5924" s="12" t="inlineStr">
        <is>
          <t>K</t>
        </is>
      </c>
      <c r="C5924" s="12" t="inlineStr">
        <is>
          <t>Fuel supply (adjacent market)</t>
        </is>
      </c>
      <c r="D5924" s="12" t="inlineStr">
        <is>
          <t>Home run JB-H2 20: 13.8 kV e-h-DI01 to the control / marshalling room</t>
        </is>
      </c>
      <c r="E5924" s="12" t="inlineStr"/>
      <c r="F5924" s="12" t="inlineStr">
        <is>
          <t>H2 20: 13.8 kV e-house</t>
        </is>
      </c>
      <c r="G5924" s="12" t="inlineStr">
        <is>
          <t>JB-H2 20: 13.8 kV e-h-DI01</t>
        </is>
      </c>
      <c r="H5924" s="12" t="inlineStr">
        <is>
          <t>H2 20: 13.8 kV e-house</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Tray</t>
        </is>
      </c>
      <c r="T5924" s="17" t="n">
        <v>0</v>
      </c>
      <c r="U5924" s="17" t="n">
        <v>32</v>
      </c>
      <c r="V5924" s="17">
        <f>ROUNDUP((T5924+U5924+2*'Read Me'!$B$13)*(1+'Read Me'!$B$12),-1)</f>
        <v/>
      </c>
      <c r="W5924" s="17">
        <f>V5924*N5924*O5924</f>
        <v/>
      </c>
      <c r="X5924" s="12">
        <f>IF(LEFT(I5924,2)="MV",2*N5924*IF(L5924="1/C",O5924,1),0)</f>
        <v/>
      </c>
      <c r="Y5924" s="12">
        <f>IF(OR(LEFT(K5924,4)="LVAX",LEFT(K5924,6)="MV15AX",LEFT(K5924,4)="CTAX",LEFT(K5924,2)="W|"),2*N5924*O5924,0)</f>
        <v/>
      </c>
      <c r="Z5924" s="12" t="inlineStr"/>
      <c r="AA5924" s="12">
        <f>N5924*O5924</f>
        <v/>
      </c>
    </row>
    <row r="5925">
      <c r="A5925" s="12" t="inlineStr">
        <is>
          <t>K-I-0009</t>
        </is>
      </c>
      <c r="B5925" s="12" t="inlineStr">
        <is>
          <t>K</t>
        </is>
      </c>
      <c r="C5925" s="12" t="inlineStr">
        <is>
          <t>Fuel supply (adjacent market)</t>
        </is>
      </c>
      <c r="D5925" s="12" t="inlineStr">
        <is>
          <t>Analog instrument to JB JB-H2 21: rectifier t-AI01: 12 x 1 pr (field cables)</t>
        </is>
      </c>
      <c r="E5925" s="12" t="inlineStr"/>
      <c r="F5925" s="12" t="inlineStr">
        <is>
          <t>H2 21: rectifier transformer 1 (7 MVA)</t>
        </is>
      </c>
      <c r="G5925" s="12" t="inlineStr">
        <is>
          <t>JB-H2 21: rectifier t-AI01</t>
        </is>
      </c>
      <c r="H5925" s="12" t="inlineStr">
        <is>
          <t>H2 21: rectifier transformer 1 (7 MVA)</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7" t="n">
        <v>41</v>
      </c>
      <c r="U5925" s="17" t="n">
        <v>10</v>
      </c>
      <c r="V5925" s="17">
        <f>ROUNDUP((T5925+U5925+2*'Read Me'!$B$13)*(1+'Read Me'!$B$12),-1)</f>
        <v/>
      </c>
      <c r="W5925" s="17">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K-I-0010</t>
        </is>
      </c>
      <c r="B5926" s="12" t="inlineStr">
        <is>
          <t>K</t>
        </is>
      </c>
      <c r="C5926" s="12" t="inlineStr">
        <is>
          <t>Fuel supply (adjacent market)</t>
        </is>
      </c>
      <c r="D5926" s="12" t="inlineStr">
        <is>
          <t>Home run JB-H2 21: rectifier t-AI01 to the control / marshalling room</t>
        </is>
      </c>
      <c r="E5926" s="12" t="inlineStr"/>
      <c r="F5926" s="12" t="inlineStr">
        <is>
          <t>H2 20: 13.8 kV e-house</t>
        </is>
      </c>
      <c r="G5926" s="12" t="inlineStr">
        <is>
          <t>JB-H2 21: rectifier t-AI01</t>
        </is>
      </c>
      <c r="H5926" s="12" t="inlineStr">
        <is>
          <t>H2 21: rectifier transformer 1 (7 MVA)</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7" t="n">
        <v>356</v>
      </c>
      <c r="U5926" s="17" t="n">
        <v>48</v>
      </c>
      <c r="V5926" s="17">
        <f>ROUNDUP((T5926+U5926+2*'Read Me'!$B$13)*(1+'Read Me'!$B$12),-1)</f>
        <v/>
      </c>
      <c r="W5926" s="17">
        <f>V5926*N5926*O5926</f>
        <v/>
      </c>
      <c r="X5926" s="12">
        <f>IF(LEFT(I5926,2)="MV",2*N5926*IF(L5926="1/C",O5926,1),0)</f>
        <v/>
      </c>
      <c r="Y5926" s="12">
        <f>IF(OR(LEFT(K5926,4)="LVAX",LEFT(K5926,6)="MV15AX",LEFT(K5926,4)="CTAX",LEFT(K5926,2)="W|"),2*N5926*O5926,0)</f>
        <v/>
      </c>
      <c r="Z5926" s="12" t="inlineStr"/>
      <c r="AA5926" s="12">
        <f>N5926*O5926</f>
        <v/>
      </c>
    </row>
    <row r="5927">
      <c r="A5927" s="12" t="inlineStr">
        <is>
          <t>K-I-0011</t>
        </is>
      </c>
      <c r="B5927" s="12" t="inlineStr">
        <is>
          <t>K</t>
        </is>
      </c>
      <c r="C5927" s="12" t="inlineStr">
        <is>
          <t>Fuel supply (adjacent market)</t>
        </is>
      </c>
      <c r="D5927" s="12" t="inlineStr">
        <is>
          <t>Discrete device to JB JB-H2 21: rectifier t-DI01: 12 x 1 pr (field cables)</t>
        </is>
      </c>
      <c r="E5927" s="12" t="inlineStr"/>
      <c r="F5927" s="12" t="inlineStr">
        <is>
          <t>H2 21: rectifier transformer 1 (7 MVA)</t>
        </is>
      </c>
      <c r="G5927" s="12" t="inlineStr">
        <is>
          <t>JB-H2 21: rectifier t-DI01</t>
        </is>
      </c>
      <c r="H5927" s="12" t="inlineStr">
        <is>
          <t>H2 21: rectifier transformer 1 (7 MVA)</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7" t="n">
        <v>41</v>
      </c>
      <c r="U5927" s="17" t="n">
        <v>10</v>
      </c>
      <c r="V5927" s="17">
        <f>ROUNDUP((T5927+U5927+2*'Read Me'!$B$13)*(1+'Read Me'!$B$12),-1)</f>
        <v/>
      </c>
      <c r="W5927" s="17">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K-I-0012</t>
        </is>
      </c>
      <c r="B5928" s="12" t="inlineStr">
        <is>
          <t>K</t>
        </is>
      </c>
      <c r="C5928" s="12" t="inlineStr">
        <is>
          <t>Fuel supply (adjacent market)</t>
        </is>
      </c>
      <c r="D5928" s="12" t="inlineStr">
        <is>
          <t>Home run JB-H2 21: rectifier t-DI01 to the control / marshalling room</t>
        </is>
      </c>
      <c r="E5928" s="12" t="inlineStr"/>
      <c r="F5928" s="12" t="inlineStr">
        <is>
          <t>H2 20: 13.8 kV e-house</t>
        </is>
      </c>
      <c r="G5928" s="12" t="inlineStr">
        <is>
          <t>JB-H2 21: rectifier t-DI01</t>
        </is>
      </c>
      <c r="H5928" s="12" t="inlineStr">
        <is>
          <t>H2 21: rectifier transformer 1 (7 MVA)</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7" t="n">
        <v>356</v>
      </c>
      <c r="U5928" s="17" t="n">
        <v>48</v>
      </c>
      <c r="V5928" s="17">
        <f>ROUNDUP((T5928+U5928+2*'Read Me'!$B$13)*(1+'Read Me'!$B$12),-1)</f>
        <v/>
      </c>
      <c r="W5928" s="17">
        <f>V5928*N5928*O5928</f>
        <v/>
      </c>
      <c r="X5928" s="12">
        <f>IF(LEFT(I5928,2)="MV",2*N5928*IF(L5928="1/C",O5928,1),0)</f>
        <v/>
      </c>
      <c r="Y5928" s="12">
        <f>IF(OR(LEFT(K5928,4)="LVAX",LEFT(K5928,6)="MV15AX",LEFT(K5928,4)="CTAX",LEFT(K5928,2)="W|"),2*N5928*O5928,0)</f>
        <v/>
      </c>
      <c r="Z5928" s="12" t="inlineStr"/>
      <c r="AA5928" s="12">
        <f>N5928*O5928</f>
        <v/>
      </c>
    </row>
    <row r="5929">
      <c r="A5929" s="12" t="inlineStr">
        <is>
          <t>K-I-0013</t>
        </is>
      </c>
      <c r="B5929" s="12" t="inlineStr">
        <is>
          <t>K</t>
        </is>
      </c>
      <c r="C5929" s="12" t="inlineStr">
        <is>
          <t>Fuel supply (adjacent market)</t>
        </is>
      </c>
      <c r="D5929" s="12" t="inlineStr">
        <is>
          <t>Analog instrument to JB JB-H2 21: rectifier t-AI01: 12 x 1 pr (field cables)</t>
        </is>
      </c>
      <c r="E5929" s="12" t="inlineStr"/>
      <c r="F5929" s="12" t="inlineStr">
        <is>
          <t>H2 21: rectifier transformer 2 (7 MVA)</t>
        </is>
      </c>
      <c r="G5929" s="12" t="inlineStr">
        <is>
          <t>JB-H2 21: rectifier t-AI01</t>
        </is>
      </c>
      <c r="H5929" s="12" t="inlineStr">
        <is>
          <t>H2 21: rectifier transformer 2 (7 MVA)</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7" t="n">
        <v>41</v>
      </c>
      <c r="U5929" s="17" t="n">
        <v>10</v>
      </c>
      <c r="V5929" s="17">
        <f>ROUNDUP((T5929+U5929+2*'Read Me'!$B$13)*(1+'Read Me'!$B$12),-1)</f>
        <v/>
      </c>
      <c r="W5929" s="17">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K-I-0014</t>
        </is>
      </c>
      <c r="B5930" s="12" t="inlineStr">
        <is>
          <t>K</t>
        </is>
      </c>
      <c r="C5930" s="12" t="inlineStr">
        <is>
          <t>Fuel supply (adjacent market)</t>
        </is>
      </c>
      <c r="D5930" s="12" t="inlineStr">
        <is>
          <t>Home run JB-H2 21: rectifier t-AI01 to the control / marshalling room</t>
        </is>
      </c>
      <c r="E5930" s="12" t="inlineStr"/>
      <c r="F5930" s="12" t="inlineStr">
        <is>
          <t>H2 20: 13.8 kV e-house</t>
        </is>
      </c>
      <c r="G5930" s="12" t="inlineStr">
        <is>
          <t>JB-H2 21: rectifier t-AI01</t>
        </is>
      </c>
      <c r="H5930" s="12" t="inlineStr">
        <is>
          <t>H2 21: rectifier transformer 2 (7 MVA)</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7" t="n">
        <v>356</v>
      </c>
      <c r="U5930" s="17" t="n">
        <v>32</v>
      </c>
      <c r="V5930" s="17">
        <f>ROUNDUP((T5930+U5930+2*'Read Me'!$B$13)*(1+'Read Me'!$B$12),-1)</f>
        <v/>
      </c>
      <c r="W5930" s="17">
        <f>V5930*N5930*O5930</f>
        <v/>
      </c>
      <c r="X5930" s="12">
        <f>IF(LEFT(I5930,2)="MV",2*N5930*IF(L5930="1/C",O5930,1),0)</f>
        <v/>
      </c>
      <c r="Y5930" s="12">
        <f>IF(OR(LEFT(K5930,4)="LVAX",LEFT(K5930,6)="MV15AX",LEFT(K5930,4)="CTAX",LEFT(K5930,2)="W|"),2*N5930*O5930,0)</f>
        <v/>
      </c>
      <c r="Z5930" s="12" t="inlineStr"/>
      <c r="AA5930" s="12">
        <f>N5930*O5930</f>
        <v/>
      </c>
    </row>
    <row r="5931">
      <c r="A5931" s="12" t="inlineStr">
        <is>
          <t>K-I-0015</t>
        </is>
      </c>
      <c r="B5931" s="12" t="inlineStr">
        <is>
          <t>K</t>
        </is>
      </c>
      <c r="C5931" s="12" t="inlineStr">
        <is>
          <t>Fuel supply (adjacent market)</t>
        </is>
      </c>
      <c r="D5931" s="12" t="inlineStr">
        <is>
          <t>Discrete device to JB JB-H2 21: rectifier t-DI01: 12 x 1 pr (field cables)</t>
        </is>
      </c>
      <c r="E5931" s="12" t="inlineStr"/>
      <c r="F5931" s="12" t="inlineStr">
        <is>
          <t>H2 21: rectifier transformer 2 (7 MVA)</t>
        </is>
      </c>
      <c r="G5931" s="12" t="inlineStr">
        <is>
          <t>JB-H2 21: rectifier t-DI01</t>
        </is>
      </c>
      <c r="H5931" s="12" t="inlineStr">
        <is>
          <t>H2 21: rectifier transformer 2 (7 MVA)</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7" t="n">
        <v>41</v>
      </c>
      <c r="U5931" s="17" t="n">
        <v>10</v>
      </c>
      <c r="V5931" s="17">
        <f>ROUNDUP((T5931+U5931+2*'Read Me'!$B$13)*(1+'Read Me'!$B$12),-1)</f>
        <v/>
      </c>
      <c r="W5931" s="17">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K-I-0016</t>
        </is>
      </c>
      <c r="B5932" s="12" t="inlineStr">
        <is>
          <t>K</t>
        </is>
      </c>
      <c r="C5932" s="12" t="inlineStr">
        <is>
          <t>Fuel supply (adjacent market)</t>
        </is>
      </c>
      <c r="D5932" s="12" t="inlineStr">
        <is>
          <t>Home run JB-H2 21: rectifier t-DI01 to the control / marshalling room</t>
        </is>
      </c>
      <c r="E5932" s="12" t="inlineStr"/>
      <c r="F5932" s="12" t="inlineStr">
        <is>
          <t>H2 20: 13.8 kV e-house</t>
        </is>
      </c>
      <c r="G5932" s="12" t="inlineStr">
        <is>
          <t>JB-H2 21: rectifier t-DI01</t>
        </is>
      </c>
      <c r="H5932" s="12" t="inlineStr">
        <is>
          <t>H2 21: rectifier transformer 2 (7 MVA)</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7" t="n">
        <v>356</v>
      </c>
      <c r="U5932" s="17" t="n">
        <v>32</v>
      </c>
      <c r="V5932" s="17">
        <f>ROUNDUP((T5932+U5932+2*'Read Me'!$B$13)*(1+'Read Me'!$B$12),-1)</f>
        <v/>
      </c>
      <c r="W5932" s="17">
        <f>V5932*N5932*O5932</f>
        <v/>
      </c>
      <c r="X5932" s="12">
        <f>IF(LEFT(I5932,2)="MV",2*N5932*IF(L5932="1/C",O5932,1),0)</f>
        <v/>
      </c>
      <c r="Y5932" s="12">
        <f>IF(OR(LEFT(K5932,4)="LVAX",LEFT(K5932,6)="MV15AX",LEFT(K5932,4)="CTAX",LEFT(K5932,2)="W|"),2*N5932*O5932,0)</f>
        <v/>
      </c>
      <c r="Z5932" s="12" t="inlineStr"/>
      <c r="AA5932" s="12">
        <f>N5932*O5932</f>
        <v/>
      </c>
    </row>
    <row r="5933">
      <c r="A5933" s="12" t="inlineStr">
        <is>
          <t>K-I-0017</t>
        </is>
      </c>
      <c r="B5933" s="12" t="inlineStr">
        <is>
          <t>K</t>
        </is>
      </c>
      <c r="C5933" s="12" t="inlineStr">
        <is>
          <t>Fuel supply (adjacent market)</t>
        </is>
      </c>
      <c r="D5933" s="12" t="inlineStr">
        <is>
          <t>Analog instrument to JB JB-H2 21: rectifier t-AI01: 12 x 1 pr (field cables)</t>
        </is>
      </c>
      <c r="E5933" s="12" t="inlineStr"/>
      <c r="F5933" s="12" t="inlineStr">
        <is>
          <t>H2 21: rectifier transformer 3 (7 MVA)</t>
        </is>
      </c>
      <c r="G5933" s="12" t="inlineStr">
        <is>
          <t>JB-H2 21: rectifier t-AI01</t>
        </is>
      </c>
      <c r="H5933" s="12" t="inlineStr">
        <is>
          <t>H2 21: rectifier transformer 3 (7 MVA)</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7" t="n">
        <v>41</v>
      </c>
      <c r="U5933" s="17" t="n">
        <v>10</v>
      </c>
      <c r="V5933" s="17">
        <f>ROUNDUP((T5933+U5933+2*'Read Me'!$B$13)*(1+'Read Me'!$B$12),-1)</f>
        <v/>
      </c>
      <c r="W5933" s="17">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K-I-0018</t>
        </is>
      </c>
      <c r="B5934" s="12" t="inlineStr">
        <is>
          <t>K</t>
        </is>
      </c>
      <c r="C5934" s="12" t="inlineStr">
        <is>
          <t>Fuel supply (adjacent market)</t>
        </is>
      </c>
      <c r="D5934" s="12" t="inlineStr">
        <is>
          <t>Home run JB-H2 21: rectifier t-AI01 to the control / marshalling room</t>
        </is>
      </c>
      <c r="E5934" s="12" t="inlineStr"/>
      <c r="F5934" s="12" t="inlineStr">
        <is>
          <t>H2 20: 13.8 kV e-house</t>
        </is>
      </c>
      <c r="G5934" s="12" t="inlineStr">
        <is>
          <t>JB-H2 21: rectifier t-AI01</t>
        </is>
      </c>
      <c r="H5934" s="12" t="inlineStr">
        <is>
          <t>H2 21: rectifier transformer 3 (7 MVA)</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7" t="n">
        <v>334</v>
      </c>
      <c r="U5934" s="17" t="n">
        <v>32</v>
      </c>
      <c r="V5934" s="17">
        <f>ROUNDUP((T5934+U5934+2*'Read Me'!$B$13)*(1+'Read Me'!$B$12),-1)</f>
        <v/>
      </c>
      <c r="W5934" s="17">
        <f>V5934*N5934*O5934</f>
        <v/>
      </c>
      <c r="X5934" s="12">
        <f>IF(LEFT(I5934,2)="MV",2*N5934*IF(L5934="1/C",O5934,1),0)</f>
        <v/>
      </c>
      <c r="Y5934" s="12">
        <f>IF(OR(LEFT(K5934,4)="LVAX",LEFT(K5934,6)="MV15AX",LEFT(K5934,4)="CTAX",LEFT(K5934,2)="W|"),2*N5934*O5934,0)</f>
        <v/>
      </c>
      <c r="Z5934" s="12" t="inlineStr"/>
      <c r="AA5934" s="12">
        <f>N5934*O5934</f>
        <v/>
      </c>
    </row>
    <row r="5935">
      <c r="A5935" s="12" t="inlineStr">
        <is>
          <t>K-I-0019</t>
        </is>
      </c>
      <c r="B5935" s="12" t="inlineStr">
        <is>
          <t>K</t>
        </is>
      </c>
      <c r="C5935" s="12" t="inlineStr">
        <is>
          <t>Fuel supply (adjacent market)</t>
        </is>
      </c>
      <c r="D5935" s="12" t="inlineStr">
        <is>
          <t>Discrete device to JB JB-H2 21: rectifier t-DI01: 12 x 1 pr (field cables)</t>
        </is>
      </c>
      <c r="E5935" s="12" t="inlineStr"/>
      <c r="F5935" s="12" t="inlineStr">
        <is>
          <t>H2 21: rectifier transformer 3 (7 MVA)</t>
        </is>
      </c>
      <c r="G5935" s="12" t="inlineStr">
        <is>
          <t>JB-H2 21: rectifier t-DI01</t>
        </is>
      </c>
      <c r="H5935" s="12" t="inlineStr">
        <is>
          <t>H2 21: rectifier transformer 3 (7 MVA)</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7" t="n">
        <v>41</v>
      </c>
      <c r="U5935" s="17" t="n">
        <v>10</v>
      </c>
      <c r="V5935" s="17">
        <f>ROUNDUP((T5935+U5935+2*'Read Me'!$B$13)*(1+'Read Me'!$B$12),-1)</f>
        <v/>
      </c>
      <c r="W5935" s="17">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K-I-0020</t>
        </is>
      </c>
      <c r="B5936" s="12" t="inlineStr">
        <is>
          <t>K</t>
        </is>
      </c>
      <c r="C5936" s="12" t="inlineStr">
        <is>
          <t>Fuel supply (adjacent market)</t>
        </is>
      </c>
      <c r="D5936" s="12" t="inlineStr">
        <is>
          <t>Home run JB-H2 21: rectifier t-DI01 to the control / marshalling room</t>
        </is>
      </c>
      <c r="E5936" s="12" t="inlineStr"/>
      <c r="F5936" s="12" t="inlineStr">
        <is>
          <t>H2 20: 13.8 kV e-house</t>
        </is>
      </c>
      <c r="G5936" s="12" t="inlineStr">
        <is>
          <t>JB-H2 21: rectifier t-DI01</t>
        </is>
      </c>
      <c r="H5936" s="12" t="inlineStr">
        <is>
          <t>H2 21: rectifier transformer 3 (7 MVA)</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7" t="n">
        <v>334</v>
      </c>
      <c r="U5936" s="17" t="n">
        <v>32</v>
      </c>
      <c r="V5936" s="17">
        <f>ROUNDUP((T5936+U5936+2*'Read Me'!$B$13)*(1+'Read Me'!$B$12),-1)</f>
        <v/>
      </c>
      <c r="W5936" s="17">
        <f>V5936*N5936*O5936</f>
        <v/>
      </c>
      <c r="X5936" s="12">
        <f>IF(LEFT(I5936,2)="MV",2*N5936*IF(L5936="1/C",O5936,1),0)</f>
        <v/>
      </c>
      <c r="Y5936" s="12">
        <f>IF(OR(LEFT(K5936,4)="LVAX",LEFT(K5936,6)="MV15AX",LEFT(K5936,4)="CTAX",LEFT(K5936,2)="W|"),2*N5936*O5936,0)</f>
        <v/>
      </c>
      <c r="Z5936" s="12" t="inlineStr"/>
      <c r="AA5936" s="12">
        <f>N5936*O5936</f>
        <v/>
      </c>
    </row>
    <row r="5937">
      <c r="A5937" s="12" t="inlineStr">
        <is>
          <t>K-I-0021</t>
        </is>
      </c>
      <c r="B5937" s="12" t="inlineStr">
        <is>
          <t>K</t>
        </is>
      </c>
      <c r="C5937" s="12" t="inlineStr">
        <is>
          <t>Fuel supply (adjacent market)</t>
        </is>
      </c>
      <c r="D5937" s="12" t="inlineStr">
        <is>
          <t>Analog instrument to JB JB-H2 21: rectifier t-AI01: 12 x 1 pr (field cables)</t>
        </is>
      </c>
      <c r="E5937" s="12" t="inlineStr"/>
      <c r="F5937" s="12" t="inlineStr">
        <is>
          <t>H2 21: rectifier transformer 4 (7 MVA)</t>
        </is>
      </c>
      <c r="G5937" s="12" t="inlineStr">
        <is>
          <t>JB-H2 21: rectifier t-AI01</t>
        </is>
      </c>
      <c r="H5937" s="12" t="inlineStr">
        <is>
          <t>H2 21: rectifier transformer 4 (7 MVA)</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7" t="n">
        <v>41</v>
      </c>
      <c r="U5937" s="17" t="n">
        <v>10</v>
      </c>
      <c r="V5937" s="17">
        <f>ROUNDUP((T5937+U5937+2*'Read Me'!$B$13)*(1+'Read Me'!$B$12),-1)</f>
        <v/>
      </c>
      <c r="W5937" s="17">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K-I-0022</t>
        </is>
      </c>
      <c r="B5938" s="12" t="inlineStr">
        <is>
          <t>K</t>
        </is>
      </c>
      <c r="C5938" s="12" t="inlineStr">
        <is>
          <t>Fuel supply (adjacent market)</t>
        </is>
      </c>
      <c r="D5938" s="12" t="inlineStr">
        <is>
          <t>Home run JB-H2 21: rectifier t-AI01 to the control / marshalling room</t>
        </is>
      </c>
      <c r="E5938" s="12" t="inlineStr"/>
      <c r="F5938" s="12" t="inlineStr">
        <is>
          <t>H2 20: 13.8 kV e-house</t>
        </is>
      </c>
      <c r="G5938" s="12" t="inlineStr">
        <is>
          <t>JB-H2 21: rectifier t-AI01</t>
        </is>
      </c>
      <c r="H5938" s="12" t="inlineStr">
        <is>
          <t>H2 21: rectifier transformer 4 (7 MVA)</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7" t="n">
        <v>312</v>
      </c>
      <c r="U5938" s="17" t="n">
        <v>32</v>
      </c>
      <c r="V5938" s="17">
        <f>ROUNDUP((T5938+U5938+2*'Read Me'!$B$13)*(1+'Read Me'!$B$12),-1)</f>
        <v/>
      </c>
      <c r="W5938" s="17">
        <f>V5938*N5938*O5938</f>
        <v/>
      </c>
      <c r="X5938" s="12">
        <f>IF(LEFT(I5938,2)="MV",2*N5938*IF(L5938="1/C",O5938,1),0)</f>
        <v/>
      </c>
      <c r="Y5938" s="12">
        <f>IF(OR(LEFT(K5938,4)="LVAX",LEFT(K5938,6)="MV15AX",LEFT(K5938,4)="CTAX",LEFT(K5938,2)="W|"),2*N5938*O5938,0)</f>
        <v/>
      </c>
      <c r="Z5938" s="12" t="inlineStr"/>
      <c r="AA5938" s="12">
        <f>N5938*O5938</f>
        <v/>
      </c>
    </row>
    <row r="5939">
      <c r="A5939" s="12" t="inlineStr">
        <is>
          <t>K-I-0023</t>
        </is>
      </c>
      <c r="B5939" s="12" t="inlineStr">
        <is>
          <t>K</t>
        </is>
      </c>
      <c r="C5939" s="12" t="inlineStr">
        <is>
          <t>Fuel supply (adjacent market)</t>
        </is>
      </c>
      <c r="D5939" s="12" t="inlineStr">
        <is>
          <t>Discrete device to JB JB-H2 21: rectifier t-DI01: 12 x 1 pr (field cables)</t>
        </is>
      </c>
      <c r="E5939" s="12" t="inlineStr"/>
      <c r="F5939" s="12" t="inlineStr">
        <is>
          <t>H2 21: rectifier transformer 4 (7 MVA)</t>
        </is>
      </c>
      <c r="G5939" s="12" t="inlineStr">
        <is>
          <t>JB-H2 21: rectifier t-DI01</t>
        </is>
      </c>
      <c r="H5939" s="12" t="inlineStr">
        <is>
          <t>H2 21: rectifier transformer 4 (7 MVA)</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7" t="n">
        <v>41</v>
      </c>
      <c r="U5939" s="17" t="n">
        <v>10</v>
      </c>
      <c r="V5939" s="17">
        <f>ROUNDUP((T5939+U5939+2*'Read Me'!$B$13)*(1+'Read Me'!$B$12),-1)</f>
        <v/>
      </c>
      <c r="W5939" s="17">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K-I-0024</t>
        </is>
      </c>
      <c r="B5940" s="12" t="inlineStr">
        <is>
          <t>K</t>
        </is>
      </c>
      <c r="C5940" s="12" t="inlineStr">
        <is>
          <t>Fuel supply (adjacent market)</t>
        </is>
      </c>
      <c r="D5940" s="12" t="inlineStr">
        <is>
          <t>Home run JB-H2 21: rectifier t-DI01 to the control / marshalling room</t>
        </is>
      </c>
      <c r="E5940" s="12" t="inlineStr"/>
      <c r="F5940" s="12" t="inlineStr">
        <is>
          <t>H2 20: 13.8 kV e-house</t>
        </is>
      </c>
      <c r="G5940" s="12" t="inlineStr">
        <is>
          <t>JB-H2 21: rectifier t-DI01</t>
        </is>
      </c>
      <c r="H5940" s="12" t="inlineStr">
        <is>
          <t>H2 21: rectifier transformer 4 (7 MVA)</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7" t="n">
        <v>312</v>
      </c>
      <c r="U5940" s="17" t="n">
        <v>32</v>
      </c>
      <c r="V5940" s="17">
        <f>ROUNDUP((T5940+U5940+2*'Read Me'!$B$13)*(1+'Read Me'!$B$12),-1)</f>
        <v/>
      </c>
      <c r="W5940" s="17">
        <f>V5940*N5940*O5940</f>
        <v/>
      </c>
      <c r="X5940" s="12">
        <f>IF(LEFT(I5940,2)="MV",2*N5940*IF(L5940="1/C",O5940,1),0)</f>
        <v/>
      </c>
      <c r="Y5940" s="12">
        <f>IF(OR(LEFT(K5940,4)="LVAX",LEFT(K5940,6)="MV15AX",LEFT(K5940,4)="CTAX",LEFT(K5940,2)="W|"),2*N5940*O5940,0)</f>
        <v/>
      </c>
      <c r="Z5940" s="12" t="inlineStr"/>
      <c r="AA5940" s="12">
        <f>N5940*O5940</f>
        <v/>
      </c>
    </row>
    <row r="5941">
      <c r="A5941" s="12" t="inlineStr">
        <is>
          <t>K-I-0025</t>
        </is>
      </c>
      <c r="B5941" s="12" t="inlineStr">
        <is>
          <t>K</t>
        </is>
      </c>
      <c r="C5941" s="12" t="inlineStr">
        <is>
          <t>Fuel supply (adjacent market)</t>
        </is>
      </c>
      <c r="D5941" s="12" t="inlineStr">
        <is>
          <t>Analog instrument to JB JB-H2 21: rectifier t-AI01: 12 x 1 pr (field cables)</t>
        </is>
      </c>
      <c r="E5941" s="12" t="inlineStr"/>
      <c r="F5941" s="12" t="inlineStr">
        <is>
          <t>H2 21: rectifier transformer 5 (7 MVA)</t>
        </is>
      </c>
      <c r="G5941" s="12" t="inlineStr">
        <is>
          <t>JB-H2 21: rectifier t-AI01</t>
        </is>
      </c>
      <c r="H5941" s="12" t="inlineStr">
        <is>
          <t>H2 21: rectifier transformer 5 (7 MVA)</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7" t="n">
        <v>41</v>
      </c>
      <c r="U5941" s="17" t="n">
        <v>10</v>
      </c>
      <c r="V5941" s="17">
        <f>ROUNDUP((T5941+U5941+2*'Read Me'!$B$13)*(1+'Read Me'!$B$12),-1)</f>
        <v/>
      </c>
      <c r="W5941" s="17">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K-I-0026</t>
        </is>
      </c>
      <c r="B5942" s="12" t="inlineStr">
        <is>
          <t>K</t>
        </is>
      </c>
      <c r="C5942" s="12" t="inlineStr">
        <is>
          <t>Fuel supply (adjacent market)</t>
        </is>
      </c>
      <c r="D5942" s="12" t="inlineStr">
        <is>
          <t>Home run JB-H2 21: rectifier t-AI01 to the control / marshalling room</t>
        </is>
      </c>
      <c r="E5942" s="12" t="inlineStr"/>
      <c r="F5942" s="12" t="inlineStr">
        <is>
          <t>H2 20: 13.8 kV e-house</t>
        </is>
      </c>
      <c r="G5942" s="12" t="inlineStr">
        <is>
          <t>JB-H2 21: rectifier t-AI01</t>
        </is>
      </c>
      <c r="H5942" s="12" t="inlineStr">
        <is>
          <t>H2 21: rectifier transformer 5 (7 MVA)</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7" t="n">
        <v>254</v>
      </c>
      <c r="U5942" s="17" t="n">
        <v>32</v>
      </c>
      <c r="V5942" s="17">
        <f>ROUNDUP((T5942+U5942+2*'Read Me'!$B$13)*(1+'Read Me'!$B$12),-1)</f>
        <v/>
      </c>
      <c r="W5942" s="17">
        <f>V5942*N5942*O5942</f>
        <v/>
      </c>
      <c r="X5942" s="12">
        <f>IF(LEFT(I5942,2)="MV",2*N5942*IF(L5942="1/C",O5942,1),0)</f>
        <v/>
      </c>
      <c r="Y5942" s="12">
        <f>IF(OR(LEFT(K5942,4)="LVAX",LEFT(K5942,6)="MV15AX",LEFT(K5942,4)="CTAX",LEFT(K5942,2)="W|"),2*N5942*O5942,0)</f>
        <v/>
      </c>
      <c r="Z5942" s="12" t="inlineStr"/>
      <c r="AA5942" s="12">
        <f>N5942*O5942</f>
        <v/>
      </c>
    </row>
    <row r="5943">
      <c r="A5943" s="12" t="inlineStr">
        <is>
          <t>K-I-0027</t>
        </is>
      </c>
      <c r="B5943" s="12" t="inlineStr">
        <is>
          <t>K</t>
        </is>
      </c>
      <c r="C5943" s="12" t="inlineStr">
        <is>
          <t>Fuel supply (adjacent market)</t>
        </is>
      </c>
      <c r="D5943" s="12" t="inlineStr">
        <is>
          <t>Discrete device to JB JB-H2 21: rectifier t-DI01: 12 x 1 pr (field cables)</t>
        </is>
      </c>
      <c r="E5943" s="12" t="inlineStr"/>
      <c r="F5943" s="12" t="inlineStr">
        <is>
          <t>H2 21: rectifier transformer 5 (7 MVA)</t>
        </is>
      </c>
      <c r="G5943" s="12" t="inlineStr">
        <is>
          <t>JB-H2 21: rectifier t-DI01</t>
        </is>
      </c>
      <c r="H5943" s="12" t="inlineStr">
        <is>
          <t>H2 21: rectifier transformer 5 (7 MVA)</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7" t="n">
        <v>41</v>
      </c>
      <c r="U5943" s="17" t="n">
        <v>10</v>
      </c>
      <c r="V5943" s="17">
        <f>ROUNDUP((T5943+U5943+2*'Read Me'!$B$13)*(1+'Read Me'!$B$12),-1)</f>
        <v/>
      </c>
      <c r="W5943" s="17">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K-I-0028</t>
        </is>
      </c>
      <c r="B5944" s="12" t="inlineStr">
        <is>
          <t>K</t>
        </is>
      </c>
      <c r="C5944" s="12" t="inlineStr">
        <is>
          <t>Fuel supply (adjacent market)</t>
        </is>
      </c>
      <c r="D5944" s="12" t="inlineStr">
        <is>
          <t>Home run JB-H2 21: rectifier t-DI01 to the control / marshalling room</t>
        </is>
      </c>
      <c r="E5944" s="12" t="inlineStr"/>
      <c r="F5944" s="12" t="inlineStr">
        <is>
          <t>H2 20: 13.8 kV e-house</t>
        </is>
      </c>
      <c r="G5944" s="12" t="inlineStr">
        <is>
          <t>JB-H2 21: rectifier t-DI01</t>
        </is>
      </c>
      <c r="H5944" s="12" t="inlineStr">
        <is>
          <t>H2 21: rectifier transformer 5 (7 MVA)</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7" t="n">
        <v>254</v>
      </c>
      <c r="U5944" s="17" t="n">
        <v>32</v>
      </c>
      <c r="V5944" s="17">
        <f>ROUNDUP((T5944+U5944+2*'Read Me'!$B$13)*(1+'Read Me'!$B$12),-1)</f>
        <v/>
      </c>
      <c r="W5944" s="17">
        <f>V5944*N5944*O5944</f>
        <v/>
      </c>
      <c r="X5944" s="12">
        <f>IF(LEFT(I5944,2)="MV",2*N5944*IF(L5944="1/C",O5944,1),0)</f>
        <v/>
      </c>
      <c r="Y5944" s="12">
        <f>IF(OR(LEFT(K5944,4)="LVAX",LEFT(K5944,6)="MV15AX",LEFT(K5944,4)="CTAX",LEFT(K5944,2)="W|"),2*N5944*O5944,0)</f>
        <v/>
      </c>
      <c r="Z5944" s="12" t="inlineStr"/>
      <c r="AA5944" s="12">
        <f>N5944*O5944</f>
        <v/>
      </c>
    </row>
    <row r="5945">
      <c r="A5945" s="12" t="inlineStr">
        <is>
          <t>K-I-0029</t>
        </is>
      </c>
      <c r="B5945" s="12" t="inlineStr">
        <is>
          <t>K</t>
        </is>
      </c>
      <c r="C5945" s="12" t="inlineStr">
        <is>
          <t>Fuel supply (adjacent market)</t>
        </is>
      </c>
      <c r="D5945" s="12" t="inlineStr">
        <is>
          <t>Analog instrument to JB JB-H2-EL-AI01: 12 x 1 pr (field cables)</t>
        </is>
      </c>
      <c r="E5945" s="12" t="inlineStr">
        <is>
          <t>H2-EL</t>
        </is>
      </c>
      <c r="F5945" s="12" t="inlineStr">
        <is>
          <t>H2 22: electrolyzer building (5 x HyLYZER-1000 + 5 rectifiers)</t>
        </is>
      </c>
      <c r="G5945" s="12" t="inlineStr">
        <is>
          <t>JB-H2-EL-AI01</t>
        </is>
      </c>
      <c r="H5945" s="12" t="inlineStr">
        <is>
          <t>H2 22: electrolyzer building (5 x HyLYZER-1000 + 5 rectifiers)</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7" t="n">
        <v>157</v>
      </c>
      <c r="U5945" s="17" t="n">
        <v>10</v>
      </c>
      <c r="V5945" s="17">
        <f>ROUNDUP((T5945+U5945+2*'Read Me'!$B$13)*(1+'Read Me'!$B$12),-1)</f>
        <v/>
      </c>
      <c r="W5945" s="17">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K-I-0030</t>
        </is>
      </c>
      <c r="B5946" s="12" t="inlineStr">
        <is>
          <t>K</t>
        </is>
      </c>
      <c r="C5946" s="12" t="inlineStr">
        <is>
          <t>Fuel supply (adjacent market)</t>
        </is>
      </c>
      <c r="D5946" s="12" t="inlineStr">
        <is>
          <t>Home run JB-H2-EL-AI01 to the control / marshalling room</t>
        </is>
      </c>
      <c r="E5946" s="12" t="inlineStr"/>
      <c r="F5946" s="12" t="inlineStr">
        <is>
          <t>H2 20: 13.8 kV e-house</t>
        </is>
      </c>
      <c r="G5946" s="12" t="inlineStr">
        <is>
          <t>JB-H2-EL-AI01</t>
        </is>
      </c>
      <c r="H5946" s="12" t="inlineStr">
        <is>
          <t>H2 22: electrolyzer building (5 x HyLYZER-1000 + 5 rectifiers)</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7" t="n">
        <v>346</v>
      </c>
      <c r="U5946" s="17" t="n">
        <v>32</v>
      </c>
      <c r="V5946" s="17">
        <f>ROUNDUP((T5946+U5946+2*'Read Me'!$B$13)*(1+'Read Me'!$B$12),-1)</f>
        <v/>
      </c>
      <c r="W5946" s="17">
        <f>V5946*N5946*O5946</f>
        <v/>
      </c>
      <c r="X5946" s="12">
        <f>IF(LEFT(I5946,2)="MV",2*N5946*IF(L5946="1/C",O5946,1),0)</f>
        <v/>
      </c>
      <c r="Y5946" s="12">
        <f>IF(OR(LEFT(K5946,4)="LVAX",LEFT(K5946,6)="MV15AX",LEFT(K5946,4)="CTAX",LEFT(K5946,2)="W|"),2*N5946*O5946,0)</f>
        <v/>
      </c>
      <c r="Z5946" s="12" t="inlineStr"/>
      <c r="AA5946" s="12">
        <f>N5946*O5946</f>
        <v/>
      </c>
    </row>
    <row r="5947">
      <c r="A5947" s="12" t="inlineStr">
        <is>
          <t>K-I-0031</t>
        </is>
      </c>
      <c r="B5947" s="12" t="inlineStr">
        <is>
          <t>K</t>
        </is>
      </c>
      <c r="C5947" s="12" t="inlineStr">
        <is>
          <t>Fuel supply (adjacent market)</t>
        </is>
      </c>
      <c r="D5947" s="12" t="inlineStr">
        <is>
          <t>Discrete device to JB JB-H2-EL-DI01: 12 x 1 pr (field cables)</t>
        </is>
      </c>
      <c r="E5947" s="12" t="inlineStr">
        <is>
          <t>H2-EL</t>
        </is>
      </c>
      <c r="F5947" s="12" t="inlineStr">
        <is>
          <t>H2 22: electrolyzer building (5 x HyLYZER-1000 + 5 rectifiers)</t>
        </is>
      </c>
      <c r="G5947" s="12" t="inlineStr">
        <is>
          <t>JB-H2-EL-DI01</t>
        </is>
      </c>
      <c r="H5947" s="12" t="inlineStr">
        <is>
          <t>H2 22: electrolyzer building (5 x HyLYZER-1000 + 5 rectifiers)</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7" t="n">
        <v>157</v>
      </c>
      <c r="U5947" s="17" t="n">
        <v>10</v>
      </c>
      <c r="V5947" s="17">
        <f>ROUNDUP((T5947+U5947+2*'Read Me'!$B$13)*(1+'Read Me'!$B$12),-1)</f>
        <v/>
      </c>
      <c r="W5947" s="17">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K-I-0032</t>
        </is>
      </c>
      <c r="B5948" s="12" t="inlineStr">
        <is>
          <t>K</t>
        </is>
      </c>
      <c r="C5948" s="12" t="inlineStr">
        <is>
          <t>Fuel supply (adjacent market)</t>
        </is>
      </c>
      <c r="D5948" s="12" t="inlineStr">
        <is>
          <t>Home run JB-H2-EL-DI01 to the control / marshalling room</t>
        </is>
      </c>
      <c r="E5948" s="12" t="inlineStr"/>
      <c r="F5948" s="12" t="inlineStr">
        <is>
          <t>H2 20: 13.8 kV e-house</t>
        </is>
      </c>
      <c r="G5948" s="12" t="inlineStr">
        <is>
          <t>JB-H2-EL-DI01</t>
        </is>
      </c>
      <c r="H5948" s="12" t="inlineStr">
        <is>
          <t>H2 22: electrolyzer building (5 x HyLYZER-1000 + 5 rectifiers)</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7" t="n">
        <v>346</v>
      </c>
      <c r="U5948" s="17" t="n">
        <v>32</v>
      </c>
      <c r="V5948" s="17">
        <f>ROUNDUP((T5948+U5948+2*'Read Me'!$B$13)*(1+'Read Me'!$B$12),-1)</f>
        <v/>
      </c>
      <c r="W5948" s="17">
        <f>V5948*N5948*O5948</f>
        <v/>
      </c>
      <c r="X5948" s="12">
        <f>IF(LEFT(I5948,2)="MV",2*N5948*IF(L5948="1/C",O5948,1),0)</f>
        <v/>
      </c>
      <c r="Y5948" s="12">
        <f>IF(OR(LEFT(K5948,4)="LVAX",LEFT(K5948,6)="MV15AX",LEFT(K5948,4)="CTAX",LEFT(K5948,2)="W|"),2*N5948*O5948,0)</f>
        <v/>
      </c>
      <c r="Z5948" s="12" t="inlineStr"/>
      <c r="AA5948" s="12">
        <f>N5948*O5948</f>
        <v/>
      </c>
    </row>
    <row r="5949">
      <c r="A5949" s="12" t="inlineStr">
        <is>
          <t>K-I-0033</t>
        </is>
      </c>
      <c r="B5949" s="12" t="inlineStr">
        <is>
          <t>K</t>
        </is>
      </c>
      <c r="C5949" s="12" t="inlineStr">
        <is>
          <t>Fuel supply (adjacent market)</t>
        </is>
      </c>
      <c r="D5949" s="12" t="inlineStr">
        <is>
          <t>Analog instrument to JB JB-H2 23: dry coolers-AI01: 12 x 1 pr (field cables)</t>
        </is>
      </c>
      <c r="E5949" s="12" t="inlineStr"/>
      <c r="F5949" s="12" t="inlineStr">
        <is>
          <t>H2 23: dry coolers</t>
        </is>
      </c>
      <c r="G5949" s="12" t="inlineStr">
        <is>
          <t>JB-H2 23: dry coolers-AI01</t>
        </is>
      </c>
      <c r="H5949" s="12" t="inlineStr">
        <is>
          <t>H2 23: dry coolers</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7" t="n">
        <v>111</v>
      </c>
      <c r="U5949" s="17" t="n">
        <v>10</v>
      </c>
      <c r="V5949" s="17">
        <f>ROUNDUP((T5949+U5949+2*'Read Me'!$B$13)*(1+'Read Me'!$B$12),-1)</f>
        <v/>
      </c>
      <c r="W5949" s="17">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K-I-0034</t>
        </is>
      </c>
      <c r="B5950" s="12" t="inlineStr">
        <is>
          <t>K</t>
        </is>
      </c>
      <c r="C5950" s="12" t="inlineStr">
        <is>
          <t>Fuel supply (adjacent market)</t>
        </is>
      </c>
      <c r="D5950" s="12" t="inlineStr">
        <is>
          <t>Home run JB-H2 23: dry coolers-AI01 to the control / marshalling room</t>
        </is>
      </c>
      <c r="E5950" s="12" t="inlineStr"/>
      <c r="F5950" s="12" t="inlineStr">
        <is>
          <t>H2 20: 13.8 kV e-house</t>
        </is>
      </c>
      <c r="G5950" s="12" t="inlineStr">
        <is>
          <t>JB-H2 23: dry coolers-AI01</t>
        </is>
      </c>
      <c r="H5950" s="12" t="inlineStr">
        <is>
          <t>H2 23: dry coolers</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7" t="n">
        <v>100</v>
      </c>
      <c r="U5950" s="17" t="n">
        <v>32</v>
      </c>
      <c r="V5950" s="17">
        <f>ROUNDUP((T5950+U5950+2*'Read Me'!$B$13)*(1+'Read Me'!$B$12),-1)</f>
        <v/>
      </c>
      <c r="W5950" s="17">
        <f>V5950*N5950*O5950</f>
        <v/>
      </c>
      <c r="X5950" s="12">
        <f>IF(LEFT(I5950,2)="MV",2*N5950*IF(L5950="1/C",O5950,1),0)</f>
        <v/>
      </c>
      <c r="Y5950" s="12">
        <f>IF(OR(LEFT(K5950,4)="LVAX",LEFT(K5950,6)="MV15AX",LEFT(K5950,4)="CTAX",LEFT(K5950,2)="W|"),2*N5950*O5950,0)</f>
        <v/>
      </c>
      <c r="Z5950" s="12" t="inlineStr"/>
      <c r="AA5950" s="12">
        <f>N5950*O5950</f>
        <v/>
      </c>
    </row>
    <row r="5951">
      <c r="A5951" s="12" t="inlineStr">
        <is>
          <t>K-I-0035</t>
        </is>
      </c>
      <c r="B5951" s="12" t="inlineStr">
        <is>
          <t>K</t>
        </is>
      </c>
      <c r="C5951" s="12" t="inlineStr">
        <is>
          <t>Fuel supply (adjacent market)</t>
        </is>
      </c>
      <c r="D5951" s="12" t="inlineStr">
        <is>
          <t>Discrete device to JB JB-H2 23: dry coolers-DI01: 12 x 1 pr (field cables)</t>
        </is>
      </c>
      <c r="E5951" s="12" t="inlineStr"/>
      <c r="F5951" s="12" t="inlineStr">
        <is>
          <t>H2 23: dry coolers</t>
        </is>
      </c>
      <c r="G5951" s="12" t="inlineStr">
        <is>
          <t>JB-H2 23: dry coolers-DI01</t>
        </is>
      </c>
      <c r="H5951" s="12" t="inlineStr">
        <is>
          <t>H2 23: dry coolers</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7" t="n">
        <v>111</v>
      </c>
      <c r="U5951" s="17" t="n">
        <v>10</v>
      </c>
      <c r="V5951" s="17">
        <f>ROUNDUP((T5951+U5951+2*'Read Me'!$B$13)*(1+'Read Me'!$B$12),-1)</f>
        <v/>
      </c>
      <c r="W5951" s="17">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K-I-0036</t>
        </is>
      </c>
      <c r="B5952" s="12" t="inlineStr">
        <is>
          <t>K</t>
        </is>
      </c>
      <c r="C5952" s="12" t="inlineStr">
        <is>
          <t>Fuel supply (adjacent market)</t>
        </is>
      </c>
      <c r="D5952" s="12" t="inlineStr">
        <is>
          <t>Home run JB-H2 23: dry coolers-DI01 to the control / marshalling room</t>
        </is>
      </c>
      <c r="E5952" s="12" t="inlineStr"/>
      <c r="F5952" s="12" t="inlineStr">
        <is>
          <t>H2 20: 13.8 kV e-house</t>
        </is>
      </c>
      <c r="G5952" s="12" t="inlineStr">
        <is>
          <t>JB-H2 23: dry coolers-DI01</t>
        </is>
      </c>
      <c r="H5952" s="12" t="inlineStr">
        <is>
          <t>H2 23: dry coolers</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7" t="n">
        <v>100</v>
      </c>
      <c r="U5952" s="17" t="n">
        <v>32</v>
      </c>
      <c r="V5952" s="17">
        <f>ROUNDUP((T5952+U5952+2*'Read Me'!$B$13)*(1+'Read Me'!$B$12),-1)</f>
        <v/>
      </c>
      <c r="W5952" s="17">
        <f>V5952*N5952*O5952</f>
        <v/>
      </c>
      <c r="X5952" s="12">
        <f>IF(LEFT(I5952,2)="MV",2*N5952*IF(L5952="1/C",O5952,1),0)</f>
        <v/>
      </c>
      <c r="Y5952" s="12">
        <f>IF(OR(LEFT(K5952,4)="LVAX",LEFT(K5952,6)="MV15AX",LEFT(K5952,4)="CTAX",LEFT(K5952,2)="W|"),2*N5952*O5952,0)</f>
        <v/>
      </c>
      <c r="Z5952" s="12" t="inlineStr"/>
      <c r="AA5952" s="12">
        <f>N5952*O5952</f>
        <v/>
      </c>
    </row>
    <row r="5953">
      <c r="A5953" s="12" t="inlineStr">
        <is>
          <t>K-I-0037</t>
        </is>
      </c>
      <c r="B5953" s="12" t="inlineStr">
        <is>
          <t>K</t>
        </is>
      </c>
      <c r="C5953" s="12" t="inlineStr">
        <is>
          <t>Fuel supply (adjacent market)</t>
        </is>
      </c>
      <c r="D5953" s="12" t="inlineStr">
        <is>
          <t>Analog instrument to JB JB-H2 24: water purif-AI01: 12 x 1 pr (field cables)</t>
        </is>
      </c>
      <c r="E5953" s="12" t="inlineStr"/>
      <c r="F5953" s="12" t="inlineStr">
        <is>
          <t>H2 24: water purification (RO / EDI)</t>
        </is>
      </c>
      <c r="G5953" s="12" t="inlineStr">
        <is>
          <t>JB-H2 24: water purif-AI01</t>
        </is>
      </c>
      <c r="H5953" s="12" t="inlineStr">
        <is>
          <t>H2 24: water purification (RO / EDI)</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7" t="n">
        <v>60</v>
      </c>
      <c r="U5953" s="17" t="n">
        <v>10</v>
      </c>
      <c r="V5953" s="17">
        <f>ROUNDUP((T5953+U5953+2*'Read Me'!$B$13)*(1+'Read Me'!$B$12),-1)</f>
        <v/>
      </c>
      <c r="W5953" s="17">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K-I-0038</t>
        </is>
      </c>
      <c r="B5954" s="12" t="inlineStr">
        <is>
          <t>K</t>
        </is>
      </c>
      <c r="C5954" s="12" t="inlineStr">
        <is>
          <t>Fuel supply (adjacent market)</t>
        </is>
      </c>
      <c r="D5954" s="12" t="inlineStr">
        <is>
          <t>Home run JB-H2 24: water purif-AI01 to the control / marshalling room</t>
        </is>
      </c>
      <c r="E5954" s="12" t="inlineStr"/>
      <c r="F5954" s="12" t="inlineStr">
        <is>
          <t>H2 20: 13.8 kV e-house</t>
        </is>
      </c>
      <c r="G5954" s="12" t="inlineStr">
        <is>
          <t>JB-H2 24: water purif-AI01</t>
        </is>
      </c>
      <c r="H5954" s="12" t="inlineStr">
        <is>
          <t>H2 24: water purification (RO / EDI)</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7" t="n">
        <v>146</v>
      </c>
      <c r="U5954" s="17" t="n">
        <v>32</v>
      </c>
      <c r="V5954" s="17">
        <f>ROUNDUP((T5954+U5954+2*'Read Me'!$B$13)*(1+'Read Me'!$B$12),-1)</f>
        <v/>
      </c>
      <c r="W5954" s="17">
        <f>V5954*N5954*O5954</f>
        <v/>
      </c>
      <c r="X5954" s="12">
        <f>IF(LEFT(I5954,2)="MV",2*N5954*IF(L5954="1/C",O5954,1),0)</f>
        <v/>
      </c>
      <c r="Y5954" s="12">
        <f>IF(OR(LEFT(K5954,4)="LVAX",LEFT(K5954,6)="MV15AX",LEFT(K5954,4)="CTAX",LEFT(K5954,2)="W|"),2*N5954*O5954,0)</f>
        <v/>
      </c>
      <c r="Z5954" s="12" t="inlineStr"/>
      <c r="AA5954" s="12">
        <f>N5954*O5954</f>
        <v/>
      </c>
    </row>
    <row r="5955">
      <c r="A5955" s="12" t="inlineStr">
        <is>
          <t>K-I-0039</t>
        </is>
      </c>
      <c r="B5955" s="12" t="inlineStr">
        <is>
          <t>K</t>
        </is>
      </c>
      <c r="C5955" s="12" t="inlineStr">
        <is>
          <t>Fuel supply (adjacent market)</t>
        </is>
      </c>
      <c r="D5955" s="12" t="inlineStr">
        <is>
          <t>Discrete device to JB JB-H2 24: water purif-DI01: 12 x 1 pr (field cables)</t>
        </is>
      </c>
      <c r="E5955" s="12" t="inlineStr"/>
      <c r="F5955" s="12" t="inlineStr">
        <is>
          <t>H2 24: water purification (RO / EDI)</t>
        </is>
      </c>
      <c r="G5955" s="12" t="inlineStr">
        <is>
          <t>JB-H2 24: water purif-DI01</t>
        </is>
      </c>
      <c r="H5955" s="12" t="inlineStr">
        <is>
          <t>H2 24: water purification (RO / EDI)</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12</v>
      </c>
      <c r="O5955" s="12" t="n">
        <v>1</v>
      </c>
      <c r="P5955" s="12" t="n"/>
      <c r="Q5955" s="12" t="n"/>
      <c r="R5955" s="12" t="n"/>
      <c r="S5955" s="12" t="inlineStr">
        <is>
          <t>Tray / conduit</t>
        </is>
      </c>
      <c r="T5955" s="17" t="n">
        <v>60</v>
      </c>
      <c r="U5955" s="17" t="n">
        <v>10</v>
      </c>
      <c r="V5955" s="17">
        <f>ROUNDUP((T5955+U5955+2*'Read Me'!$B$13)*(1+'Read Me'!$B$12),-1)</f>
        <v/>
      </c>
      <c r="W5955" s="17">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K-I-0040</t>
        </is>
      </c>
      <c r="B5956" s="12" t="inlineStr">
        <is>
          <t>K</t>
        </is>
      </c>
      <c r="C5956" s="12" t="inlineStr">
        <is>
          <t>Fuel supply (adjacent market)</t>
        </is>
      </c>
      <c r="D5956" s="12" t="inlineStr">
        <is>
          <t>Home run JB-H2 24: water purif-DI01 to the control / marshalling room</t>
        </is>
      </c>
      <c r="E5956" s="12" t="inlineStr"/>
      <c r="F5956" s="12" t="inlineStr">
        <is>
          <t>H2 20: 13.8 kV e-house</t>
        </is>
      </c>
      <c r="G5956" s="12" t="inlineStr">
        <is>
          <t>JB-H2 24: water purif-DI01</t>
        </is>
      </c>
      <c r="H5956" s="12" t="inlineStr">
        <is>
          <t>H2 24: water purification (RO / EDI)</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7" t="n">
        <v>146</v>
      </c>
      <c r="U5956" s="17" t="n">
        <v>32</v>
      </c>
      <c r="V5956" s="17">
        <f>ROUNDUP((T5956+U5956+2*'Read Me'!$B$13)*(1+'Read Me'!$B$12),-1)</f>
        <v/>
      </c>
      <c r="W5956" s="17">
        <f>V5956*N5956*O5956</f>
        <v/>
      </c>
      <c r="X5956" s="12">
        <f>IF(LEFT(I5956,2)="MV",2*N5956*IF(L5956="1/C",O5956,1),0)</f>
        <v/>
      </c>
      <c r="Y5956" s="12">
        <f>IF(OR(LEFT(K5956,4)="LVAX",LEFT(K5956,6)="MV15AX",LEFT(K5956,4)="CTAX",LEFT(K5956,2)="W|"),2*N5956*O5956,0)</f>
        <v/>
      </c>
      <c r="Z5956" s="12" t="inlineStr"/>
      <c r="AA5956" s="12">
        <f>N5956*O5956</f>
        <v/>
      </c>
    </row>
    <row r="5957">
      <c r="A5957" s="12" t="inlineStr">
        <is>
          <t>K-I-0041</t>
        </is>
      </c>
      <c r="B5957" s="12" t="inlineStr">
        <is>
          <t>K</t>
        </is>
      </c>
      <c r="C5957" s="12" t="inlineStr">
        <is>
          <t>Fuel supply (adjacent market)</t>
        </is>
      </c>
      <c r="D5957" s="12" t="inlineStr">
        <is>
          <t>Analog instrument to JB JB-H2 25: H2 dryer / -AI01: 12 x 1 pr (field cables)</t>
        </is>
      </c>
      <c r="E5957" s="12" t="inlineStr"/>
      <c r="F5957" s="12" t="inlineStr">
        <is>
          <t>H2 25: H2 dryer / purification</t>
        </is>
      </c>
      <c r="G5957" s="12" t="inlineStr">
        <is>
          <t>JB-H2 25: H2 dryer / -AI01</t>
        </is>
      </c>
      <c r="H5957" s="12" t="inlineStr">
        <is>
          <t>H2 25: H2 dryer / purification</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12</v>
      </c>
      <c r="O5957" s="12" t="n">
        <v>1</v>
      </c>
      <c r="P5957" s="12" t="n"/>
      <c r="Q5957" s="12" t="n"/>
      <c r="R5957" s="12" t="n"/>
      <c r="S5957" s="12" t="inlineStr">
        <is>
          <t>Tray / conduit</t>
        </is>
      </c>
      <c r="T5957" s="17" t="n">
        <v>60</v>
      </c>
      <c r="U5957" s="17" t="n">
        <v>10</v>
      </c>
      <c r="V5957" s="17">
        <f>ROUNDUP((T5957+U5957+2*'Read Me'!$B$13)*(1+'Read Me'!$B$12),-1)</f>
        <v/>
      </c>
      <c r="W5957" s="17">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K-I-0042</t>
        </is>
      </c>
      <c r="B5958" s="12" t="inlineStr">
        <is>
          <t>K</t>
        </is>
      </c>
      <c r="C5958" s="12" t="inlineStr">
        <is>
          <t>Fuel supply (adjacent market)</t>
        </is>
      </c>
      <c r="D5958" s="12" t="inlineStr">
        <is>
          <t>Home run JB-H2 25: H2 dryer / -AI01 to the control / marshalling room</t>
        </is>
      </c>
      <c r="E5958" s="12" t="inlineStr"/>
      <c r="F5958" s="12" t="inlineStr">
        <is>
          <t>H2 20: 13.8 kV e-house</t>
        </is>
      </c>
      <c r="G5958" s="12" t="inlineStr">
        <is>
          <t>JB-H2 25: H2 dryer / -AI01</t>
        </is>
      </c>
      <c r="H5958" s="12" t="inlineStr">
        <is>
          <t>H2 25: H2 dryer / purification</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7" t="n">
        <v>0</v>
      </c>
      <c r="U5958" s="17" t="n">
        <v>49</v>
      </c>
      <c r="V5958" s="17">
        <f>ROUNDUP((T5958+U5958+2*'Read Me'!$B$13)*(1+'Read Me'!$B$12),-1)</f>
        <v/>
      </c>
      <c r="W5958" s="17">
        <f>V5958*N5958*O5958</f>
        <v/>
      </c>
      <c r="X5958" s="12">
        <f>IF(LEFT(I5958,2)="MV",2*N5958*IF(L5958="1/C",O5958,1),0)</f>
        <v/>
      </c>
      <c r="Y5958" s="12">
        <f>IF(OR(LEFT(K5958,4)="LVAX",LEFT(K5958,6)="MV15AX",LEFT(K5958,4)="CTAX",LEFT(K5958,2)="W|"),2*N5958*O5958,0)</f>
        <v/>
      </c>
      <c r="Z5958" s="12" t="inlineStr"/>
      <c r="AA5958" s="12">
        <f>N5958*O5958</f>
        <v/>
      </c>
    </row>
    <row r="5959">
      <c r="A5959" s="12" t="inlineStr">
        <is>
          <t>K-I-0043</t>
        </is>
      </c>
      <c r="B5959" s="12" t="inlineStr">
        <is>
          <t>K</t>
        </is>
      </c>
      <c r="C5959" s="12" t="inlineStr">
        <is>
          <t>Fuel supply (adjacent market)</t>
        </is>
      </c>
      <c r="D5959" s="12" t="inlineStr">
        <is>
          <t>Discrete device to JB JB-H2 25: H2 dryer / -DI01: 12 x 1 pr (field cables)</t>
        </is>
      </c>
      <c r="E5959" s="12" t="inlineStr"/>
      <c r="F5959" s="12" t="inlineStr">
        <is>
          <t>H2 25: H2 dryer / purification</t>
        </is>
      </c>
      <c r="G5959" s="12" t="inlineStr">
        <is>
          <t>JB-H2 25: H2 dryer / -DI01</t>
        </is>
      </c>
      <c r="H5959" s="12" t="inlineStr">
        <is>
          <t>H2 25: H2 dryer / purification</t>
        </is>
      </c>
      <c r="I5959" s="12" t="inlineStr">
        <is>
          <t>Instrumentation</t>
        </is>
      </c>
      <c r="J5959" s="12" t="inlineStr">
        <is>
          <t>Instrumentation ITC / PLTC, IS, #18 shielded pairs, blue jacket</t>
        </is>
      </c>
      <c r="K5959" s="12" t="inlineStr">
        <is>
          <t>ITC|1 pr|16</t>
        </is>
      </c>
      <c r="L5959" s="12" t="inlineStr">
        <is>
          <t>1 pr</t>
        </is>
      </c>
      <c r="M5959" s="12" t="inlineStr">
        <is>
          <t>16</t>
        </is>
      </c>
      <c r="N5959" s="12" t="n">
        <v>12</v>
      </c>
      <c r="O5959" s="12" t="n">
        <v>1</v>
      </c>
      <c r="P5959" s="12" t="n"/>
      <c r="Q5959" s="12" t="n"/>
      <c r="R5959" s="12" t="n"/>
      <c r="S5959" s="12" t="inlineStr">
        <is>
          <t>Tray / conduit</t>
        </is>
      </c>
      <c r="T5959" s="17" t="n">
        <v>60</v>
      </c>
      <c r="U5959" s="17" t="n">
        <v>10</v>
      </c>
      <c r="V5959" s="17">
        <f>ROUNDUP((T5959+U5959+2*'Read Me'!$B$13)*(1+'Read Me'!$B$12),-1)</f>
        <v/>
      </c>
      <c r="W5959" s="17">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K-I-0044</t>
        </is>
      </c>
      <c r="B5960" s="12" t="inlineStr">
        <is>
          <t>K</t>
        </is>
      </c>
      <c r="C5960" s="12" t="inlineStr">
        <is>
          <t>Fuel supply (adjacent market)</t>
        </is>
      </c>
      <c r="D5960" s="12" t="inlineStr">
        <is>
          <t>Home run JB-H2 25: H2 dryer / -DI01 to the control / marshalling room</t>
        </is>
      </c>
      <c r="E5960" s="12" t="inlineStr"/>
      <c r="F5960" s="12" t="inlineStr">
        <is>
          <t>H2 20: 13.8 kV e-house</t>
        </is>
      </c>
      <c r="G5960" s="12" t="inlineStr">
        <is>
          <t>JB-H2 25: H2 dryer / -DI01</t>
        </is>
      </c>
      <c r="H5960" s="12" t="inlineStr">
        <is>
          <t>H2 25: H2 dryer / purification</t>
        </is>
      </c>
      <c r="I5960" s="12" t="inlineStr">
        <is>
          <t>Instrumentation</t>
        </is>
      </c>
      <c r="J5960" s="12" t="inlineStr">
        <is>
          <t>Instrumentation ITC / PLTC, IS, #18 shielded pairs, blue jacket</t>
        </is>
      </c>
      <c r="K5960" s="12" t="inlineStr">
        <is>
          <t>ITC|24 pr|18</t>
        </is>
      </c>
      <c r="L5960" s="12" t="inlineStr">
        <is>
          <t>24 pr</t>
        </is>
      </c>
      <c r="M5960" s="12" t="inlineStr">
        <is>
          <t>18</t>
        </is>
      </c>
      <c r="N5960" s="12" t="n">
        <v>1</v>
      </c>
      <c r="O5960" s="12" t="n">
        <v>1</v>
      </c>
      <c r="P5960" s="12" t="n"/>
      <c r="Q5960" s="12" t="n"/>
      <c r="R5960" s="12" t="n"/>
      <c r="S5960" s="12" t="inlineStr">
        <is>
          <t>Duct bank</t>
        </is>
      </c>
      <c r="T5960" s="17" t="n">
        <v>0</v>
      </c>
      <c r="U5960" s="17" t="n">
        <v>49</v>
      </c>
      <c r="V5960" s="17">
        <f>ROUNDUP((T5960+U5960+2*'Read Me'!$B$13)*(1+'Read Me'!$B$12),-1)</f>
        <v/>
      </c>
      <c r="W5960" s="17">
        <f>V5960*N5960*O5960</f>
        <v/>
      </c>
      <c r="X5960" s="12">
        <f>IF(LEFT(I5960,2)="MV",2*N5960*IF(L5960="1/C",O5960,1),0)</f>
        <v/>
      </c>
      <c r="Y5960" s="12">
        <f>IF(OR(LEFT(K5960,4)="LVAX",LEFT(K5960,6)="MV15AX",LEFT(K5960,4)="CTAX",LEFT(K5960,2)="W|"),2*N5960*O5960,0)</f>
        <v/>
      </c>
      <c r="Z5960" s="12" t="inlineStr"/>
      <c r="AA5960" s="12">
        <f>N5960*O5960</f>
        <v/>
      </c>
    </row>
    <row r="5961">
      <c r="A5961" s="12" t="inlineStr">
        <is>
          <t>K-I-0045</t>
        </is>
      </c>
      <c r="B5961" s="12" t="inlineStr">
        <is>
          <t>K</t>
        </is>
      </c>
      <c r="C5961" s="12" t="inlineStr">
        <is>
          <t>Fuel supply (adjacent market)</t>
        </is>
      </c>
      <c r="D5961" s="12" t="inlineStr">
        <is>
          <t>Analog instrument to JB JB-H2 26: H2 compress-AI01: 12 x 1 pr (field cables)</t>
        </is>
      </c>
      <c r="E5961" s="12" t="inlineStr"/>
      <c r="F5961" s="12" t="inlineStr">
        <is>
          <t>H2 26: H2 compressor 1 (40 ft ISO)</t>
        </is>
      </c>
      <c r="G5961" s="12" t="inlineStr">
        <is>
          <t>JB-H2 26: H2 compress-AI01</t>
        </is>
      </c>
      <c r="H5961" s="12" t="inlineStr">
        <is>
          <t>H2 26: H2 compressor 1 (40 ft ISO)</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7" t="n">
        <v>53</v>
      </c>
      <c r="U5961" s="17" t="n">
        <v>10</v>
      </c>
      <c r="V5961" s="17">
        <f>ROUNDUP((T5961+U5961+2*'Read Me'!$B$13)*(1+'Read Me'!$B$12),-1)</f>
        <v/>
      </c>
      <c r="W5961" s="17">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K-I-0046</t>
        </is>
      </c>
      <c r="B5962" s="12" t="inlineStr">
        <is>
          <t>K</t>
        </is>
      </c>
      <c r="C5962" s="12" t="inlineStr">
        <is>
          <t>Fuel supply (adjacent market)</t>
        </is>
      </c>
      <c r="D5962" s="12" t="inlineStr">
        <is>
          <t>Home run JB-H2 26: H2 compress-AI01 to the control / marshalling room</t>
        </is>
      </c>
      <c r="E5962" s="12" t="inlineStr"/>
      <c r="F5962" s="12" t="inlineStr">
        <is>
          <t>H2 20: 13.8 kV e-house</t>
        </is>
      </c>
      <c r="G5962" s="12" t="inlineStr">
        <is>
          <t>JB-H2 26: H2 compress-AI01</t>
        </is>
      </c>
      <c r="H5962" s="12" t="inlineStr">
        <is>
          <t>H2 26: H2 compressor 1 (40 ft ISO)</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7" t="n">
        <v>50</v>
      </c>
      <c r="U5962" s="17" t="n">
        <v>32</v>
      </c>
      <c r="V5962" s="17">
        <f>ROUNDUP((T5962+U5962+2*'Read Me'!$B$13)*(1+'Read Me'!$B$12),-1)</f>
        <v/>
      </c>
      <c r="W5962" s="17">
        <f>V5962*N5962*O5962</f>
        <v/>
      </c>
      <c r="X5962" s="12">
        <f>IF(LEFT(I5962,2)="MV",2*N5962*IF(L5962="1/C",O5962,1),0)</f>
        <v/>
      </c>
      <c r="Y5962" s="12">
        <f>IF(OR(LEFT(K5962,4)="LVAX",LEFT(K5962,6)="MV15AX",LEFT(K5962,4)="CTAX",LEFT(K5962,2)="W|"),2*N5962*O5962,0)</f>
        <v/>
      </c>
      <c r="Z5962" s="12" t="inlineStr"/>
      <c r="AA5962" s="12">
        <f>N5962*O5962</f>
        <v/>
      </c>
    </row>
    <row r="5963">
      <c r="A5963" s="12" t="inlineStr">
        <is>
          <t>K-I-0047</t>
        </is>
      </c>
      <c r="B5963" s="12" t="inlineStr">
        <is>
          <t>K</t>
        </is>
      </c>
      <c r="C5963" s="12" t="inlineStr">
        <is>
          <t>Fuel supply (adjacent market)</t>
        </is>
      </c>
      <c r="D5963" s="12" t="inlineStr">
        <is>
          <t>Discrete device to JB JB-H2 26: H2 compress-DI01: 12 x 1 pr (field cables)</t>
        </is>
      </c>
      <c r="E5963" s="12" t="inlineStr"/>
      <c r="F5963" s="12" t="inlineStr">
        <is>
          <t>H2 26: H2 compressor 1 (40 ft ISO)</t>
        </is>
      </c>
      <c r="G5963" s="12" t="inlineStr">
        <is>
          <t>JB-H2 26: H2 compress-DI01</t>
        </is>
      </c>
      <c r="H5963" s="12" t="inlineStr">
        <is>
          <t>H2 26: H2 compressor 1 (40 ft ISO)</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7" t="n">
        <v>53</v>
      </c>
      <c r="U5963" s="17" t="n">
        <v>10</v>
      </c>
      <c r="V5963" s="17">
        <f>ROUNDUP((T5963+U5963+2*'Read Me'!$B$13)*(1+'Read Me'!$B$12),-1)</f>
        <v/>
      </c>
      <c r="W5963" s="17">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K-I-0048</t>
        </is>
      </c>
      <c r="B5964" s="12" t="inlineStr">
        <is>
          <t>K</t>
        </is>
      </c>
      <c r="C5964" s="12" t="inlineStr">
        <is>
          <t>Fuel supply (adjacent market)</t>
        </is>
      </c>
      <c r="D5964" s="12" t="inlineStr">
        <is>
          <t>Home run JB-H2 26: H2 compress-DI01 to the control / marshalling room</t>
        </is>
      </c>
      <c r="E5964" s="12" t="inlineStr"/>
      <c r="F5964" s="12" t="inlineStr">
        <is>
          <t>H2 20: 13.8 kV e-house</t>
        </is>
      </c>
      <c r="G5964" s="12" t="inlineStr">
        <is>
          <t>JB-H2 26: H2 compress-DI01</t>
        </is>
      </c>
      <c r="H5964" s="12" t="inlineStr">
        <is>
          <t>H2 26: H2 compressor 1 (40 ft ISO)</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7" t="n">
        <v>50</v>
      </c>
      <c r="U5964" s="17" t="n">
        <v>32</v>
      </c>
      <c r="V5964" s="17">
        <f>ROUNDUP((T5964+U5964+2*'Read Me'!$B$13)*(1+'Read Me'!$B$12),-1)</f>
        <v/>
      </c>
      <c r="W5964" s="17">
        <f>V5964*N5964*O5964</f>
        <v/>
      </c>
      <c r="X5964" s="12">
        <f>IF(LEFT(I5964,2)="MV",2*N5964*IF(L5964="1/C",O5964,1),0)</f>
        <v/>
      </c>
      <c r="Y5964" s="12">
        <f>IF(OR(LEFT(K5964,4)="LVAX",LEFT(K5964,6)="MV15AX",LEFT(K5964,4)="CTAX",LEFT(K5964,2)="W|"),2*N5964*O5964,0)</f>
        <v/>
      </c>
      <c r="Z5964" s="12" t="inlineStr"/>
      <c r="AA5964" s="12">
        <f>N5964*O5964</f>
        <v/>
      </c>
    </row>
    <row r="5965">
      <c r="A5965" s="12" t="inlineStr">
        <is>
          <t>K-I-0049</t>
        </is>
      </c>
      <c r="B5965" s="12" t="inlineStr">
        <is>
          <t>K</t>
        </is>
      </c>
      <c r="C5965" s="12" t="inlineStr">
        <is>
          <t>Fuel supply (adjacent market)</t>
        </is>
      </c>
      <c r="D5965" s="12" t="inlineStr">
        <is>
          <t>Analog instrument to JB JB-H2 26: H2 compress-AI01: 12 x 1 pr (field cables)</t>
        </is>
      </c>
      <c r="E5965" s="12" t="inlineStr"/>
      <c r="F5965" s="12" t="inlineStr">
        <is>
          <t>H2 26: H2 compressor 2 (40 ft ISO)</t>
        </is>
      </c>
      <c r="G5965" s="12" t="inlineStr">
        <is>
          <t>JB-H2 26: H2 compress-AI01</t>
        </is>
      </c>
      <c r="H5965" s="12" t="inlineStr">
        <is>
          <t>H2 26: H2 compressor 2 (40 ft ISO)</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7" t="n">
        <v>53</v>
      </c>
      <c r="U5965" s="17" t="n">
        <v>10</v>
      </c>
      <c r="V5965" s="17">
        <f>ROUNDUP((T5965+U5965+2*'Read Me'!$B$13)*(1+'Read Me'!$B$12),-1)</f>
        <v/>
      </c>
      <c r="W5965" s="17">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K-I-0050</t>
        </is>
      </c>
      <c r="B5966" s="12" t="inlineStr">
        <is>
          <t>K</t>
        </is>
      </c>
      <c r="C5966" s="12" t="inlineStr">
        <is>
          <t>Fuel supply (adjacent market)</t>
        </is>
      </c>
      <c r="D5966" s="12" t="inlineStr">
        <is>
          <t>Home run JB-H2 26: H2 compress-AI01 to the control / marshalling room</t>
        </is>
      </c>
      <c r="E5966" s="12" t="inlineStr"/>
      <c r="F5966" s="12" t="inlineStr">
        <is>
          <t>H2 20: 13.8 kV e-house</t>
        </is>
      </c>
      <c r="G5966" s="12" t="inlineStr">
        <is>
          <t>JB-H2 26: H2 compress-AI01</t>
        </is>
      </c>
      <c r="H5966" s="12" t="inlineStr">
        <is>
          <t>H2 26: H2 compressor 2 (40 ft ISO)</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7" t="n">
        <v>50</v>
      </c>
      <c r="U5966" s="17" t="n">
        <v>47</v>
      </c>
      <c r="V5966" s="17">
        <f>ROUNDUP((T5966+U5966+2*'Read Me'!$B$13)*(1+'Read Me'!$B$12),-1)</f>
        <v/>
      </c>
      <c r="W5966" s="17">
        <f>V5966*N5966*O5966</f>
        <v/>
      </c>
      <c r="X5966" s="12">
        <f>IF(LEFT(I5966,2)="MV",2*N5966*IF(L5966="1/C",O5966,1),0)</f>
        <v/>
      </c>
      <c r="Y5966" s="12">
        <f>IF(OR(LEFT(K5966,4)="LVAX",LEFT(K5966,6)="MV15AX",LEFT(K5966,4)="CTAX",LEFT(K5966,2)="W|"),2*N5966*O5966,0)</f>
        <v/>
      </c>
      <c r="Z5966" s="12" t="inlineStr"/>
      <c r="AA5966" s="12">
        <f>N5966*O5966</f>
        <v/>
      </c>
    </row>
    <row r="5967">
      <c r="A5967" s="12" t="inlineStr">
        <is>
          <t>K-I-0051</t>
        </is>
      </c>
      <c r="B5967" s="12" t="inlineStr">
        <is>
          <t>K</t>
        </is>
      </c>
      <c r="C5967" s="12" t="inlineStr">
        <is>
          <t>Fuel supply (adjacent market)</t>
        </is>
      </c>
      <c r="D5967" s="12" t="inlineStr">
        <is>
          <t>Discrete device to JB JB-H2 26: H2 compress-DI01: 12 x 1 pr (field cables)</t>
        </is>
      </c>
      <c r="E5967" s="12" t="inlineStr"/>
      <c r="F5967" s="12" t="inlineStr">
        <is>
          <t>H2 26: H2 compressor 2 (40 ft ISO)</t>
        </is>
      </c>
      <c r="G5967" s="12" t="inlineStr">
        <is>
          <t>JB-H2 26: H2 compress-DI01</t>
        </is>
      </c>
      <c r="H5967" s="12" t="inlineStr">
        <is>
          <t>H2 26: H2 compressor 2 (40 ft ISO)</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7" t="n">
        <v>53</v>
      </c>
      <c r="U5967" s="17" t="n">
        <v>10</v>
      </c>
      <c r="V5967" s="17">
        <f>ROUNDUP((T5967+U5967+2*'Read Me'!$B$13)*(1+'Read Me'!$B$12),-1)</f>
        <v/>
      </c>
      <c r="W5967" s="17">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K-I-0052</t>
        </is>
      </c>
      <c r="B5968" s="12" t="inlineStr">
        <is>
          <t>K</t>
        </is>
      </c>
      <c r="C5968" s="12" t="inlineStr">
        <is>
          <t>Fuel supply (adjacent market)</t>
        </is>
      </c>
      <c r="D5968" s="12" t="inlineStr">
        <is>
          <t>Home run JB-H2 26: H2 compress-DI01 to the control / marshalling room</t>
        </is>
      </c>
      <c r="E5968" s="12" t="inlineStr"/>
      <c r="F5968" s="12" t="inlineStr">
        <is>
          <t>H2 20: 13.8 kV e-house</t>
        </is>
      </c>
      <c r="G5968" s="12" t="inlineStr">
        <is>
          <t>JB-H2 26: H2 compress-DI01</t>
        </is>
      </c>
      <c r="H5968" s="12" t="inlineStr">
        <is>
          <t>H2 26: H2 compressor 2 (40 ft ISO)</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7" t="n">
        <v>50</v>
      </c>
      <c r="U5968" s="17" t="n">
        <v>47</v>
      </c>
      <c r="V5968" s="17">
        <f>ROUNDUP((T5968+U5968+2*'Read Me'!$B$13)*(1+'Read Me'!$B$12),-1)</f>
        <v/>
      </c>
      <c r="W5968" s="17">
        <f>V5968*N5968*O5968</f>
        <v/>
      </c>
      <c r="X5968" s="12">
        <f>IF(LEFT(I5968,2)="MV",2*N5968*IF(L5968="1/C",O5968,1),0)</f>
        <v/>
      </c>
      <c r="Y5968" s="12">
        <f>IF(OR(LEFT(K5968,4)="LVAX",LEFT(K5968,6)="MV15AX",LEFT(K5968,4)="CTAX",LEFT(K5968,2)="W|"),2*N5968*O5968,0)</f>
        <v/>
      </c>
      <c r="Z5968" s="12" t="inlineStr"/>
      <c r="AA5968" s="12">
        <f>N5968*O5968</f>
        <v/>
      </c>
    </row>
    <row r="5969">
      <c r="A5969" s="12" t="inlineStr">
        <is>
          <t>K-I-0053</t>
        </is>
      </c>
      <c r="B5969" s="12" t="inlineStr">
        <is>
          <t>K</t>
        </is>
      </c>
      <c r="C5969" s="12" t="inlineStr">
        <is>
          <t>Fuel supply (adjacent market)</t>
        </is>
      </c>
      <c r="D5969" s="12" t="inlineStr">
        <is>
          <t>Analog instrument to JB JB-H2 27: storage tub-AI01: 12 x 1 pr (field cables)</t>
        </is>
      </c>
      <c r="E5969" s="12" t="inlineStr"/>
      <c r="F5969" s="12" t="inlineStr">
        <is>
          <t>H2 27: storage tube bank (~40 ft tubes)</t>
        </is>
      </c>
      <c r="G5969" s="12" t="inlineStr">
        <is>
          <t>JB-H2 27: storage tub-AI01</t>
        </is>
      </c>
      <c r="H5969" s="12" t="inlineStr">
        <is>
          <t>H2 27: storage tube bank (~40 ft tubes)</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7" t="n">
        <v>54</v>
      </c>
      <c r="U5969" s="17" t="n">
        <v>10</v>
      </c>
      <c r="V5969" s="17">
        <f>ROUNDUP((T5969+U5969+2*'Read Me'!$B$13)*(1+'Read Me'!$B$12),-1)</f>
        <v/>
      </c>
      <c r="W5969" s="17">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K-I-0054</t>
        </is>
      </c>
      <c r="B5970" s="12" t="inlineStr">
        <is>
          <t>K</t>
        </is>
      </c>
      <c r="C5970" s="12" t="inlineStr">
        <is>
          <t>Fuel supply (adjacent market)</t>
        </is>
      </c>
      <c r="D5970" s="12" t="inlineStr">
        <is>
          <t>Home run JB-H2 27: storage tub-AI01 to the control / marshalling room</t>
        </is>
      </c>
      <c r="E5970" s="12" t="inlineStr"/>
      <c r="F5970" s="12" t="inlineStr">
        <is>
          <t>H2 20: 13.8 kV e-house</t>
        </is>
      </c>
      <c r="G5970" s="12" t="inlineStr">
        <is>
          <t>JB-H2 27: storage tub-AI01</t>
        </is>
      </c>
      <c r="H5970" s="12" t="inlineStr">
        <is>
          <t>H2 27: storage tube bank (~40 ft tubes)</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7" t="n">
        <v>50</v>
      </c>
      <c r="U5970" s="17" t="n">
        <v>97</v>
      </c>
      <c r="V5970" s="17">
        <f>ROUNDUP((T5970+U5970+2*'Read Me'!$B$13)*(1+'Read Me'!$B$12),-1)</f>
        <v/>
      </c>
      <c r="W5970" s="17">
        <f>V5970*N5970*O5970</f>
        <v/>
      </c>
      <c r="X5970" s="12">
        <f>IF(LEFT(I5970,2)="MV",2*N5970*IF(L5970="1/C",O5970,1),0)</f>
        <v/>
      </c>
      <c r="Y5970" s="12">
        <f>IF(OR(LEFT(K5970,4)="LVAX",LEFT(K5970,6)="MV15AX",LEFT(K5970,4)="CTAX",LEFT(K5970,2)="W|"),2*N5970*O5970,0)</f>
        <v/>
      </c>
      <c r="Z5970" s="12" t="inlineStr"/>
      <c r="AA5970" s="12">
        <f>N5970*O5970</f>
        <v/>
      </c>
    </row>
    <row r="5971">
      <c r="A5971" s="12" t="inlineStr">
        <is>
          <t>K-I-0055</t>
        </is>
      </c>
      <c r="B5971" s="12" t="inlineStr">
        <is>
          <t>K</t>
        </is>
      </c>
      <c r="C5971" s="12" t="inlineStr">
        <is>
          <t>Fuel supply (adjacent market)</t>
        </is>
      </c>
      <c r="D5971" s="12" t="inlineStr">
        <is>
          <t>Discrete device to JB JB-H2 27: storage tub-DI01: 12 x 1 pr (field cables)</t>
        </is>
      </c>
      <c r="E5971" s="12" t="inlineStr"/>
      <c r="F5971" s="12" t="inlineStr">
        <is>
          <t>H2 27: storage tube bank (~40 ft tubes)</t>
        </is>
      </c>
      <c r="G5971" s="12" t="inlineStr">
        <is>
          <t>JB-H2 27: storage tub-DI01</t>
        </is>
      </c>
      <c r="H5971" s="12" t="inlineStr">
        <is>
          <t>H2 27: storage tube bank (~40 ft tubes)</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7" t="n">
        <v>54</v>
      </c>
      <c r="U5971" s="17" t="n">
        <v>10</v>
      </c>
      <c r="V5971" s="17">
        <f>ROUNDUP((T5971+U5971+2*'Read Me'!$B$13)*(1+'Read Me'!$B$12),-1)</f>
        <v/>
      </c>
      <c r="W5971" s="17">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K-I-0056</t>
        </is>
      </c>
      <c r="B5972" s="12" t="inlineStr">
        <is>
          <t>K</t>
        </is>
      </c>
      <c r="C5972" s="12" t="inlineStr">
        <is>
          <t>Fuel supply (adjacent market)</t>
        </is>
      </c>
      <c r="D5972" s="12" t="inlineStr">
        <is>
          <t>Home run JB-H2 27: storage tub-DI01 to the control / marshalling room</t>
        </is>
      </c>
      <c r="E5972" s="12" t="inlineStr"/>
      <c r="F5972" s="12" t="inlineStr">
        <is>
          <t>H2 20: 13.8 kV e-house</t>
        </is>
      </c>
      <c r="G5972" s="12" t="inlineStr">
        <is>
          <t>JB-H2 27: storage tub-DI01</t>
        </is>
      </c>
      <c r="H5972" s="12" t="inlineStr">
        <is>
          <t>H2 27: storage tube bank (~40 ft tubes)</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7" t="n">
        <v>50</v>
      </c>
      <c r="U5972" s="17" t="n">
        <v>97</v>
      </c>
      <c r="V5972" s="17">
        <f>ROUNDUP((T5972+U5972+2*'Read Me'!$B$13)*(1+'Read Me'!$B$12),-1)</f>
        <v/>
      </c>
      <c r="W5972" s="17">
        <f>V5972*N5972*O5972</f>
        <v/>
      </c>
      <c r="X5972" s="12">
        <f>IF(LEFT(I5972,2)="MV",2*N5972*IF(L5972="1/C",O5972,1),0)</f>
        <v/>
      </c>
      <c r="Y5972" s="12">
        <f>IF(OR(LEFT(K5972,4)="LVAX",LEFT(K5972,6)="MV15AX",LEFT(K5972,4)="CTAX",LEFT(K5972,2)="W|"),2*N5972*O5972,0)</f>
        <v/>
      </c>
      <c r="Z5972" s="12" t="inlineStr"/>
      <c r="AA5972" s="12">
        <f>N5972*O5972</f>
        <v/>
      </c>
    </row>
    <row r="5973">
      <c r="A5973" s="12" t="inlineStr">
        <is>
          <t>K-I-0057</t>
        </is>
      </c>
      <c r="B5973" s="12" t="inlineStr">
        <is>
          <t>K</t>
        </is>
      </c>
      <c r="C5973" s="12" t="inlineStr">
        <is>
          <t>Fuel supply (adjacent market)</t>
        </is>
      </c>
      <c r="D5973" s="12" t="inlineStr">
        <is>
          <t>Analog instrument to JB JB-H2 27: storage tub-AI01: 12 x 1 pr (field cables)</t>
        </is>
      </c>
      <c r="E5973" s="12" t="inlineStr"/>
      <c r="F5973" s="12" t="inlineStr">
        <is>
          <t>H2 27: storage tube bank (~40 ft tubes)</t>
        </is>
      </c>
      <c r="G5973" s="12" t="inlineStr">
        <is>
          <t>JB-H2 27: storage tub-AI01</t>
        </is>
      </c>
      <c r="H5973" s="12" t="inlineStr">
        <is>
          <t>H2 27: storage tube bank (~40 ft tubes)</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12</v>
      </c>
      <c r="O5973" s="12" t="n">
        <v>1</v>
      </c>
      <c r="P5973" s="12" t="n"/>
      <c r="Q5973" s="12" t="n"/>
      <c r="R5973" s="12" t="n"/>
      <c r="S5973" s="12" t="inlineStr">
        <is>
          <t>Tray / conduit</t>
        </is>
      </c>
      <c r="T5973" s="17" t="n">
        <v>54</v>
      </c>
      <c r="U5973" s="17" t="n">
        <v>10</v>
      </c>
      <c r="V5973" s="17">
        <f>ROUNDUP((T5973+U5973+2*'Read Me'!$B$13)*(1+'Read Me'!$B$12),-1)</f>
        <v/>
      </c>
      <c r="W5973" s="17">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K-I-0058</t>
        </is>
      </c>
      <c r="B5974" s="12" t="inlineStr">
        <is>
          <t>K</t>
        </is>
      </c>
      <c r="C5974" s="12" t="inlineStr">
        <is>
          <t>Fuel supply (adjacent market)</t>
        </is>
      </c>
      <c r="D5974" s="12" t="inlineStr">
        <is>
          <t>Home run JB-H2 27: storage tub-AI01 to the control / marshalling room</t>
        </is>
      </c>
      <c r="E5974" s="12" t="inlineStr"/>
      <c r="F5974" s="12" t="inlineStr">
        <is>
          <t>H2 20: 13.8 kV e-house</t>
        </is>
      </c>
      <c r="G5974" s="12" t="inlineStr">
        <is>
          <t>JB-H2 27: storage tub-AI01</t>
        </is>
      </c>
      <c r="H5974" s="12" t="inlineStr">
        <is>
          <t>H2 27: storage tube bank (~40 ft tubes)</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7" t="n">
        <v>50</v>
      </c>
      <c r="U5974" s="17" t="n">
        <v>117</v>
      </c>
      <c r="V5974" s="17">
        <f>ROUNDUP((T5974+U5974+2*'Read Me'!$B$13)*(1+'Read Me'!$B$12),-1)</f>
        <v/>
      </c>
      <c r="W5974" s="17">
        <f>V5974*N5974*O5974</f>
        <v/>
      </c>
      <c r="X5974" s="12">
        <f>IF(LEFT(I5974,2)="MV",2*N5974*IF(L5974="1/C",O5974,1),0)</f>
        <v/>
      </c>
      <c r="Y5974" s="12">
        <f>IF(OR(LEFT(K5974,4)="LVAX",LEFT(K5974,6)="MV15AX",LEFT(K5974,4)="CTAX",LEFT(K5974,2)="W|"),2*N5974*O5974,0)</f>
        <v/>
      </c>
      <c r="Z5974" s="12" t="inlineStr"/>
      <c r="AA5974" s="12">
        <f>N5974*O5974</f>
        <v/>
      </c>
    </row>
    <row r="5975">
      <c r="A5975" s="12" t="inlineStr">
        <is>
          <t>K-I-0059</t>
        </is>
      </c>
      <c r="B5975" s="12" t="inlineStr">
        <is>
          <t>K</t>
        </is>
      </c>
      <c r="C5975" s="12" t="inlineStr">
        <is>
          <t>Fuel supply (adjacent market)</t>
        </is>
      </c>
      <c r="D5975" s="12" t="inlineStr">
        <is>
          <t>Discrete device to JB JB-H2 27: storage tub-DI01: 12 x 1 pr (field cables)</t>
        </is>
      </c>
      <c r="E5975" s="12" t="inlineStr"/>
      <c r="F5975" s="12" t="inlineStr">
        <is>
          <t>H2 27: storage tube bank (~40 ft tubes)</t>
        </is>
      </c>
      <c r="G5975" s="12" t="inlineStr">
        <is>
          <t>JB-H2 27: storage tub-DI01</t>
        </is>
      </c>
      <c r="H5975" s="12" t="inlineStr">
        <is>
          <t>H2 27: storage tube bank (~40 ft tubes)</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12</v>
      </c>
      <c r="O5975" s="12" t="n">
        <v>1</v>
      </c>
      <c r="P5975" s="12" t="n"/>
      <c r="Q5975" s="12" t="n"/>
      <c r="R5975" s="12" t="n"/>
      <c r="S5975" s="12" t="inlineStr">
        <is>
          <t>Tray / conduit</t>
        </is>
      </c>
      <c r="T5975" s="17" t="n">
        <v>54</v>
      </c>
      <c r="U5975" s="17" t="n">
        <v>10</v>
      </c>
      <c r="V5975" s="17">
        <f>ROUNDUP((T5975+U5975+2*'Read Me'!$B$13)*(1+'Read Me'!$B$12),-1)</f>
        <v/>
      </c>
      <c r="W5975" s="17">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K-I-0060</t>
        </is>
      </c>
      <c r="B5976" s="12" t="inlineStr">
        <is>
          <t>K</t>
        </is>
      </c>
      <c r="C5976" s="12" t="inlineStr">
        <is>
          <t>Fuel supply (adjacent market)</t>
        </is>
      </c>
      <c r="D5976" s="12" t="inlineStr">
        <is>
          <t>Home run JB-H2 27: storage tub-DI01 to the control / marshalling room</t>
        </is>
      </c>
      <c r="E5976" s="12" t="inlineStr"/>
      <c r="F5976" s="12" t="inlineStr">
        <is>
          <t>H2 20: 13.8 kV e-house</t>
        </is>
      </c>
      <c r="G5976" s="12" t="inlineStr">
        <is>
          <t>JB-H2 27: storage tub-DI01</t>
        </is>
      </c>
      <c r="H5976" s="12" t="inlineStr">
        <is>
          <t>H2 27: storage tube bank (~40 ft tubes)</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7" t="n">
        <v>50</v>
      </c>
      <c r="U5976" s="17" t="n">
        <v>117</v>
      </c>
      <c r="V5976" s="17">
        <f>ROUNDUP((T5976+U5976+2*'Read Me'!$B$13)*(1+'Read Me'!$B$12),-1)</f>
        <v/>
      </c>
      <c r="W5976" s="17">
        <f>V5976*N5976*O5976</f>
        <v/>
      </c>
      <c r="X5976" s="12">
        <f>IF(LEFT(I5976,2)="MV",2*N5976*IF(L5976="1/C",O5976,1),0)</f>
        <v/>
      </c>
      <c r="Y5976" s="12">
        <f>IF(OR(LEFT(K5976,4)="LVAX",LEFT(K5976,6)="MV15AX",LEFT(K5976,4)="CTAX",LEFT(K5976,2)="W|"),2*N5976*O5976,0)</f>
        <v/>
      </c>
      <c r="Z5976" s="12" t="inlineStr"/>
      <c r="AA5976" s="12">
        <f>N5976*O5976</f>
        <v/>
      </c>
    </row>
    <row r="5977">
      <c r="A5977" s="12" t="inlineStr">
        <is>
          <t>K-I-0061</t>
        </is>
      </c>
      <c r="B5977" s="12" t="inlineStr">
        <is>
          <t>K</t>
        </is>
      </c>
      <c r="C5977" s="12" t="inlineStr">
        <is>
          <t>Fuel supply (adjacent market)</t>
        </is>
      </c>
      <c r="D5977" s="12" t="inlineStr">
        <is>
          <t>Analog instrument to JB JB-H2 27: storage tub-AI01: 12 x 1 pr (field cables)</t>
        </is>
      </c>
      <c r="E5977" s="12" t="inlineStr"/>
      <c r="F5977" s="12" t="inlineStr">
        <is>
          <t>H2 27: storage tube bank (~40 ft tubes)</t>
        </is>
      </c>
      <c r="G5977" s="12" t="inlineStr">
        <is>
          <t>JB-H2 27: storage tub-AI01</t>
        </is>
      </c>
      <c r="H5977" s="12" t="inlineStr">
        <is>
          <t>H2 27: storage tube bank (~40 ft tubes)</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12</v>
      </c>
      <c r="O5977" s="12" t="n">
        <v>1</v>
      </c>
      <c r="P5977" s="12" t="n"/>
      <c r="Q5977" s="12" t="n"/>
      <c r="R5977" s="12" t="n"/>
      <c r="S5977" s="12" t="inlineStr">
        <is>
          <t>Tray / conduit</t>
        </is>
      </c>
      <c r="T5977" s="17" t="n">
        <v>54</v>
      </c>
      <c r="U5977" s="17" t="n">
        <v>10</v>
      </c>
      <c r="V5977" s="17">
        <f>ROUNDUP((T5977+U5977+2*'Read Me'!$B$13)*(1+'Read Me'!$B$12),-1)</f>
        <v/>
      </c>
      <c r="W5977" s="17">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K-I-0062</t>
        </is>
      </c>
      <c r="B5978" s="12" t="inlineStr">
        <is>
          <t>K</t>
        </is>
      </c>
      <c r="C5978" s="12" t="inlineStr">
        <is>
          <t>Fuel supply (adjacent market)</t>
        </is>
      </c>
      <c r="D5978" s="12" t="inlineStr">
        <is>
          <t>Home run JB-H2 27: storage tub-AI01 to the control / marshalling room</t>
        </is>
      </c>
      <c r="E5978" s="12" t="inlineStr"/>
      <c r="F5978" s="12" t="inlineStr">
        <is>
          <t>H2 20: 13.8 kV e-house</t>
        </is>
      </c>
      <c r="G5978" s="12" t="inlineStr">
        <is>
          <t>JB-H2 27: storage tub-AI01</t>
        </is>
      </c>
      <c r="H5978" s="12" t="inlineStr">
        <is>
          <t>H2 27: storage tube bank (~40 ft tubes)</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7" t="n">
        <v>50</v>
      </c>
      <c r="U5978" s="17" t="n">
        <v>97</v>
      </c>
      <c r="V5978" s="17">
        <f>ROUNDUP((T5978+U5978+2*'Read Me'!$B$13)*(1+'Read Me'!$B$12),-1)</f>
        <v/>
      </c>
      <c r="W5978" s="17">
        <f>V5978*N5978*O5978</f>
        <v/>
      </c>
      <c r="X5978" s="12">
        <f>IF(LEFT(I5978,2)="MV",2*N5978*IF(L5978="1/C",O5978,1),0)</f>
        <v/>
      </c>
      <c r="Y5978" s="12">
        <f>IF(OR(LEFT(K5978,4)="LVAX",LEFT(K5978,6)="MV15AX",LEFT(K5978,4)="CTAX",LEFT(K5978,2)="W|"),2*N5978*O5978,0)</f>
        <v/>
      </c>
      <c r="Z5978" s="12" t="inlineStr"/>
      <c r="AA5978" s="12">
        <f>N5978*O5978</f>
        <v/>
      </c>
    </row>
    <row r="5979">
      <c r="A5979" s="12" t="inlineStr">
        <is>
          <t>K-I-0063</t>
        </is>
      </c>
      <c r="B5979" s="12" t="inlineStr">
        <is>
          <t>K</t>
        </is>
      </c>
      <c r="C5979" s="12" t="inlineStr">
        <is>
          <t>Fuel supply (adjacent market)</t>
        </is>
      </c>
      <c r="D5979" s="12" t="inlineStr">
        <is>
          <t>Discrete device to JB JB-H2 27: storage tub-DI01: 12 x 1 pr (field cables)</t>
        </is>
      </c>
      <c r="E5979" s="12" t="inlineStr"/>
      <c r="F5979" s="12" t="inlineStr">
        <is>
          <t>H2 27: storage tube bank (~40 ft tubes)</t>
        </is>
      </c>
      <c r="G5979" s="12" t="inlineStr">
        <is>
          <t>JB-H2 27: storage tub-DI01</t>
        </is>
      </c>
      <c r="H5979" s="12" t="inlineStr">
        <is>
          <t>H2 27: storage tube bank (~40 ft tubes)</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12</v>
      </c>
      <c r="O5979" s="12" t="n">
        <v>1</v>
      </c>
      <c r="P5979" s="12" t="n"/>
      <c r="Q5979" s="12" t="n"/>
      <c r="R5979" s="12" t="n"/>
      <c r="S5979" s="12" t="inlineStr">
        <is>
          <t>Tray / conduit</t>
        </is>
      </c>
      <c r="T5979" s="17" t="n">
        <v>54</v>
      </c>
      <c r="U5979" s="17" t="n">
        <v>10</v>
      </c>
      <c r="V5979" s="17">
        <f>ROUNDUP((T5979+U5979+2*'Read Me'!$B$13)*(1+'Read Me'!$B$12),-1)</f>
        <v/>
      </c>
      <c r="W5979" s="17">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K-I-0064</t>
        </is>
      </c>
      <c r="B5980" s="12" t="inlineStr">
        <is>
          <t>K</t>
        </is>
      </c>
      <c r="C5980" s="12" t="inlineStr">
        <is>
          <t>Fuel supply (adjacent market)</t>
        </is>
      </c>
      <c r="D5980" s="12" t="inlineStr">
        <is>
          <t>Home run JB-H2 27: storage tub-DI01 to the control / marshalling room</t>
        </is>
      </c>
      <c r="E5980" s="12" t="inlineStr"/>
      <c r="F5980" s="12" t="inlineStr">
        <is>
          <t>H2 20: 13.8 kV e-house</t>
        </is>
      </c>
      <c r="G5980" s="12" t="inlineStr">
        <is>
          <t>JB-H2 27: storage tub-DI01</t>
        </is>
      </c>
      <c r="H5980" s="12" t="inlineStr">
        <is>
          <t>H2 27: storage tube bank (~40 ft tubes)</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7" t="n">
        <v>50</v>
      </c>
      <c r="U5980" s="17" t="n">
        <v>97</v>
      </c>
      <c r="V5980" s="17">
        <f>ROUNDUP((T5980+U5980+2*'Read Me'!$B$13)*(1+'Read Me'!$B$12),-1)</f>
        <v/>
      </c>
      <c r="W5980" s="17">
        <f>V5980*N5980*O5980</f>
        <v/>
      </c>
      <c r="X5980" s="12">
        <f>IF(LEFT(I5980,2)="MV",2*N5980*IF(L5980="1/C",O5980,1),0)</f>
        <v/>
      </c>
      <c r="Y5980" s="12">
        <f>IF(OR(LEFT(K5980,4)="LVAX",LEFT(K5980,6)="MV15AX",LEFT(K5980,4)="CTAX",LEFT(K5980,2)="W|"),2*N5980*O5980,0)</f>
        <v/>
      </c>
      <c r="Z5980" s="12" t="inlineStr"/>
      <c r="AA5980" s="12">
        <f>N5980*O5980</f>
        <v/>
      </c>
    </row>
    <row r="5981">
      <c r="A5981" s="12" t="inlineStr">
        <is>
          <t>K-I-0065</t>
        </is>
      </c>
      <c r="B5981" s="12" t="inlineStr">
        <is>
          <t>K</t>
        </is>
      </c>
      <c r="C5981" s="12" t="inlineStr">
        <is>
          <t>Fuel supply (adjacent market)</t>
        </is>
      </c>
      <c r="D5981" s="12" t="inlineStr">
        <is>
          <t>Analog instrument to JB JB-H2 27: storage tub-AI01: 12 x 1 pr (field cables)</t>
        </is>
      </c>
      <c r="E5981" s="12" t="inlineStr"/>
      <c r="F5981" s="12" t="inlineStr">
        <is>
          <t>H2 27: storage tube bank (~40 ft tubes)</t>
        </is>
      </c>
      <c r="G5981" s="12" t="inlineStr">
        <is>
          <t>JB-H2 27: storage tub-AI01</t>
        </is>
      </c>
      <c r="H5981" s="12" t="inlineStr">
        <is>
          <t>H2 27: storage tube bank (~40 ft tubes)</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12</v>
      </c>
      <c r="O5981" s="12" t="n">
        <v>1</v>
      </c>
      <c r="P5981" s="12" t="n"/>
      <c r="Q5981" s="12" t="n"/>
      <c r="R5981" s="12" t="n"/>
      <c r="S5981" s="12" t="inlineStr">
        <is>
          <t>Tray / conduit</t>
        </is>
      </c>
      <c r="T5981" s="17" t="n">
        <v>54</v>
      </c>
      <c r="U5981" s="17" t="n">
        <v>10</v>
      </c>
      <c r="V5981" s="17">
        <f>ROUNDUP((T5981+U5981+2*'Read Me'!$B$13)*(1+'Read Me'!$B$12),-1)</f>
        <v/>
      </c>
      <c r="W5981" s="17">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K-I-0066</t>
        </is>
      </c>
      <c r="B5982" s="12" t="inlineStr">
        <is>
          <t>K</t>
        </is>
      </c>
      <c r="C5982" s="12" t="inlineStr">
        <is>
          <t>Fuel supply (adjacent market)</t>
        </is>
      </c>
      <c r="D5982" s="12" t="inlineStr">
        <is>
          <t>Home run JB-H2 27: storage tub-AI01 to the control / marshalling room</t>
        </is>
      </c>
      <c r="E5982" s="12" t="inlineStr"/>
      <c r="F5982" s="12" t="inlineStr">
        <is>
          <t>H2 20: 13.8 kV e-house</t>
        </is>
      </c>
      <c r="G5982" s="12" t="inlineStr">
        <is>
          <t>JB-H2 27: storage tub-AI01</t>
        </is>
      </c>
      <c r="H5982" s="12" t="inlineStr">
        <is>
          <t>H2 27: storage tube bank (~40 ft tubes)</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7" t="n">
        <v>50</v>
      </c>
      <c r="U5982" s="17" t="n">
        <v>117</v>
      </c>
      <c r="V5982" s="17">
        <f>ROUNDUP((T5982+U5982+2*'Read Me'!$B$13)*(1+'Read Me'!$B$12),-1)</f>
        <v/>
      </c>
      <c r="W5982" s="17">
        <f>V5982*N5982*O5982</f>
        <v/>
      </c>
      <c r="X5982" s="12">
        <f>IF(LEFT(I5982,2)="MV",2*N5982*IF(L5982="1/C",O5982,1),0)</f>
        <v/>
      </c>
      <c r="Y5982" s="12">
        <f>IF(OR(LEFT(K5982,4)="LVAX",LEFT(K5982,6)="MV15AX",LEFT(K5982,4)="CTAX",LEFT(K5982,2)="W|"),2*N5982*O5982,0)</f>
        <v/>
      </c>
      <c r="Z5982" s="12" t="inlineStr"/>
      <c r="AA5982" s="12">
        <f>N5982*O5982</f>
        <v/>
      </c>
    </row>
    <row r="5983">
      <c r="A5983" s="12" t="inlineStr">
        <is>
          <t>K-I-0067</t>
        </is>
      </c>
      <c r="B5983" s="12" t="inlineStr">
        <is>
          <t>K</t>
        </is>
      </c>
      <c r="C5983" s="12" t="inlineStr">
        <is>
          <t>Fuel supply (adjacent market)</t>
        </is>
      </c>
      <c r="D5983" s="12" t="inlineStr">
        <is>
          <t>Discrete device to JB JB-H2 27: storage tub-DI01: 12 x 1 pr (field cables)</t>
        </is>
      </c>
      <c r="E5983" s="12" t="inlineStr"/>
      <c r="F5983" s="12" t="inlineStr">
        <is>
          <t>H2 27: storage tube bank (~40 ft tubes)</t>
        </is>
      </c>
      <c r="G5983" s="12" t="inlineStr">
        <is>
          <t>JB-H2 27: storage tub-DI01</t>
        </is>
      </c>
      <c r="H5983" s="12" t="inlineStr">
        <is>
          <t>H2 27: storage tube bank (~40 ft tubes)</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12</v>
      </c>
      <c r="O5983" s="12" t="n">
        <v>1</v>
      </c>
      <c r="P5983" s="12" t="n"/>
      <c r="Q5983" s="12" t="n"/>
      <c r="R5983" s="12" t="n"/>
      <c r="S5983" s="12" t="inlineStr">
        <is>
          <t>Tray / conduit</t>
        </is>
      </c>
      <c r="T5983" s="17" t="n">
        <v>54</v>
      </c>
      <c r="U5983" s="17" t="n">
        <v>10</v>
      </c>
      <c r="V5983" s="17">
        <f>ROUNDUP((T5983+U5983+2*'Read Me'!$B$13)*(1+'Read Me'!$B$12),-1)</f>
        <v/>
      </c>
      <c r="W5983" s="17">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K-I-0068</t>
        </is>
      </c>
      <c r="B5984" s="12" t="inlineStr">
        <is>
          <t>K</t>
        </is>
      </c>
      <c r="C5984" s="12" t="inlineStr">
        <is>
          <t>Fuel supply (adjacent market)</t>
        </is>
      </c>
      <c r="D5984" s="12" t="inlineStr">
        <is>
          <t>Home run JB-H2 27: storage tub-DI01 to the control / marshalling room</t>
        </is>
      </c>
      <c r="E5984" s="12" t="inlineStr"/>
      <c r="F5984" s="12" t="inlineStr">
        <is>
          <t>H2 20: 13.8 kV e-house</t>
        </is>
      </c>
      <c r="G5984" s="12" t="inlineStr">
        <is>
          <t>JB-H2 27: storage tub-DI01</t>
        </is>
      </c>
      <c r="H5984" s="12" t="inlineStr">
        <is>
          <t>H2 27: storage tube bank (~40 ft tubes)</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7" t="n">
        <v>50</v>
      </c>
      <c r="U5984" s="17" t="n">
        <v>117</v>
      </c>
      <c r="V5984" s="17">
        <f>ROUNDUP((T5984+U5984+2*'Read Me'!$B$13)*(1+'Read Me'!$B$12),-1)</f>
        <v/>
      </c>
      <c r="W5984" s="17">
        <f>V5984*N5984*O5984</f>
        <v/>
      </c>
      <c r="X5984" s="12">
        <f>IF(LEFT(I5984,2)="MV",2*N5984*IF(L5984="1/C",O5984,1),0)</f>
        <v/>
      </c>
      <c r="Y5984" s="12">
        <f>IF(OR(LEFT(K5984,4)="LVAX",LEFT(K5984,6)="MV15AX",LEFT(K5984,4)="CTAX",LEFT(K5984,2)="W|"),2*N5984*O5984,0)</f>
        <v/>
      </c>
      <c r="Z5984" s="12" t="inlineStr"/>
      <c r="AA5984" s="12">
        <f>N5984*O5984</f>
        <v/>
      </c>
    </row>
    <row r="5985">
      <c r="A5985" s="12" t="inlineStr">
        <is>
          <t>K-I-0069</t>
        </is>
      </c>
      <c r="B5985" s="12" t="inlineStr">
        <is>
          <t>K</t>
        </is>
      </c>
      <c r="C5985" s="12" t="inlineStr">
        <is>
          <t>Fuel supply (adjacent market)</t>
        </is>
      </c>
      <c r="D5985" s="12" t="inlineStr">
        <is>
          <t>Analog instrument to JB JB-H2 28: N2 purge su-AI01: 12 x 1 pr (field cables)</t>
        </is>
      </c>
      <c r="E5985" s="12" t="inlineStr"/>
      <c r="F5985" s="12" t="inlineStr">
        <is>
          <t>H2 28: N2 purge supply</t>
        </is>
      </c>
      <c r="G5985" s="12" t="inlineStr">
        <is>
          <t>JB-H2 28: N2 purge su-AI01</t>
        </is>
      </c>
      <c r="H5985" s="12" t="inlineStr">
        <is>
          <t>H2 28: N2 purge supply</t>
        </is>
      </c>
      <c r="I5985" s="12" t="inlineStr">
        <is>
          <t>Instrumentation</t>
        </is>
      </c>
      <c r="J5985" s="12" t="inlineStr">
        <is>
          <t>Instrumentation ITC / PLTC, IS, #18 shielded pairs, blue jacket</t>
        </is>
      </c>
      <c r="K5985" s="12" t="inlineStr">
        <is>
          <t>ITC|1 pr|16</t>
        </is>
      </c>
      <c r="L5985" s="12" t="inlineStr">
        <is>
          <t>1 pr</t>
        </is>
      </c>
      <c r="M5985" s="12" t="inlineStr">
        <is>
          <t>16</t>
        </is>
      </c>
      <c r="N5985" s="12" t="n">
        <v>12</v>
      </c>
      <c r="O5985" s="12" t="n">
        <v>1</v>
      </c>
      <c r="P5985" s="12" t="n"/>
      <c r="Q5985" s="12" t="n"/>
      <c r="R5985" s="12" t="n"/>
      <c r="S5985" s="12" t="inlineStr">
        <is>
          <t>Tray / conduit</t>
        </is>
      </c>
      <c r="T5985" s="17" t="n">
        <v>56</v>
      </c>
      <c r="U5985" s="17" t="n">
        <v>10</v>
      </c>
      <c r="V5985" s="17">
        <f>ROUNDUP((T5985+U5985+2*'Read Me'!$B$13)*(1+'Read Me'!$B$12),-1)</f>
        <v/>
      </c>
      <c r="W5985" s="17">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K-I-0070</t>
        </is>
      </c>
      <c r="B5986" s="12" t="inlineStr">
        <is>
          <t>K</t>
        </is>
      </c>
      <c r="C5986" s="12" t="inlineStr">
        <is>
          <t>Fuel supply (adjacent market)</t>
        </is>
      </c>
      <c r="D5986" s="12" t="inlineStr">
        <is>
          <t>Home run JB-H2 28: N2 purge su-AI01 to the control / marshalling room</t>
        </is>
      </c>
      <c r="E5986" s="12" t="inlineStr"/>
      <c r="F5986" s="12" t="inlineStr">
        <is>
          <t>H2 20: 13.8 kV e-house</t>
        </is>
      </c>
      <c r="G5986" s="12" t="inlineStr">
        <is>
          <t>JB-H2 28: N2 purge su-AI01</t>
        </is>
      </c>
      <c r="H5986" s="12" t="inlineStr">
        <is>
          <t>H2 28: N2 purge supply</t>
        </is>
      </c>
      <c r="I5986" s="12" t="inlineStr">
        <is>
          <t>Instrumentation</t>
        </is>
      </c>
      <c r="J5986" s="12" t="inlineStr">
        <is>
          <t>Instrumentation ITC / PLTC, IS, #18 shielded pairs, blue jacket</t>
        </is>
      </c>
      <c r="K5986" s="12" t="inlineStr">
        <is>
          <t>ITC|24 pr|18</t>
        </is>
      </c>
      <c r="L5986" s="12" t="inlineStr">
        <is>
          <t>24 pr</t>
        </is>
      </c>
      <c r="M5986" s="12" t="inlineStr">
        <is>
          <t>18</t>
        </is>
      </c>
      <c r="N5986" s="12" t="n">
        <v>1</v>
      </c>
      <c r="O5986" s="12" t="n">
        <v>1</v>
      </c>
      <c r="P5986" s="12" t="n"/>
      <c r="Q5986" s="12" t="n"/>
      <c r="R5986" s="12" t="n"/>
      <c r="S5986" s="12" t="inlineStr">
        <is>
          <t>Duct bank</t>
        </is>
      </c>
      <c r="T5986" s="17" t="n">
        <v>53</v>
      </c>
      <c r="U5986" s="17" t="n">
        <v>36</v>
      </c>
      <c r="V5986" s="17">
        <f>ROUNDUP((T5986+U5986+2*'Read Me'!$B$13)*(1+'Read Me'!$B$12),-1)</f>
        <v/>
      </c>
      <c r="W5986" s="17">
        <f>V5986*N5986*O5986</f>
        <v/>
      </c>
      <c r="X5986" s="12">
        <f>IF(LEFT(I5986,2)="MV",2*N5986*IF(L5986="1/C",O5986,1),0)</f>
        <v/>
      </c>
      <c r="Y5986" s="12">
        <f>IF(OR(LEFT(K5986,4)="LVAX",LEFT(K5986,6)="MV15AX",LEFT(K5986,4)="CTAX",LEFT(K5986,2)="W|"),2*N5986*O5986,0)</f>
        <v/>
      </c>
      <c r="Z5986" s="12" t="inlineStr"/>
      <c r="AA5986" s="12">
        <f>N5986*O5986</f>
        <v/>
      </c>
    </row>
    <row r="5987">
      <c r="A5987" s="12" t="inlineStr">
        <is>
          <t>K-I-0071</t>
        </is>
      </c>
      <c r="B5987" s="12" t="inlineStr">
        <is>
          <t>K</t>
        </is>
      </c>
      <c r="C5987" s="12" t="inlineStr">
        <is>
          <t>Fuel supply (adjacent market)</t>
        </is>
      </c>
      <c r="D5987" s="12" t="inlineStr">
        <is>
          <t>Discrete device to JB JB-H2 28: N2 purge su-DI01: 12 x 1 pr (field cables)</t>
        </is>
      </c>
      <c r="E5987" s="12" t="inlineStr"/>
      <c r="F5987" s="12" t="inlineStr">
        <is>
          <t>H2 28: N2 purge supply</t>
        </is>
      </c>
      <c r="G5987" s="12" t="inlineStr">
        <is>
          <t>JB-H2 28: N2 purge su-DI01</t>
        </is>
      </c>
      <c r="H5987" s="12" t="inlineStr">
        <is>
          <t>H2 28: N2 purge supply</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12</v>
      </c>
      <c r="O5987" s="12" t="n">
        <v>1</v>
      </c>
      <c r="P5987" s="12" t="n"/>
      <c r="Q5987" s="12" t="n"/>
      <c r="R5987" s="12" t="n"/>
      <c r="S5987" s="12" t="inlineStr">
        <is>
          <t>Tray / conduit</t>
        </is>
      </c>
      <c r="T5987" s="17" t="n">
        <v>56</v>
      </c>
      <c r="U5987" s="17" t="n">
        <v>10</v>
      </c>
      <c r="V5987" s="17">
        <f>ROUNDUP((T5987+U5987+2*'Read Me'!$B$13)*(1+'Read Me'!$B$12),-1)</f>
        <v/>
      </c>
      <c r="W5987" s="17">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K-I-0072</t>
        </is>
      </c>
      <c r="B5988" s="12" t="inlineStr">
        <is>
          <t>K</t>
        </is>
      </c>
      <c r="C5988" s="12" t="inlineStr">
        <is>
          <t>Fuel supply (adjacent market)</t>
        </is>
      </c>
      <c r="D5988" s="12" t="inlineStr">
        <is>
          <t>Home run JB-H2 28: N2 purge su-DI01 to the control / marshalling room</t>
        </is>
      </c>
      <c r="E5988" s="12" t="inlineStr"/>
      <c r="F5988" s="12" t="inlineStr">
        <is>
          <t>H2 20: 13.8 kV e-house</t>
        </is>
      </c>
      <c r="G5988" s="12" t="inlineStr">
        <is>
          <t>JB-H2 28: N2 purge su-DI01</t>
        </is>
      </c>
      <c r="H5988" s="12" t="inlineStr">
        <is>
          <t>H2 28: N2 purge supply</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7" t="n">
        <v>53</v>
      </c>
      <c r="U5988" s="17" t="n">
        <v>36</v>
      </c>
      <c r="V5988" s="17">
        <f>ROUNDUP((T5988+U5988+2*'Read Me'!$B$13)*(1+'Read Me'!$B$12),-1)</f>
        <v/>
      </c>
      <c r="W5988" s="17">
        <f>V5988*N5988*O5988</f>
        <v/>
      </c>
      <c r="X5988" s="12">
        <f>IF(LEFT(I5988,2)="MV",2*N5988*IF(L5988="1/C",O5988,1),0)</f>
        <v/>
      </c>
      <c r="Y5988" s="12">
        <f>IF(OR(LEFT(K5988,4)="LVAX",LEFT(K5988,6)="MV15AX",LEFT(K5988,4)="CTAX",LEFT(K5988,2)="W|"),2*N5988*O5988,0)</f>
        <v/>
      </c>
      <c r="Z5988" s="12" t="inlineStr"/>
      <c r="AA5988" s="12">
        <f>N5988*O5988</f>
        <v/>
      </c>
    </row>
    <row r="5989">
      <c r="A5989" s="12" t="inlineStr">
        <is>
          <t>K-I-0073</t>
        </is>
      </c>
      <c r="B5989" s="12" t="inlineStr">
        <is>
          <t>K</t>
        </is>
      </c>
      <c r="C5989" s="12" t="inlineStr">
        <is>
          <t>Fuel supply (adjacent market)</t>
        </is>
      </c>
      <c r="D5989" s="12" t="inlineStr">
        <is>
          <t>Analog instrument to JB JB-H2 29: vent stack-AI01: 12 x 1 pr (field cables)</t>
        </is>
      </c>
      <c r="E5989" s="12" t="inlineStr"/>
      <c r="F5989" s="12" t="inlineStr">
        <is>
          <t>H2 29: vent stack</t>
        </is>
      </c>
      <c r="G5989" s="12" t="inlineStr">
        <is>
          <t>JB-H2 29: vent stack-AI01</t>
        </is>
      </c>
      <c r="H5989" s="12" t="inlineStr">
        <is>
          <t>H2 29: vent stack</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12</v>
      </c>
      <c r="O5989" s="12" t="n">
        <v>1</v>
      </c>
      <c r="P5989" s="12" t="n"/>
      <c r="Q5989" s="12" t="n"/>
      <c r="R5989" s="12" t="n"/>
      <c r="S5989" s="12" t="inlineStr">
        <is>
          <t>Tray / conduit</t>
        </is>
      </c>
      <c r="T5989" s="17" t="n">
        <v>45</v>
      </c>
      <c r="U5989" s="17" t="n">
        <v>10</v>
      </c>
      <c r="V5989" s="17">
        <f>ROUNDUP((T5989+U5989+2*'Read Me'!$B$13)*(1+'Read Me'!$B$12),-1)</f>
        <v/>
      </c>
      <c r="W5989" s="17">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K-I-0074</t>
        </is>
      </c>
      <c r="B5990" s="12" t="inlineStr">
        <is>
          <t>K</t>
        </is>
      </c>
      <c r="C5990" s="12" t="inlineStr">
        <is>
          <t>Fuel supply (adjacent market)</t>
        </is>
      </c>
      <c r="D5990" s="12" t="inlineStr">
        <is>
          <t>Home run JB-H2 29: vent stack-AI01 to the control / marshalling room</t>
        </is>
      </c>
      <c r="E5990" s="12" t="inlineStr"/>
      <c r="F5990" s="12" t="inlineStr">
        <is>
          <t>H2 20: 13.8 kV e-house</t>
        </is>
      </c>
      <c r="G5990" s="12" t="inlineStr">
        <is>
          <t>JB-H2 29: vent stack-AI01</t>
        </is>
      </c>
      <c r="H5990" s="12" t="inlineStr">
        <is>
          <t>H2 29: vent stack</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7" t="n">
        <v>55</v>
      </c>
      <c r="U5990" s="17" t="n">
        <v>205</v>
      </c>
      <c r="V5990" s="17">
        <f>ROUNDUP((T5990+U5990+2*'Read Me'!$B$13)*(1+'Read Me'!$B$12),-1)</f>
        <v/>
      </c>
      <c r="W5990" s="17">
        <f>V5990*N5990*O5990</f>
        <v/>
      </c>
      <c r="X5990" s="12">
        <f>IF(LEFT(I5990,2)="MV",2*N5990*IF(L5990="1/C",O5990,1),0)</f>
        <v/>
      </c>
      <c r="Y5990" s="12">
        <f>IF(OR(LEFT(K5990,4)="LVAX",LEFT(K5990,6)="MV15AX",LEFT(K5990,4)="CTAX",LEFT(K5990,2)="W|"),2*N5990*O5990,0)</f>
        <v/>
      </c>
      <c r="Z5990" s="12" t="inlineStr"/>
      <c r="AA5990" s="12">
        <f>N5990*O5990</f>
        <v/>
      </c>
    </row>
    <row r="5991">
      <c r="A5991" s="12" t="inlineStr">
        <is>
          <t>K-I-0075</t>
        </is>
      </c>
      <c r="B5991" s="12" t="inlineStr">
        <is>
          <t>K</t>
        </is>
      </c>
      <c r="C5991" s="12" t="inlineStr">
        <is>
          <t>Fuel supply (adjacent market)</t>
        </is>
      </c>
      <c r="D5991" s="12" t="inlineStr">
        <is>
          <t>Discrete device to JB JB-H2 29: vent stack-DI01: 12 x 1 pr (field cables)</t>
        </is>
      </c>
      <c r="E5991" s="12" t="inlineStr"/>
      <c r="F5991" s="12" t="inlineStr">
        <is>
          <t>H2 29: vent stack</t>
        </is>
      </c>
      <c r="G5991" s="12" t="inlineStr">
        <is>
          <t>JB-H2 29: vent stack-DI01</t>
        </is>
      </c>
      <c r="H5991" s="12" t="inlineStr">
        <is>
          <t>H2 29: vent stack</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12</v>
      </c>
      <c r="O5991" s="12" t="n">
        <v>1</v>
      </c>
      <c r="P5991" s="12" t="n"/>
      <c r="Q5991" s="12" t="n"/>
      <c r="R5991" s="12" t="n"/>
      <c r="S5991" s="12" t="inlineStr">
        <is>
          <t>Tray / conduit</t>
        </is>
      </c>
      <c r="T5991" s="17" t="n">
        <v>45</v>
      </c>
      <c r="U5991" s="17" t="n">
        <v>10</v>
      </c>
      <c r="V5991" s="17">
        <f>ROUNDUP((T5991+U5991+2*'Read Me'!$B$13)*(1+'Read Me'!$B$12),-1)</f>
        <v/>
      </c>
      <c r="W5991" s="17">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K-I-0076</t>
        </is>
      </c>
      <c r="B5992" s="12" t="inlineStr">
        <is>
          <t>K</t>
        </is>
      </c>
      <c r="C5992" s="12" t="inlineStr">
        <is>
          <t>Fuel supply (adjacent market)</t>
        </is>
      </c>
      <c r="D5992" s="12" t="inlineStr">
        <is>
          <t>Home run JB-H2 29: vent stack-DI01 to the control / marshalling room</t>
        </is>
      </c>
      <c r="E5992" s="12" t="inlineStr"/>
      <c r="F5992" s="12" t="inlineStr">
        <is>
          <t>H2 20: 13.8 kV e-house</t>
        </is>
      </c>
      <c r="G5992" s="12" t="inlineStr">
        <is>
          <t>JB-H2 29: vent stack-DI01</t>
        </is>
      </c>
      <c r="H5992" s="12" t="inlineStr">
        <is>
          <t>H2 29: vent stack</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7" t="n">
        <v>55</v>
      </c>
      <c r="U5992" s="17" t="n">
        <v>205</v>
      </c>
      <c r="V5992" s="17">
        <f>ROUNDUP((T5992+U5992+2*'Read Me'!$B$13)*(1+'Read Me'!$B$12),-1)</f>
        <v/>
      </c>
      <c r="W5992" s="17">
        <f>V5992*N5992*O5992</f>
        <v/>
      </c>
      <c r="X5992" s="12">
        <f>IF(LEFT(I5992,2)="MV",2*N5992*IF(L5992="1/C",O5992,1),0)</f>
        <v/>
      </c>
      <c r="Y5992" s="12">
        <f>IF(OR(LEFT(K5992,4)="LVAX",LEFT(K5992,6)="MV15AX",LEFT(K5992,4)="CTAX",LEFT(K5992,2)="W|"),2*N5992*O5992,0)</f>
        <v/>
      </c>
      <c r="Z5992" s="12" t="inlineStr"/>
      <c r="AA5992" s="12">
        <f>N5992*O5992</f>
        <v/>
      </c>
    </row>
    <row r="5993">
      <c r="A5993" s="12" t="inlineStr">
        <is>
          <t>K-I-0077</t>
        </is>
      </c>
      <c r="B5993" s="12" t="inlineStr">
        <is>
          <t>K</t>
        </is>
      </c>
      <c r="C5993" s="12" t="inlineStr">
        <is>
          <t>Fuel supply (adjacent market)</t>
        </is>
      </c>
      <c r="D5993" s="12" t="inlineStr">
        <is>
          <t>Analog instrument to JB JB-H2 30: H2 / gas bl-AI01: 12 x 1 pr (field cables)</t>
        </is>
      </c>
      <c r="E5993" s="12" t="inlineStr"/>
      <c r="F5993" s="12" t="inlineStr">
        <is>
          <t>H2 30: H2 / gas blending station (plant gas yard)</t>
        </is>
      </c>
      <c r="G5993" s="12" t="inlineStr">
        <is>
          <t>JB-H2 30: H2 / gas bl-AI01</t>
        </is>
      </c>
      <c r="H5993" s="12" t="inlineStr">
        <is>
          <t>H2 30: H2 / gas blending station (plant gas yard)</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12</v>
      </c>
      <c r="O5993" s="12" t="n">
        <v>1</v>
      </c>
      <c r="P5993" s="12" t="n"/>
      <c r="Q5993" s="12" t="n"/>
      <c r="R5993" s="12" t="n"/>
      <c r="S5993" s="12" t="inlineStr">
        <is>
          <t>Tray / conduit</t>
        </is>
      </c>
      <c r="T5993" s="17" t="n">
        <v>129</v>
      </c>
      <c r="U5993" s="17" t="n">
        <v>10</v>
      </c>
      <c r="V5993" s="17">
        <f>ROUNDUP((T5993+U5993+2*'Read Me'!$B$13)*(1+'Read Me'!$B$12),-1)</f>
        <v/>
      </c>
      <c r="W5993" s="17">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K-I-0078</t>
        </is>
      </c>
      <c r="B5994" s="12" t="inlineStr">
        <is>
          <t>K</t>
        </is>
      </c>
      <c r="C5994" s="12" t="inlineStr">
        <is>
          <t>Fuel supply (adjacent market)</t>
        </is>
      </c>
      <c r="D5994" s="12" t="inlineStr">
        <is>
          <t>Home run JB-H2 30: H2 / gas bl-AI01 to the control / marshalling room</t>
        </is>
      </c>
      <c r="E5994" s="12" t="inlineStr"/>
      <c r="F5994" s="12" t="inlineStr">
        <is>
          <t>LNG 17: LNG e-house (13.8 kV / 480 V)</t>
        </is>
      </c>
      <c r="G5994" s="12" t="inlineStr">
        <is>
          <t>JB-H2 30: H2 / gas bl-AI01</t>
        </is>
      </c>
      <c r="H5994" s="12" t="inlineStr">
        <is>
          <t>H2 30: H2 / gas blending station (plant gas yard)</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7" t="n">
        <v>994</v>
      </c>
      <c r="U5994" s="17" t="n">
        <v>114</v>
      </c>
      <c r="V5994" s="17">
        <f>ROUNDUP((T5994+U5994+2*'Read Me'!$B$13)*(1+'Read Me'!$B$12),-1)</f>
        <v/>
      </c>
      <c r="W5994" s="17">
        <f>V5994*N5994*O5994</f>
        <v/>
      </c>
      <c r="X5994" s="12">
        <f>IF(LEFT(I5994,2)="MV",2*N5994*IF(L5994="1/C",O5994,1),0)</f>
        <v/>
      </c>
      <c r="Y5994" s="12">
        <f>IF(OR(LEFT(K5994,4)="LVAX",LEFT(K5994,6)="MV15AX",LEFT(K5994,4)="CTAX",LEFT(K5994,2)="W|"),2*N5994*O5994,0)</f>
        <v/>
      </c>
      <c r="Z5994" s="12" t="inlineStr"/>
      <c r="AA5994" s="12">
        <f>N5994*O5994</f>
        <v/>
      </c>
    </row>
    <row r="5995">
      <c r="A5995" s="12" t="inlineStr">
        <is>
          <t>K-I-0079</t>
        </is>
      </c>
      <c r="B5995" s="12" t="inlineStr">
        <is>
          <t>K</t>
        </is>
      </c>
      <c r="C5995" s="12" t="inlineStr">
        <is>
          <t>Fuel supply (adjacent market)</t>
        </is>
      </c>
      <c r="D5995" s="12" t="inlineStr">
        <is>
          <t>Discrete device to JB JB-H2 30: H2 / gas bl-DI01: 12 x 1 pr (field cables)</t>
        </is>
      </c>
      <c r="E5995" s="12" t="inlineStr"/>
      <c r="F5995" s="12" t="inlineStr">
        <is>
          <t>H2 30: H2 / gas blending station (plant gas yard)</t>
        </is>
      </c>
      <c r="G5995" s="12" t="inlineStr">
        <is>
          <t>JB-H2 30: H2 / gas bl-DI01</t>
        </is>
      </c>
      <c r="H5995" s="12" t="inlineStr">
        <is>
          <t>H2 30: H2 / gas blending station (plant gas yard)</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12</v>
      </c>
      <c r="O5995" s="12" t="n">
        <v>1</v>
      </c>
      <c r="P5995" s="12" t="n"/>
      <c r="Q5995" s="12" t="n"/>
      <c r="R5995" s="12" t="n"/>
      <c r="S5995" s="12" t="inlineStr">
        <is>
          <t>Tray / conduit</t>
        </is>
      </c>
      <c r="T5995" s="17" t="n">
        <v>129</v>
      </c>
      <c r="U5995" s="17" t="n">
        <v>10</v>
      </c>
      <c r="V5995" s="17">
        <f>ROUNDUP((T5995+U5995+2*'Read Me'!$B$13)*(1+'Read Me'!$B$12),-1)</f>
        <v/>
      </c>
      <c r="W5995" s="17">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K-I-0080</t>
        </is>
      </c>
      <c r="B5996" s="12" t="inlineStr">
        <is>
          <t>K</t>
        </is>
      </c>
      <c r="C5996" s="12" t="inlineStr">
        <is>
          <t>Fuel supply (adjacent market)</t>
        </is>
      </c>
      <c r="D5996" s="12" t="inlineStr">
        <is>
          <t>Home run JB-H2 30: H2 / gas bl-DI01 to the control / marshalling room</t>
        </is>
      </c>
      <c r="E5996" s="12" t="inlineStr"/>
      <c r="F5996" s="12" t="inlineStr">
        <is>
          <t>LNG 17: LNG e-house (13.8 kV / 480 V)</t>
        </is>
      </c>
      <c r="G5996" s="12" t="inlineStr">
        <is>
          <t>JB-H2 30: H2 / gas bl-DI01</t>
        </is>
      </c>
      <c r="H5996" s="12" t="inlineStr">
        <is>
          <t>H2 30: H2 / gas blending station (plant gas yard)</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7" t="n">
        <v>994</v>
      </c>
      <c r="U5996" s="17" t="n">
        <v>114</v>
      </c>
      <c r="V5996" s="17">
        <f>ROUNDUP((T5996+U5996+2*'Read Me'!$B$13)*(1+'Read Me'!$B$12),-1)</f>
        <v/>
      </c>
      <c r="W5996" s="17">
        <f>V5996*N5996*O5996</f>
        <v/>
      </c>
      <c r="X5996" s="12">
        <f>IF(LEFT(I5996,2)="MV",2*N5996*IF(L5996="1/C",O5996,1),0)</f>
        <v/>
      </c>
      <c r="Y5996" s="12">
        <f>IF(OR(LEFT(K5996,4)="LVAX",LEFT(K5996,6)="MV15AX",LEFT(K5996,4)="CTAX",LEFT(K5996,2)="W|"),2*N5996*O5996,0)</f>
        <v/>
      </c>
      <c r="Z5996" s="12" t="inlineStr"/>
      <c r="AA5996" s="12">
        <f>N5996*O5996</f>
        <v/>
      </c>
    </row>
    <row r="5997">
      <c r="A5997" s="12" t="inlineStr">
        <is>
          <t>K-I-0081</t>
        </is>
      </c>
      <c r="B5997" s="12" t="inlineStr">
        <is>
          <t>K</t>
        </is>
      </c>
      <c r="C5997" s="12" t="inlineStr">
        <is>
          <t>Fuel supply (adjacent market)</t>
        </is>
      </c>
      <c r="D5997" s="12" t="inlineStr">
        <is>
          <t>Analog instrument to JB JB-H2 pipe track and -AI01: 10 x 1 pr (field cables)</t>
        </is>
      </c>
      <c r="E5997" s="12" t="inlineStr"/>
      <c r="F5997" s="12" t="inlineStr">
        <is>
          <t>H2 pipe track and cable trench, hall -&gt; dryer / compressors (N2, instr</t>
        </is>
      </c>
      <c r="G5997" s="12" t="inlineStr">
        <is>
          <t>JB-H2 pipe track and -AI01</t>
        </is>
      </c>
      <c r="H5997" s="12" t="inlineStr">
        <is>
          <t>H2 pipe track and cable trench, hall -&gt; dryer / compressors (N2, instr</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10</v>
      </c>
      <c r="O5997" s="12" t="n">
        <v>1</v>
      </c>
      <c r="P5997" s="12" t="n"/>
      <c r="Q5997" s="12" t="n"/>
      <c r="R5997" s="12" t="n"/>
      <c r="S5997" s="12" t="inlineStr">
        <is>
          <t>Tray / conduit</t>
        </is>
      </c>
      <c r="T5997" s="17" t="n">
        <v>70</v>
      </c>
      <c r="U5997" s="17" t="n">
        <v>10</v>
      </c>
      <c r="V5997" s="17">
        <f>ROUNDUP((T5997+U5997+2*'Read Me'!$B$13)*(1+'Read Me'!$B$12),-1)</f>
        <v/>
      </c>
      <c r="W5997" s="17">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K-I-0082</t>
        </is>
      </c>
      <c r="B5998" s="12" t="inlineStr">
        <is>
          <t>K</t>
        </is>
      </c>
      <c r="C5998" s="12" t="inlineStr">
        <is>
          <t>Fuel supply (adjacent market)</t>
        </is>
      </c>
      <c r="D5998" s="12" t="inlineStr">
        <is>
          <t>Home run JB-H2 pipe track and -AI01 to the control / marshalling room</t>
        </is>
      </c>
      <c r="E5998" s="12" t="inlineStr"/>
      <c r="F5998" s="12" t="inlineStr">
        <is>
          <t>H2 20: 13.8 kV e-house</t>
        </is>
      </c>
      <c r="G5998" s="12" t="inlineStr">
        <is>
          <t>JB-H2 pipe track and -AI01</t>
        </is>
      </c>
      <c r="H5998" s="12" t="inlineStr">
        <is>
          <t>H2 pipe track and cable trench, hall -&gt; dryer / compressors (N2, instr</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7" t="n">
        <v>53</v>
      </c>
      <c r="U5998" s="17" t="n">
        <v>62</v>
      </c>
      <c r="V5998" s="17">
        <f>ROUNDUP((T5998+U5998+2*'Read Me'!$B$13)*(1+'Read Me'!$B$12),-1)</f>
        <v/>
      </c>
      <c r="W5998" s="17">
        <f>V5998*N5998*O5998</f>
        <v/>
      </c>
      <c r="X5998" s="12">
        <f>IF(LEFT(I5998,2)="MV",2*N5998*IF(L5998="1/C",O5998,1),0)</f>
        <v/>
      </c>
      <c r="Y5998" s="12">
        <f>IF(OR(LEFT(K5998,4)="LVAX",LEFT(K5998,6)="MV15AX",LEFT(K5998,4)="CTAX",LEFT(K5998,2)="W|"),2*N5998*O5998,0)</f>
        <v/>
      </c>
      <c r="Z5998" s="12" t="inlineStr"/>
      <c r="AA5998" s="12">
        <f>N5998*O5998</f>
        <v/>
      </c>
    </row>
    <row r="5999">
      <c r="A5999" s="12" t="inlineStr">
        <is>
          <t>K-I-0083</t>
        </is>
      </c>
      <c r="B5999" s="12" t="inlineStr">
        <is>
          <t>K</t>
        </is>
      </c>
      <c r="C5999" s="12" t="inlineStr">
        <is>
          <t>Fuel supply (adjacent market)</t>
        </is>
      </c>
      <c r="D5999" s="12" t="inlineStr">
        <is>
          <t>Discrete device to JB JB-H2 pipe track and -DI01: 10 x 1 pr (field cables)</t>
        </is>
      </c>
      <c r="E5999" s="12" t="inlineStr"/>
      <c r="F5999" s="12" t="inlineStr">
        <is>
          <t>H2 pipe track and cable trench, hall -&gt; dryer / compressors (N2, instr</t>
        </is>
      </c>
      <c r="G5999" s="12" t="inlineStr">
        <is>
          <t>JB-H2 pipe track and -DI01</t>
        </is>
      </c>
      <c r="H5999" s="12" t="inlineStr">
        <is>
          <t>H2 pipe track and cable trench, hall -&gt; dryer / compressors (N2, instr</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10</v>
      </c>
      <c r="O5999" s="12" t="n">
        <v>1</v>
      </c>
      <c r="P5999" s="12" t="n"/>
      <c r="Q5999" s="12" t="n"/>
      <c r="R5999" s="12" t="n"/>
      <c r="S5999" s="12" t="inlineStr">
        <is>
          <t>Tray / conduit</t>
        </is>
      </c>
      <c r="T5999" s="17" t="n">
        <v>70</v>
      </c>
      <c r="U5999" s="17" t="n">
        <v>10</v>
      </c>
      <c r="V5999" s="17">
        <f>ROUNDUP((T5999+U5999+2*'Read Me'!$B$13)*(1+'Read Me'!$B$12),-1)</f>
        <v/>
      </c>
      <c r="W5999" s="17">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K-I-0084</t>
        </is>
      </c>
      <c r="B6000" s="12" t="inlineStr">
        <is>
          <t>K</t>
        </is>
      </c>
      <c r="C6000" s="12" t="inlineStr">
        <is>
          <t>Fuel supply (adjacent market)</t>
        </is>
      </c>
      <c r="D6000" s="12" t="inlineStr">
        <is>
          <t>Home run JB-H2 pipe track and -DI01 to the control / marshalling room</t>
        </is>
      </c>
      <c r="E6000" s="12" t="inlineStr"/>
      <c r="F6000" s="12" t="inlineStr">
        <is>
          <t>H2 20: 13.8 kV e-house</t>
        </is>
      </c>
      <c r="G6000" s="12" t="inlineStr">
        <is>
          <t>JB-H2 pipe track and -DI01</t>
        </is>
      </c>
      <c r="H6000" s="12" t="inlineStr">
        <is>
          <t>H2 pipe track and cable trench, hall -&gt; dryer / compressors (N2, instr</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7" t="n">
        <v>53</v>
      </c>
      <c r="U6000" s="17" t="n">
        <v>62</v>
      </c>
      <c r="V6000" s="17">
        <f>ROUNDUP((T6000+U6000+2*'Read Me'!$B$13)*(1+'Read Me'!$B$12),-1)</f>
        <v/>
      </c>
      <c r="W6000" s="17">
        <f>V6000*N6000*O6000</f>
        <v/>
      </c>
      <c r="X6000" s="12">
        <f>IF(LEFT(I6000,2)="MV",2*N6000*IF(L6000="1/C",O6000,1),0)</f>
        <v/>
      </c>
      <c r="Y6000" s="12">
        <f>IF(OR(LEFT(K6000,4)="LVAX",LEFT(K6000,6)="MV15AX",LEFT(K6000,4)="CTAX",LEFT(K6000,2)="W|"),2*N6000*O6000,0)</f>
        <v/>
      </c>
      <c r="Z6000" s="12" t="inlineStr"/>
      <c r="AA6000" s="12">
        <f>N6000*O6000</f>
        <v/>
      </c>
    </row>
    <row r="6001">
      <c r="A6001" s="12" t="inlineStr">
        <is>
          <t>K-I-0085</t>
        </is>
      </c>
      <c r="B6001" s="12" t="inlineStr">
        <is>
          <t>K</t>
        </is>
      </c>
      <c r="C6001" s="12" t="inlineStr">
        <is>
          <t>Fuel supply (adjacent market)</t>
        </is>
      </c>
      <c r="D6001" s="12" t="inlineStr">
        <is>
          <t>Instrumentation</t>
        </is>
      </c>
      <c r="E6001" s="12" t="inlineStr"/>
      <c r="F6001" s="12" t="inlineStr">
        <is>
          <t>H2 20: 13.8 kV e-house</t>
        </is>
      </c>
      <c r="G6001" s="12" t="inlineStr">
        <is>
          <t>H2-ST</t>
        </is>
      </c>
      <c r="H6001" s="12" t="inlineStr">
        <is>
          <t>H2 storage tube banks x4</t>
        </is>
      </c>
      <c r="I6001" s="12" t="inlineStr">
        <is>
          <t>Instrumentation</t>
        </is>
      </c>
      <c r="J6001" s="12" t="inlineStr">
        <is>
          <t>Instrumentation ITC / PLTC, IS, #18 shielded pairs, blue jacket</t>
        </is>
      </c>
      <c r="K6001" s="12" t="inlineStr">
        <is>
          <t>ITC|4 pr|18</t>
        </is>
      </c>
      <c r="L6001" s="12" t="inlineStr">
        <is>
          <t>4 pr</t>
        </is>
      </c>
      <c r="M6001" s="12" t="inlineStr">
        <is>
          <t>18</t>
        </is>
      </c>
      <c r="N6001" s="12" t="n">
        <v>1</v>
      </c>
      <c r="O6001" s="12" t="n">
        <v>1</v>
      </c>
      <c r="P6001" s="12" t="n"/>
      <c r="Q6001" s="12" t="n"/>
      <c r="R6001" s="12" t="n"/>
      <c r="S6001" s="12" t="inlineStr">
        <is>
          <t>Duct bank</t>
        </is>
      </c>
      <c r="T6001" s="17" t="n">
        <v>50</v>
      </c>
      <c r="U6001" s="17" t="n">
        <v>92</v>
      </c>
      <c r="V6001" s="17">
        <f>ROUNDUP((T6001+U6001+2*'Read Me'!$B$13)*(1+'Read Me'!$B$12),-1)</f>
        <v/>
      </c>
      <c r="W6001" s="17">
        <f>V6001*N6001*O6001</f>
        <v/>
      </c>
      <c r="X6001" s="12">
        <f>IF(LEFT(I6001,2)="MV",2*N6001*IF(L6001="1/C",O6001,1),0)</f>
        <v/>
      </c>
      <c r="Y6001" s="12">
        <f>IF(OR(LEFT(K6001,4)="LVAX",LEFT(K6001,6)="MV15AX",LEFT(K6001,4)="CTAX",LEFT(K6001,2)="W|"),2*N6001*O6001,0)</f>
        <v/>
      </c>
      <c r="Z6001" s="12" t="inlineStr"/>
      <c r="AA6001" s="12">
        <f>N6001*O6001</f>
        <v/>
      </c>
    </row>
    <row r="6002">
      <c r="A6002" s="12" t="inlineStr">
        <is>
          <t>K-I-0086</t>
        </is>
      </c>
      <c r="B6002" s="12" t="inlineStr">
        <is>
          <t>K</t>
        </is>
      </c>
      <c r="C6002" s="12" t="inlineStr">
        <is>
          <t>Fuel supply (adjacent market)</t>
        </is>
      </c>
      <c r="D6002" s="12" t="inlineStr">
        <is>
          <t>Instrumentation</t>
        </is>
      </c>
      <c r="E6002" s="12" t="inlineStr"/>
      <c r="F6002" s="12" t="inlineStr">
        <is>
          <t>H2 20: 13.8 kV e-house</t>
        </is>
      </c>
      <c r="G6002" s="12" t="inlineStr">
        <is>
          <t>H2R</t>
        </is>
      </c>
      <c r="H6002" s="12" t="inlineStr">
        <is>
          <t>H2R: hydrogen pipeline receiving station (pig receiver, filters, meter</t>
        </is>
      </c>
      <c r="I6002" s="12" t="inlineStr">
        <is>
          <t>Instrumentation</t>
        </is>
      </c>
      <c r="J6002" s="12" t="inlineStr">
        <is>
          <t>Instrumentation ITC / PLTC, IS, #18 shielded pairs, blue jacket</t>
        </is>
      </c>
      <c r="K6002" s="12" t="inlineStr">
        <is>
          <t>ITC|4 pr|18</t>
        </is>
      </c>
      <c r="L6002" s="12" t="inlineStr">
        <is>
          <t>4 pr</t>
        </is>
      </c>
      <c r="M6002" s="12" t="inlineStr">
        <is>
          <t>18</t>
        </is>
      </c>
      <c r="N6002" s="12" t="n">
        <v>1</v>
      </c>
      <c r="O6002" s="12" t="n">
        <v>1</v>
      </c>
      <c r="P6002" s="12" t="n"/>
      <c r="Q6002" s="12" t="n"/>
      <c r="R6002" s="12" t="n"/>
      <c r="S6002" s="12" t="inlineStr">
        <is>
          <t>Duct bank</t>
        </is>
      </c>
      <c r="T6002" s="17" t="n">
        <v>40</v>
      </c>
      <c r="U6002" s="17" t="n">
        <v>32</v>
      </c>
      <c r="V6002" s="17">
        <f>ROUNDUP((T6002+U6002+2*'Read Me'!$B$13)*(1+'Read Me'!$B$12),-1)</f>
        <v/>
      </c>
      <c r="W6002" s="17">
        <f>V6002*N6002*O6002</f>
        <v/>
      </c>
      <c r="X6002" s="12">
        <f>IF(LEFT(I6002,2)="MV",2*N6002*IF(L6002="1/C",O6002,1),0)</f>
        <v/>
      </c>
      <c r="Y6002" s="12">
        <f>IF(OR(LEFT(K6002,4)="LVAX",LEFT(K6002,6)="MV15AX",LEFT(K6002,4)="CTAX",LEFT(K6002,2)="W|"),2*N6002*O6002,0)</f>
        <v/>
      </c>
      <c r="Z6002" s="12" t="inlineStr"/>
      <c r="AA6002" s="12">
        <f>N6002*O6002</f>
        <v/>
      </c>
    </row>
    <row r="6003">
      <c r="A6003" s="12" t="inlineStr">
        <is>
          <t>K-I-0087</t>
        </is>
      </c>
      <c r="B6003" s="12" t="inlineStr">
        <is>
          <t>K</t>
        </is>
      </c>
      <c r="C6003" s="12" t="inlineStr">
        <is>
          <t>Fuel supply (adjacent market)</t>
        </is>
      </c>
      <c r="D6003" s="12" t="inlineStr">
        <is>
          <t>Analog instrument to JB JB-LNG 10: truck unlo-AI01: 12 x 1 pr (field cables)</t>
        </is>
      </c>
      <c r="E6003" s="12" t="inlineStr"/>
      <c r="F6003" s="12" t="inlineStr">
        <is>
          <t>LNG 10: truck unloading bay 1</t>
        </is>
      </c>
      <c r="G6003" s="12" t="inlineStr">
        <is>
          <t>JB-LNG 10: truck unlo-AI01</t>
        </is>
      </c>
      <c r="H6003" s="12" t="inlineStr">
        <is>
          <t>LNG 10: truck unloading bay 1</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12</v>
      </c>
      <c r="O6003" s="12" t="n">
        <v>1</v>
      </c>
      <c r="P6003" s="12" t="n"/>
      <c r="Q6003" s="12" t="n"/>
      <c r="R6003" s="12" t="n"/>
      <c r="S6003" s="12" t="inlineStr">
        <is>
          <t>Tray / conduit</t>
        </is>
      </c>
      <c r="T6003" s="17" t="n">
        <v>72</v>
      </c>
      <c r="U6003" s="17" t="n">
        <v>10</v>
      </c>
      <c r="V6003" s="17">
        <f>ROUNDUP((T6003+U6003+2*'Read Me'!$B$13)*(1+'Read Me'!$B$12),-1)</f>
        <v/>
      </c>
      <c r="W6003" s="17">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K-I-0088</t>
        </is>
      </c>
      <c r="B6004" s="12" t="inlineStr">
        <is>
          <t>K</t>
        </is>
      </c>
      <c r="C6004" s="12" t="inlineStr">
        <is>
          <t>Fuel supply (adjacent market)</t>
        </is>
      </c>
      <c r="D6004" s="12" t="inlineStr">
        <is>
          <t>Home run JB-LNG 10: truck unlo-AI01 to the control / marshalling room</t>
        </is>
      </c>
      <c r="E6004" s="12" t="inlineStr"/>
      <c r="F6004" s="12" t="inlineStr">
        <is>
          <t>LNG 17: LNG e-house (13.8 kV / 480 V)</t>
        </is>
      </c>
      <c r="G6004" s="12" t="inlineStr">
        <is>
          <t>JB-LNG 10: truck unlo-AI01</t>
        </is>
      </c>
      <c r="H6004" s="12" t="inlineStr">
        <is>
          <t>LNG 10: truck unloading bay 1</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7" t="n">
        <v>237</v>
      </c>
      <c r="U6004" s="17" t="n">
        <v>61</v>
      </c>
      <c r="V6004" s="17">
        <f>ROUNDUP((T6004+U6004+2*'Read Me'!$B$13)*(1+'Read Me'!$B$12),-1)</f>
        <v/>
      </c>
      <c r="W6004" s="17">
        <f>V6004*N6004*O6004</f>
        <v/>
      </c>
      <c r="X6004" s="12">
        <f>IF(LEFT(I6004,2)="MV",2*N6004*IF(L6004="1/C",O6004,1),0)</f>
        <v/>
      </c>
      <c r="Y6004" s="12">
        <f>IF(OR(LEFT(K6004,4)="LVAX",LEFT(K6004,6)="MV15AX",LEFT(K6004,4)="CTAX",LEFT(K6004,2)="W|"),2*N6004*O6004,0)</f>
        <v/>
      </c>
      <c r="Z6004" s="12" t="inlineStr"/>
      <c r="AA6004" s="12">
        <f>N6004*O6004</f>
        <v/>
      </c>
    </row>
    <row r="6005">
      <c r="A6005" s="12" t="inlineStr">
        <is>
          <t>K-I-0089</t>
        </is>
      </c>
      <c r="B6005" s="12" t="inlineStr">
        <is>
          <t>K</t>
        </is>
      </c>
      <c r="C6005" s="12" t="inlineStr">
        <is>
          <t>Fuel supply (adjacent market)</t>
        </is>
      </c>
      <c r="D6005" s="12" t="inlineStr">
        <is>
          <t>Discrete device to JB JB-LNG 10: truck unlo-DI01: 12 x 1 pr (field cables)</t>
        </is>
      </c>
      <c r="E6005" s="12" t="inlineStr"/>
      <c r="F6005" s="12" t="inlineStr">
        <is>
          <t>LNG 10: truck unloading bay 1</t>
        </is>
      </c>
      <c r="G6005" s="12" t="inlineStr">
        <is>
          <t>JB-LNG 10: truck unlo-DI01</t>
        </is>
      </c>
      <c r="H6005" s="12" t="inlineStr">
        <is>
          <t>LNG 10: truck unloading bay 1</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12</v>
      </c>
      <c r="O6005" s="12" t="n">
        <v>1</v>
      </c>
      <c r="P6005" s="12" t="n"/>
      <c r="Q6005" s="12" t="n"/>
      <c r="R6005" s="12" t="n"/>
      <c r="S6005" s="12" t="inlineStr">
        <is>
          <t>Tray / conduit</t>
        </is>
      </c>
      <c r="T6005" s="17" t="n">
        <v>72</v>
      </c>
      <c r="U6005" s="17" t="n">
        <v>10</v>
      </c>
      <c r="V6005" s="17">
        <f>ROUNDUP((T6005+U6005+2*'Read Me'!$B$13)*(1+'Read Me'!$B$12),-1)</f>
        <v/>
      </c>
      <c r="W6005" s="17">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K-I-0090</t>
        </is>
      </c>
      <c r="B6006" s="12" t="inlineStr">
        <is>
          <t>K</t>
        </is>
      </c>
      <c r="C6006" s="12" t="inlineStr">
        <is>
          <t>Fuel supply (adjacent market)</t>
        </is>
      </c>
      <c r="D6006" s="12" t="inlineStr">
        <is>
          <t>Home run JB-LNG 10: truck unlo-DI01 to the control / marshalling room</t>
        </is>
      </c>
      <c r="E6006" s="12" t="inlineStr"/>
      <c r="F6006" s="12" t="inlineStr">
        <is>
          <t>LNG 17: LNG e-house (13.8 kV / 480 V)</t>
        </is>
      </c>
      <c r="G6006" s="12" t="inlineStr">
        <is>
          <t>JB-LNG 10: truck unlo-DI01</t>
        </is>
      </c>
      <c r="H6006" s="12" t="inlineStr">
        <is>
          <t>LNG 10: truck unloading bay 1</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7" t="n">
        <v>237</v>
      </c>
      <c r="U6006" s="17" t="n">
        <v>61</v>
      </c>
      <c r="V6006" s="17">
        <f>ROUNDUP((T6006+U6006+2*'Read Me'!$B$13)*(1+'Read Me'!$B$12),-1)</f>
        <v/>
      </c>
      <c r="W6006" s="17">
        <f>V6006*N6006*O6006</f>
        <v/>
      </c>
      <c r="X6006" s="12">
        <f>IF(LEFT(I6006,2)="MV",2*N6006*IF(L6006="1/C",O6006,1),0)</f>
        <v/>
      </c>
      <c r="Y6006" s="12">
        <f>IF(OR(LEFT(K6006,4)="LVAX",LEFT(K6006,6)="MV15AX",LEFT(K6006,4)="CTAX",LEFT(K6006,2)="W|"),2*N6006*O6006,0)</f>
        <v/>
      </c>
      <c r="Z6006" s="12" t="inlineStr"/>
      <c r="AA6006" s="12">
        <f>N6006*O6006</f>
        <v/>
      </c>
    </row>
    <row r="6007">
      <c r="A6007" s="12" t="inlineStr">
        <is>
          <t>K-I-0091</t>
        </is>
      </c>
      <c r="B6007" s="12" t="inlineStr">
        <is>
          <t>K</t>
        </is>
      </c>
      <c r="C6007" s="12" t="inlineStr">
        <is>
          <t>Fuel supply (adjacent market)</t>
        </is>
      </c>
      <c r="D6007" s="12" t="inlineStr">
        <is>
          <t>Analog instrument to JB JB-LNG 10: truck unlo-AI01: 12 x 1 pr (field cables)</t>
        </is>
      </c>
      <c r="E6007" s="12" t="inlineStr"/>
      <c r="F6007" s="12" t="inlineStr">
        <is>
          <t>LNG 10: truck unloading bay 2</t>
        </is>
      </c>
      <c r="G6007" s="12" t="inlineStr">
        <is>
          <t>JB-LNG 10: truck unlo-AI01</t>
        </is>
      </c>
      <c r="H6007" s="12" t="inlineStr">
        <is>
          <t>LNG 10: truck unloading bay 2</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12</v>
      </c>
      <c r="O6007" s="12" t="n">
        <v>1</v>
      </c>
      <c r="P6007" s="12" t="n"/>
      <c r="Q6007" s="12" t="n"/>
      <c r="R6007" s="12" t="n"/>
      <c r="S6007" s="12" t="inlineStr">
        <is>
          <t>Tray / conduit</t>
        </is>
      </c>
      <c r="T6007" s="17" t="n">
        <v>72</v>
      </c>
      <c r="U6007" s="17" t="n">
        <v>10</v>
      </c>
      <c r="V6007" s="17">
        <f>ROUNDUP((T6007+U6007+2*'Read Me'!$B$13)*(1+'Read Me'!$B$12),-1)</f>
        <v/>
      </c>
      <c r="W6007" s="17">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K-I-0092</t>
        </is>
      </c>
      <c r="B6008" s="12" t="inlineStr">
        <is>
          <t>K</t>
        </is>
      </c>
      <c r="C6008" s="12" t="inlineStr">
        <is>
          <t>Fuel supply (adjacent market)</t>
        </is>
      </c>
      <c r="D6008" s="12" t="inlineStr">
        <is>
          <t>Home run JB-LNG 10: truck unlo-AI01 to the control / marshalling room</t>
        </is>
      </c>
      <c r="E6008" s="12" t="inlineStr"/>
      <c r="F6008" s="12" t="inlineStr">
        <is>
          <t>LNG 17: LNG e-house (13.8 kV / 480 V)</t>
        </is>
      </c>
      <c r="G6008" s="12" t="inlineStr">
        <is>
          <t>JB-LNG 10: truck unlo-AI01</t>
        </is>
      </c>
      <c r="H6008" s="12" t="inlineStr">
        <is>
          <t>LNG 10: truck unloading bay 2</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7" t="n">
        <v>147</v>
      </c>
      <c r="U6008" s="17" t="n">
        <v>66</v>
      </c>
      <c r="V6008" s="17">
        <f>ROUNDUP((T6008+U6008+2*'Read Me'!$B$13)*(1+'Read Me'!$B$12),-1)</f>
        <v/>
      </c>
      <c r="W6008" s="17">
        <f>V6008*N6008*O6008</f>
        <v/>
      </c>
      <c r="X6008" s="12">
        <f>IF(LEFT(I6008,2)="MV",2*N6008*IF(L6008="1/C",O6008,1),0)</f>
        <v/>
      </c>
      <c r="Y6008" s="12">
        <f>IF(OR(LEFT(K6008,4)="LVAX",LEFT(K6008,6)="MV15AX",LEFT(K6008,4)="CTAX",LEFT(K6008,2)="W|"),2*N6008*O6008,0)</f>
        <v/>
      </c>
      <c r="Z6008" s="12" t="inlineStr"/>
      <c r="AA6008" s="12">
        <f>N6008*O6008</f>
        <v/>
      </c>
    </row>
    <row r="6009">
      <c r="A6009" s="12" t="inlineStr">
        <is>
          <t>K-I-0093</t>
        </is>
      </c>
      <c r="B6009" s="12" t="inlineStr">
        <is>
          <t>K</t>
        </is>
      </c>
      <c r="C6009" s="12" t="inlineStr">
        <is>
          <t>Fuel supply (adjacent market)</t>
        </is>
      </c>
      <c r="D6009" s="12" t="inlineStr">
        <is>
          <t>Discrete device to JB JB-LNG 10: truck unlo-DI01: 12 x 1 pr (field cables)</t>
        </is>
      </c>
      <c r="E6009" s="12" t="inlineStr"/>
      <c r="F6009" s="12" t="inlineStr">
        <is>
          <t>LNG 10: truck unloading bay 2</t>
        </is>
      </c>
      <c r="G6009" s="12" t="inlineStr">
        <is>
          <t>JB-LNG 10: truck unlo-DI01</t>
        </is>
      </c>
      <c r="H6009" s="12" t="inlineStr">
        <is>
          <t>LNG 10: truck unloading bay 2</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12</v>
      </c>
      <c r="O6009" s="12" t="n">
        <v>1</v>
      </c>
      <c r="P6009" s="12" t="n"/>
      <c r="Q6009" s="12" t="n"/>
      <c r="R6009" s="12" t="n"/>
      <c r="S6009" s="12" t="inlineStr">
        <is>
          <t>Tray / conduit</t>
        </is>
      </c>
      <c r="T6009" s="17" t="n">
        <v>72</v>
      </c>
      <c r="U6009" s="17" t="n">
        <v>10</v>
      </c>
      <c r="V6009" s="17">
        <f>ROUNDUP((T6009+U6009+2*'Read Me'!$B$13)*(1+'Read Me'!$B$12),-1)</f>
        <v/>
      </c>
      <c r="W6009" s="17">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K-I-0094</t>
        </is>
      </c>
      <c r="B6010" s="12" t="inlineStr">
        <is>
          <t>K</t>
        </is>
      </c>
      <c r="C6010" s="12" t="inlineStr">
        <is>
          <t>Fuel supply (adjacent market)</t>
        </is>
      </c>
      <c r="D6010" s="12" t="inlineStr">
        <is>
          <t>Home run JB-LNG 10: truck unlo-DI01 to the control / marshalling room</t>
        </is>
      </c>
      <c r="E6010" s="12" t="inlineStr"/>
      <c r="F6010" s="12" t="inlineStr">
        <is>
          <t>LNG 17: LNG e-house (13.8 kV / 480 V)</t>
        </is>
      </c>
      <c r="G6010" s="12" t="inlineStr">
        <is>
          <t>JB-LNG 10: truck unlo-DI01</t>
        </is>
      </c>
      <c r="H6010" s="12" t="inlineStr">
        <is>
          <t>LNG 10: truck unloading bay 2</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7" t="n">
        <v>147</v>
      </c>
      <c r="U6010" s="17" t="n">
        <v>66</v>
      </c>
      <c r="V6010" s="17">
        <f>ROUNDUP((T6010+U6010+2*'Read Me'!$B$13)*(1+'Read Me'!$B$12),-1)</f>
        <v/>
      </c>
      <c r="W6010" s="17">
        <f>V6010*N6010*O6010</f>
        <v/>
      </c>
      <c r="X6010" s="12">
        <f>IF(LEFT(I6010,2)="MV",2*N6010*IF(L6010="1/C",O6010,1),0)</f>
        <v/>
      </c>
      <c r="Y6010" s="12">
        <f>IF(OR(LEFT(K6010,4)="LVAX",LEFT(K6010,6)="MV15AX",LEFT(K6010,4)="CTAX",LEFT(K6010,2)="W|"),2*N6010*O6010,0)</f>
        <v/>
      </c>
      <c r="Z6010" s="12" t="inlineStr"/>
      <c r="AA6010" s="12">
        <f>N6010*O6010</f>
        <v/>
      </c>
    </row>
    <row r="6011">
      <c r="A6011" s="12" t="inlineStr">
        <is>
          <t>K-I-0095</t>
        </is>
      </c>
      <c r="B6011" s="12" t="inlineStr">
        <is>
          <t>K</t>
        </is>
      </c>
      <c r="C6011" s="12" t="inlineStr">
        <is>
          <t>Fuel supply (adjacent market)</t>
        </is>
      </c>
      <c r="D6011" s="12" t="inlineStr">
        <is>
          <t>Analog instrument to JB JB-LNG 10: unloading -AI01: 12 x 1 pr (field cables)</t>
        </is>
      </c>
      <c r="E6011" s="12" t="inlineStr"/>
      <c r="F6011" s="12" t="inlineStr">
        <is>
          <t>LNG 10: unloading skid</t>
        </is>
      </c>
      <c r="G6011" s="12" t="inlineStr">
        <is>
          <t>JB-LNG 10: unloading -AI01</t>
        </is>
      </c>
      <c r="H6011" s="12" t="inlineStr">
        <is>
          <t>LNG 10: unloading skid</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12</v>
      </c>
      <c r="O6011" s="12" t="n">
        <v>1</v>
      </c>
      <c r="P6011" s="12" t="n"/>
      <c r="Q6011" s="12" t="n"/>
      <c r="R6011" s="12" t="n"/>
      <c r="S6011" s="12" t="inlineStr">
        <is>
          <t>Tray / conduit</t>
        </is>
      </c>
      <c r="T6011" s="17" t="n">
        <v>54</v>
      </c>
      <c r="U6011" s="17" t="n">
        <v>10</v>
      </c>
      <c r="V6011" s="17">
        <f>ROUNDUP((T6011+U6011+2*'Read Me'!$B$13)*(1+'Read Me'!$B$12),-1)</f>
        <v/>
      </c>
      <c r="W6011" s="17">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K-I-0096</t>
        </is>
      </c>
      <c r="B6012" s="12" t="inlineStr">
        <is>
          <t>K</t>
        </is>
      </c>
      <c r="C6012" s="12" t="inlineStr">
        <is>
          <t>Fuel supply (adjacent market)</t>
        </is>
      </c>
      <c r="D6012" s="12" t="inlineStr">
        <is>
          <t>Home run JB-LNG 10: unloading -AI01 to the control / marshalling room</t>
        </is>
      </c>
      <c r="E6012" s="12" t="inlineStr"/>
      <c r="F6012" s="12" t="inlineStr">
        <is>
          <t>LNG 17: LNG e-house (13.8 kV / 480 V)</t>
        </is>
      </c>
      <c r="G6012" s="12" t="inlineStr">
        <is>
          <t>JB-LNG 10: unloading -AI01</t>
        </is>
      </c>
      <c r="H6012" s="12" t="inlineStr">
        <is>
          <t>LNG 10: unloading skid</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7" t="n">
        <v>237</v>
      </c>
      <c r="U6012" s="17" t="n">
        <v>32</v>
      </c>
      <c r="V6012" s="17">
        <f>ROUNDUP((T6012+U6012+2*'Read Me'!$B$13)*(1+'Read Me'!$B$12),-1)</f>
        <v/>
      </c>
      <c r="W6012" s="17">
        <f>V6012*N6012*O6012</f>
        <v/>
      </c>
      <c r="X6012" s="12">
        <f>IF(LEFT(I6012,2)="MV",2*N6012*IF(L6012="1/C",O6012,1),0)</f>
        <v/>
      </c>
      <c r="Y6012" s="12">
        <f>IF(OR(LEFT(K6012,4)="LVAX",LEFT(K6012,6)="MV15AX",LEFT(K6012,4)="CTAX",LEFT(K6012,2)="W|"),2*N6012*O6012,0)</f>
        <v/>
      </c>
      <c r="Z6012" s="12" t="inlineStr"/>
      <c r="AA6012" s="12">
        <f>N6012*O6012</f>
        <v/>
      </c>
    </row>
    <row r="6013">
      <c r="A6013" s="12" t="inlineStr">
        <is>
          <t>K-I-0097</t>
        </is>
      </c>
      <c r="B6013" s="12" t="inlineStr">
        <is>
          <t>K</t>
        </is>
      </c>
      <c r="C6013" s="12" t="inlineStr">
        <is>
          <t>Fuel supply (adjacent market)</t>
        </is>
      </c>
      <c r="D6013" s="12" t="inlineStr">
        <is>
          <t>Discrete device to JB JB-LNG 10: unloading -DI01: 12 x 1 pr (field cables)</t>
        </is>
      </c>
      <c r="E6013" s="12" t="inlineStr"/>
      <c r="F6013" s="12" t="inlineStr">
        <is>
          <t>LNG 10: unloading skid</t>
        </is>
      </c>
      <c r="G6013" s="12" t="inlineStr">
        <is>
          <t>JB-LNG 10: unloading -DI01</t>
        </is>
      </c>
      <c r="H6013" s="12" t="inlineStr">
        <is>
          <t>LNG 10: unloading skid</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12</v>
      </c>
      <c r="O6013" s="12" t="n">
        <v>1</v>
      </c>
      <c r="P6013" s="12" t="n"/>
      <c r="Q6013" s="12" t="n"/>
      <c r="R6013" s="12" t="n"/>
      <c r="S6013" s="12" t="inlineStr">
        <is>
          <t>Tray / conduit</t>
        </is>
      </c>
      <c r="T6013" s="17" t="n">
        <v>54</v>
      </c>
      <c r="U6013" s="17" t="n">
        <v>10</v>
      </c>
      <c r="V6013" s="17">
        <f>ROUNDUP((T6013+U6013+2*'Read Me'!$B$13)*(1+'Read Me'!$B$12),-1)</f>
        <v/>
      </c>
      <c r="W6013" s="17">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K-I-0098</t>
        </is>
      </c>
      <c r="B6014" s="12" t="inlineStr">
        <is>
          <t>K</t>
        </is>
      </c>
      <c r="C6014" s="12" t="inlineStr">
        <is>
          <t>Fuel supply (adjacent market)</t>
        </is>
      </c>
      <c r="D6014" s="12" t="inlineStr">
        <is>
          <t>Home run JB-LNG 10: unloading -DI01 to the control / marshalling room</t>
        </is>
      </c>
      <c r="E6014" s="12" t="inlineStr"/>
      <c r="F6014" s="12" t="inlineStr">
        <is>
          <t>LNG 17: LNG e-house (13.8 kV / 480 V)</t>
        </is>
      </c>
      <c r="G6014" s="12" t="inlineStr">
        <is>
          <t>JB-LNG 10: unloading -DI01</t>
        </is>
      </c>
      <c r="H6014" s="12" t="inlineStr">
        <is>
          <t>LNG 10: unloading skid</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7" t="n">
        <v>237</v>
      </c>
      <c r="U6014" s="17" t="n">
        <v>32</v>
      </c>
      <c r="V6014" s="17">
        <f>ROUNDUP((T6014+U6014+2*'Read Me'!$B$13)*(1+'Read Me'!$B$12),-1)</f>
        <v/>
      </c>
      <c r="W6014" s="17">
        <f>V6014*N6014*O6014</f>
        <v/>
      </c>
      <c r="X6014" s="12">
        <f>IF(LEFT(I6014,2)="MV",2*N6014*IF(L6014="1/C",O6014,1),0)</f>
        <v/>
      </c>
      <c r="Y6014" s="12">
        <f>IF(OR(LEFT(K6014,4)="LVAX",LEFT(K6014,6)="MV15AX",LEFT(K6014,4)="CTAX",LEFT(K6014,2)="W|"),2*N6014*O6014,0)</f>
        <v/>
      </c>
      <c r="Z6014" s="12" t="inlineStr"/>
      <c r="AA6014" s="12">
        <f>N6014*O6014</f>
        <v/>
      </c>
    </row>
    <row r="6015">
      <c r="A6015" s="12" t="inlineStr">
        <is>
          <t>K-I-0099</t>
        </is>
      </c>
      <c r="B6015" s="12" t="inlineStr">
        <is>
          <t>K</t>
        </is>
      </c>
      <c r="C6015" s="12" t="inlineStr">
        <is>
          <t>Fuel supply (adjacent market)</t>
        </is>
      </c>
      <c r="D6015" s="12" t="inlineStr">
        <is>
          <t>Analog instrument to JB JB-LNG-T1-AI01: 4 x 1 pr (field cables)</t>
        </is>
      </c>
      <c r="E6015" s="12" t="inlineStr">
        <is>
          <t>LNG-T1</t>
        </is>
      </c>
      <c r="F6015" s="12" t="inlineStr">
        <is>
          <t>LNG 11: tank 1, Chart HS 50000 (51,780 gal)</t>
        </is>
      </c>
      <c r="G6015" s="12" t="inlineStr">
        <is>
          <t>JB-LNG-T1-AI01</t>
        </is>
      </c>
      <c r="H6015" s="12" t="inlineStr">
        <is>
          <t>LNG 11: tank 1, Chart HS 50000 (51,780 gal)</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4</v>
      </c>
      <c r="O6015" s="12" t="n">
        <v>1</v>
      </c>
      <c r="P6015" s="12" t="n"/>
      <c r="Q6015" s="12" t="n"/>
      <c r="R6015" s="12" t="n"/>
      <c r="S6015" s="12" t="inlineStr">
        <is>
          <t>Tray / conduit</t>
        </is>
      </c>
      <c r="T6015" s="17" t="n">
        <v>77</v>
      </c>
      <c r="U6015" s="17" t="n">
        <v>10</v>
      </c>
      <c r="V6015" s="17">
        <f>ROUNDUP((T6015+U6015+2*'Read Me'!$B$13)*(1+'Read Me'!$B$12),-1)</f>
        <v/>
      </c>
      <c r="W6015" s="17">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K-I-0100</t>
        </is>
      </c>
      <c r="B6016" s="12" t="inlineStr">
        <is>
          <t>K</t>
        </is>
      </c>
      <c r="C6016" s="12" t="inlineStr">
        <is>
          <t>Fuel supply (adjacent market)</t>
        </is>
      </c>
      <c r="D6016" s="12" t="inlineStr">
        <is>
          <t>Home run JB-LNG-T1-AI01 to the control / marshalling room</t>
        </is>
      </c>
      <c r="E6016" s="12" t="inlineStr"/>
      <c r="F6016" s="12" t="inlineStr">
        <is>
          <t>LNG 17: LNG e-house (13.8 kV / 480 V)</t>
        </is>
      </c>
      <c r="G6016" s="12" t="inlineStr">
        <is>
          <t>JB-LNG-T1-AI01</t>
        </is>
      </c>
      <c r="H6016" s="12" t="inlineStr">
        <is>
          <t>LNG 11: tank 1, Chart HS 50000 (51,780 gal)</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7" t="n">
        <v>210</v>
      </c>
      <c r="U6016" s="17" t="n">
        <v>32</v>
      </c>
      <c r="V6016" s="17">
        <f>ROUNDUP((T6016+U6016+2*'Read Me'!$B$13)*(1+'Read Me'!$B$12),-1)</f>
        <v/>
      </c>
      <c r="W6016" s="17">
        <f>V6016*N6016*O6016</f>
        <v/>
      </c>
      <c r="X6016" s="12">
        <f>IF(LEFT(I6016,2)="MV",2*N6016*IF(L6016="1/C",O6016,1),0)</f>
        <v/>
      </c>
      <c r="Y6016" s="12">
        <f>IF(OR(LEFT(K6016,4)="LVAX",LEFT(K6016,6)="MV15AX",LEFT(K6016,4)="CTAX",LEFT(K6016,2)="W|"),2*N6016*O6016,0)</f>
        <v/>
      </c>
      <c r="Z6016" s="12" t="inlineStr"/>
      <c r="AA6016" s="12">
        <f>N6016*O6016</f>
        <v/>
      </c>
    </row>
    <row r="6017">
      <c r="A6017" s="12" t="inlineStr">
        <is>
          <t>K-I-0101</t>
        </is>
      </c>
      <c r="B6017" s="12" t="inlineStr">
        <is>
          <t>K</t>
        </is>
      </c>
      <c r="C6017" s="12" t="inlineStr">
        <is>
          <t>Fuel supply (adjacent market)</t>
        </is>
      </c>
      <c r="D6017" s="12" t="inlineStr">
        <is>
          <t>Discrete device to JB JB-LNG-T1-DI01: 4 x 1 pr (field cables)</t>
        </is>
      </c>
      <c r="E6017" s="12" t="inlineStr">
        <is>
          <t>LNG-T1</t>
        </is>
      </c>
      <c r="F6017" s="12" t="inlineStr">
        <is>
          <t>LNG 11: tank 1, Chart HS 50000 (51,780 gal)</t>
        </is>
      </c>
      <c r="G6017" s="12" t="inlineStr">
        <is>
          <t>JB-LNG-T1-DI01</t>
        </is>
      </c>
      <c r="H6017" s="12" t="inlineStr">
        <is>
          <t>LNG 11: tank 1, Chart HS 50000 (51,780 gal)</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4</v>
      </c>
      <c r="O6017" s="12" t="n">
        <v>1</v>
      </c>
      <c r="P6017" s="12" t="n"/>
      <c r="Q6017" s="12" t="n"/>
      <c r="R6017" s="12" t="n"/>
      <c r="S6017" s="12" t="inlineStr">
        <is>
          <t>Tray / conduit</t>
        </is>
      </c>
      <c r="T6017" s="17" t="n">
        <v>77</v>
      </c>
      <c r="U6017" s="17" t="n">
        <v>10</v>
      </c>
      <c r="V6017" s="17">
        <f>ROUNDUP((T6017+U6017+2*'Read Me'!$B$13)*(1+'Read Me'!$B$12),-1)</f>
        <v/>
      </c>
      <c r="W6017" s="17">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K-I-0102</t>
        </is>
      </c>
      <c r="B6018" s="12" t="inlineStr">
        <is>
          <t>K</t>
        </is>
      </c>
      <c r="C6018" s="12" t="inlineStr">
        <is>
          <t>Fuel supply (adjacent market)</t>
        </is>
      </c>
      <c r="D6018" s="12" t="inlineStr">
        <is>
          <t>Home run JB-LNG-T1-DI01 to the control / marshalling room</t>
        </is>
      </c>
      <c r="E6018" s="12" t="inlineStr"/>
      <c r="F6018" s="12" t="inlineStr">
        <is>
          <t>LNG 17: LNG e-house (13.8 kV / 480 V)</t>
        </is>
      </c>
      <c r="G6018" s="12" t="inlineStr">
        <is>
          <t>JB-LNG-T1-DI01</t>
        </is>
      </c>
      <c r="H6018" s="12" t="inlineStr">
        <is>
          <t>LNG 11: tank 1, Chart HS 50000 (51,780 gal)</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7" t="n">
        <v>210</v>
      </c>
      <c r="U6018" s="17" t="n">
        <v>32</v>
      </c>
      <c r="V6018" s="17">
        <f>ROUNDUP((T6018+U6018+2*'Read Me'!$B$13)*(1+'Read Me'!$B$12),-1)</f>
        <v/>
      </c>
      <c r="W6018" s="17">
        <f>V6018*N6018*O6018</f>
        <v/>
      </c>
      <c r="X6018" s="12">
        <f>IF(LEFT(I6018,2)="MV",2*N6018*IF(L6018="1/C",O6018,1),0)</f>
        <v/>
      </c>
      <c r="Y6018" s="12">
        <f>IF(OR(LEFT(K6018,4)="LVAX",LEFT(K6018,6)="MV15AX",LEFT(K6018,4)="CTAX",LEFT(K6018,2)="W|"),2*N6018*O6018,0)</f>
        <v/>
      </c>
      <c r="Z6018" s="12" t="inlineStr"/>
      <c r="AA6018" s="12">
        <f>N6018*O6018</f>
        <v/>
      </c>
    </row>
    <row r="6019">
      <c r="A6019" s="12" t="inlineStr">
        <is>
          <t>K-I-0103</t>
        </is>
      </c>
      <c r="B6019" s="12" t="inlineStr">
        <is>
          <t>K</t>
        </is>
      </c>
      <c r="C6019" s="12" t="inlineStr">
        <is>
          <t>Fuel supply (adjacent market)</t>
        </is>
      </c>
      <c r="D6019" s="12" t="inlineStr">
        <is>
          <t>Analog instrument to JB JB-LNG-T2-AI01: 4 x 1 pr (field cables)</t>
        </is>
      </c>
      <c r="E6019" s="12" t="inlineStr">
        <is>
          <t>LNG-T2</t>
        </is>
      </c>
      <c r="F6019" s="12" t="inlineStr">
        <is>
          <t>LNG 11: tank 2, Chart HS 50000 (51,780 gal)</t>
        </is>
      </c>
      <c r="G6019" s="12" t="inlineStr">
        <is>
          <t>JB-LNG-T2-AI01</t>
        </is>
      </c>
      <c r="H6019" s="12" t="inlineStr">
        <is>
          <t>LNG 11: tank 2, Chart HS 50000 (51,780 gal)</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4</v>
      </c>
      <c r="O6019" s="12" t="n">
        <v>1</v>
      </c>
      <c r="P6019" s="12" t="n"/>
      <c r="Q6019" s="12" t="n"/>
      <c r="R6019" s="12" t="n"/>
      <c r="S6019" s="12" t="inlineStr">
        <is>
          <t>Tray / conduit</t>
        </is>
      </c>
      <c r="T6019" s="17" t="n">
        <v>77</v>
      </c>
      <c r="U6019" s="17" t="n">
        <v>10</v>
      </c>
      <c r="V6019" s="17">
        <f>ROUNDUP((T6019+U6019+2*'Read Me'!$B$13)*(1+'Read Me'!$B$12),-1)</f>
        <v/>
      </c>
      <c r="W6019" s="17">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K-I-0104</t>
        </is>
      </c>
      <c r="B6020" s="12" t="inlineStr">
        <is>
          <t>K</t>
        </is>
      </c>
      <c r="C6020" s="12" t="inlineStr">
        <is>
          <t>Fuel supply (adjacent market)</t>
        </is>
      </c>
      <c r="D6020" s="12" t="inlineStr">
        <is>
          <t>Home run JB-LNG-T2-AI01 to the control / marshalling room</t>
        </is>
      </c>
      <c r="E6020" s="12" t="inlineStr"/>
      <c r="F6020" s="12" t="inlineStr">
        <is>
          <t>LNG 17: LNG e-house (13.8 kV / 480 V)</t>
        </is>
      </c>
      <c r="G6020" s="12" t="inlineStr">
        <is>
          <t>JB-LNG-T2-AI01</t>
        </is>
      </c>
      <c r="H6020" s="12" t="inlineStr">
        <is>
          <t>LNG 11: tank 2, Chart HS 50000 (51,780 gal)</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7" t="n">
        <v>230</v>
      </c>
      <c r="U6020" s="17" t="n">
        <v>32</v>
      </c>
      <c r="V6020" s="17">
        <f>ROUNDUP((T6020+U6020+2*'Read Me'!$B$13)*(1+'Read Me'!$B$12),-1)</f>
        <v/>
      </c>
      <c r="W6020" s="17">
        <f>V6020*N6020*O6020</f>
        <v/>
      </c>
      <c r="X6020" s="12">
        <f>IF(LEFT(I6020,2)="MV",2*N6020*IF(L6020="1/C",O6020,1),0)</f>
        <v/>
      </c>
      <c r="Y6020" s="12">
        <f>IF(OR(LEFT(K6020,4)="LVAX",LEFT(K6020,6)="MV15AX",LEFT(K6020,4)="CTAX",LEFT(K6020,2)="W|"),2*N6020*O6020,0)</f>
        <v/>
      </c>
      <c r="Z6020" s="12" t="inlineStr"/>
      <c r="AA6020" s="12">
        <f>N6020*O6020</f>
        <v/>
      </c>
    </row>
    <row r="6021">
      <c r="A6021" s="12" t="inlineStr">
        <is>
          <t>K-I-0105</t>
        </is>
      </c>
      <c r="B6021" s="12" t="inlineStr">
        <is>
          <t>K</t>
        </is>
      </c>
      <c r="C6021" s="12" t="inlineStr">
        <is>
          <t>Fuel supply (adjacent market)</t>
        </is>
      </c>
      <c r="D6021" s="12" t="inlineStr">
        <is>
          <t>Discrete device to JB JB-LNG-T2-DI01: 4 x 1 pr (field cables)</t>
        </is>
      </c>
      <c r="E6021" s="12" t="inlineStr">
        <is>
          <t>LNG-T2</t>
        </is>
      </c>
      <c r="F6021" s="12" t="inlineStr">
        <is>
          <t>LNG 11: tank 2, Chart HS 50000 (51,780 gal)</t>
        </is>
      </c>
      <c r="G6021" s="12" t="inlineStr">
        <is>
          <t>JB-LNG-T2-DI01</t>
        </is>
      </c>
      <c r="H6021" s="12" t="inlineStr">
        <is>
          <t>LNG 11: tank 2, Chart HS 50000 (51,780 gal)</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4</v>
      </c>
      <c r="O6021" s="12" t="n">
        <v>1</v>
      </c>
      <c r="P6021" s="12" t="n"/>
      <c r="Q6021" s="12" t="n"/>
      <c r="R6021" s="12" t="n"/>
      <c r="S6021" s="12" t="inlineStr">
        <is>
          <t>Tray / conduit</t>
        </is>
      </c>
      <c r="T6021" s="17" t="n">
        <v>77</v>
      </c>
      <c r="U6021" s="17" t="n">
        <v>10</v>
      </c>
      <c r="V6021" s="17">
        <f>ROUNDUP((T6021+U6021+2*'Read Me'!$B$13)*(1+'Read Me'!$B$12),-1)</f>
        <v/>
      </c>
      <c r="W6021" s="17">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K-I-0106</t>
        </is>
      </c>
      <c r="B6022" s="12" t="inlineStr">
        <is>
          <t>K</t>
        </is>
      </c>
      <c r="C6022" s="12" t="inlineStr">
        <is>
          <t>Fuel supply (adjacent market)</t>
        </is>
      </c>
      <c r="D6022" s="12" t="inlineStr">
        <is>
          <t>Home run JB-LNG-T2-DI01 to the control / marshalling room</t>
        </is>
      </c>
      <c r="E6022" s="12" t="inlineStr"/>
      <c r="F6022" s="12" t="inlineStr">
        <is>
          <t>LNG 17: LNG e-house (13.8 kV / 480 V)</t>
        </is>
      </c>
      <c r="G6022" s="12" t="inlineStr">
        <is>
          <t>JB-LNG-T2-DI01</t>
        </is>
      </c>
      <c r="H6022" s="12" t="inlineStr">
        <is>
          <t>LNG 11: tank 2, Chart HS 50000 (51,780 gal)</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7" t="n">
        <v>230</v>
      </c>
      <c r="U6022" s="17" t="n">
        <v>32</v>
      </c>
      <c r="V6022" s="17">
        <f>ROUNDUP((T6022+U6022+2*'Read Me'!$B$13)*(1+'Read Me'!$B$12),-1)</f>
        <v/>
      </c>
      <c r="W6022" s="17">
        <f>V6022*N6022*O6022</f>
        <v/>
      </c>
      <c r="X6022" s="12">
        <f>IF(LEFT(I6022,2)="MV",2*N6022*IF(L6022="1/C",O6022,1),0)</f>
        <v/>
      </c>
      <c r="Y6022" s="12">
        <f>IF(OR(LEFT(K6022,4)="LVAX",LEFT(K6022,6)="MV15AX",LEFT(K6022,4)="CTAX",LEFT(K6022,2)="W|"),2*N6022*O6022,0)</f>
        <v/>
      </c>
      <c r="Z6022" s="12" t="inlineStr"/>
      <c r="AA6022" s="12">
        <f>N6022*O6022</f>
        <v/>
      </c>
    </row>
    <row r="6023">
      <c r="A6023" s="12" t="inlineStr">
        <is>
          <t>K-I-0107</t>
        </is>
      </c>
      <c r="B6023" s="12" t="inlineStr">
        <is>
          <t>K</t>
        </is>
      </c>
      <c r="C6023" s="12" t="inlineStr">
        <is>
          <t>Fuel supply (adjacent market)</t>
        </is>
      </c>
      <c r="D6023" s="12" t="inlineStr">
        <is>
          <t>Analog instrument to JB JB-LNG-T3-AI01: 4 x 1 pr (field cables)</t>
        </is>
      </c>
      <c r="E6023" s="12" t="inlineStr">
        <is>
          <t>LNG-T3</t>
        </is>
      </c>
      <c r="F6023" s="12" t="inlineStr">
        <is>
          <t>LNG 11: tank 3, Chart HS 50000 (51,780 gal)</t>
        </is>
      </c>
      <c r="G6023" s="12" t="inlineStr">
        <is>
          <t>JB-LNG-T3-AI01</t>
        </is>
      </c>
      <c r="H6023" s="12" t="inlineStr">
        <is>
          <t>LNG 11: tank 3, Chart HS 50000 (51,780 gal)</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4</v>
      </c>
      <c r="O6023" s="12" t="n">
        <v>1</v>
      </c>
      <c r="P6023" s="12" t="n"/>
      <c r="Q6023" s="12" t="n"/>
      <c r="R6023" s="12" t="n"/>
      <c r="S6023" s="12" t="inlineStr">
        <is>
          <t>Tray / conduit</t>
        </is>
      </c>
      <c r="T6023" s="17" t="n">
        <v>77</v>
      </c>
      <c r="U6023" s="17" t="n">
        <v>10</v>
      </c>
      <c r="V6023" s="17">
        <f>ROUNDUP((T6023+U6023+2*'Read Me'!$B$13)*(1+'Read Me'!$B$12),-1)</f>
        <v/>
      </c>
      <c r="W6023" s="17">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K-I-0108</t>
        </is>
      </c>
      <c r="B6024" s="12" t="inlineStr">
        <is>
          <t>K</t>
        </is>
      </c>
      <c r="C6024" s="12" t="inlineStr">
        <is>
          <t>Fuel supply (adjacent market)</t>
        </is>
      </c>
      <c r="D6024" s="12" t="inlineStr">
        <is>
          <t>Home run JB-LNG-T3-AI01 to the control / marshalling room</t>
        </is>
      </c>
      <c r="E6024" s="12" t="inlineStr"/>
      <c r="F6024" s="12" t="inlineStr">
        <is>
          <t>LNG 17: LNG e-house (13.8 kV / 480 V)</t>
        </is>
      </c>
      <c r="G6024" s="12" t="inlineStr">
        <is>
          <t>JB-LNG-T3-AI01</t>
        </is>
      </c>
      <c r="H6024" s="12" t="inlineStr">
        <is>
          <t>LNG 11: tank 3, Chart HS 50000 (51,780 gal)</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7" t="n">
        <v>250</v>
      </c>
      <c r="U6024" s="17" t="n">
        <v>32</v>
      </c>
      <c r="V6024" s="17">
        <f>ROUNDUP((T6024+U6024+2*'Read Me'!$B$13)*(1+'Read Me'!$B$12),-1)</f>
        <v/>
      </c>
      <c r="W6024" s="17">
        <f>V6024*N6024*O6024</f>
        <v/>
      </c>
      <c r="X6024" s="12">
        <f>IF(LEFT(I6024,2)="MV",2*N6024*IF(L6024="1/C",O6024,1),0)</f>
        <v/>
      </c>
      <c r="Y6024" s="12">
        <f>IF(OR(LEFT(K6024,4)="LVAX",LEFT(K6024,6)="MV15AX",LEFT(K6024,4)="CTAX",LEFT(K6024,2)="W|"),2*N6024*O6024,0)</f>
        <v/>
      </c>
      <c r="Z6024" s="12" t="inlineStr"/>
      <c r="AA6024" s="12">
        <f>N6024*O6024</f>
        <v/>
      </c>
    </row>
    <row r="6025">
      <c r="A6025" s="12" t="inlineStr">
        <is>
          <t>K-I-0109</t>
        </is>
      </c>
      <c r="B6025" s="12" t="inlineStr">
        <is>
          <t>K</t>
        </is>
      </c>
      <c r="C6025" s="12" t="inlineStr">
        <is>
          <t>Fuel supply (adjacent market)</t>
        </is>
      </c>
      <c r="D6025" s="12" t="inlineStr">
        <is>
          <t>Discrete device to JB JB-LNG-T3-DI01: 4 x 1 pr (field cables)</t>
        </is>
      </c>
      <c r="E6025" s="12" t="inlineStr">
        <is>
          <t>LNG-T3</t>
        </is>
      </c>
      <c r="F6025" s="12" t="inlineStr">
        <is>
          <t>LNG 11: tank 3, Chart HS 50000 (51,780 gal)</t>
        </is>
      </c>
      <c r="G6025" s="12" t="inlineStr">
        <is>
          <t>JB-LNG-T3-DI01</t>
        </is>
      </c>
      <c r="H6025" s="12" t="inlineStr">
        <is>
          <t>LNG 11: tank 3, Chart HS 50000 (51,780 gal)</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4</v>
      </c>
      <c r="O6025" s="12" t="n">
        <v>1</v>
      </c>
      <c r="P6025" s="12" t="n"/>
      <c r="Q6025" s="12" t="n"/>
      <c r="R6025" s="12" t="n"/>
      <c r="S6025" s="12" t="inlineStr">
        <is>
          <t>Tray / conduit</t>
        </is>
      </c>
      <c r="T6025" s="17" t="n">
        <v>77</v>
      </c>
      <c r="U6025" s="17" t="n">
        <v>10</v>
      </c>
      <c r="V6025" s="17">
        <f>ROUNDUP((T6025+U6025+2*'Read Me'!$B$13)*(1+'Read Me'!$B$12),-1)</f>
        <v/>
      </c>
      <c r="W6025" s="17">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K-I-0110</t>
        </is>
      </c>
      <c r="B6026" s="12" t="inlineStr">
        <is>
          <t>K</t>
        </is>
      </c>
      <c r="C6026" s="12" t="inlineStr">
        <is>
          <t>Fuel supply (adjacent market)</t>
        </is>
      </c>
      <c r="D6026" s="12" t="inlineStr">
        <is>
          <t>Home run JB-LNG-T3-DI01 to the control / marshalling room</t>
        </is>
      </c>
      <c r="E6026" s="12" t="inlineStr"/>
      <c r="F6026" s="12" t="inlineStr">
        <is>
          <t>LNG 17: LNG e-house (13.8 kV / 480 V)</t>
        </is>
      </c>
      <c r="G6026" s="12" t="inlineStr">
        <is>
          <t>JB-LNG-T3-DI01</t>
        </is>
      </c>
      <c r="H6026" s="12" t="inlineStr">
        <is>
          <t>LNG 11: tank 3, Chart HS 50000 (51,780 gal)</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Duct bank</t>
        </is>
      </c>
      <c r="T6026" s="17" t="n">
        <v>250</v>
      </c>
      <c r="U6026" s="17" t="n">
        <v>32</v>
      </c>
      <c r="V6026" s="17">
        <f>ROUNDUP((T6026+U6026+2*'Read Me'!$B$13)*(1+'Read Me'!$B$12),-1)</f>
        <v/>
      </c>
      <c r="W6026" s="17">
        <f>V6026*N6026*O6026</f>
        <v/>
      </c>
      <c r="X6026" s="12">
        <f>IF(LEFT(I6026,2)="MV",2*N6026*IF(L6026="1/C",O6026,1),0)</f>
        <v/>
      </c>
      <c r="Y6026" s="12">
        <f>IF(OR(LEFT(K6026,4)="LVAX",LEFT(K6026,6)="MV15AX",LEFT(K6026,4)="CTAX",LEFT(K6026,2)="W|"),2*N6026*O6026,0)</f>
        <v/>
      </c>
      <c r="Z6026" s="12" t="inlineStr"/>
      <c r="AA6026" s="12">
        <f>N6026*O6026</f>
        <v/>
      </c>
    </row>
    <row r="6027">
      <c r="A6027" s="12" t="inlineStr">
        <is>
          <t>K-I-0111</t>
        </is>
      </c>
      <c r="B6027" s="12" t="inlineStr">
        <is>
          <t>K</t>
        </is>
      </c>
      <c r="C6027" s="12" t="inlineStr">
        <is>
          <t>Fuel supply (adjacent market)</t>
        </is>
      </c>
      <c r="D6027" s="12" t="inlineStr">
        <is>
          <t>Analog instrument to JB JB-LNG-T4-AI01: 4 x 1 pr (field cables)</t>
        </is>
      </c>
      <c r="E6027" s="12" t="inlineStr">
        <is>
          <t>LNG-T4</t>
        </is>
      </c>
      <c r="F6027" s="12" t="inlineStr">
        <is>
          <t>LNG 11: tank 4, Chart HS 50000 (51,780 gal)</t>
        </is>
      </c>
      <c r="G6027" s="12" t="inlineStr">
        <is>
          <t>JB-LNG-T4-AI01</t>
        </is>
      </c>
      <c r="H6027" s="12" t="inlineStr">
        <is>
          <t>LNG 11: tank 4, Chart HS 50000 (51,780 gal)</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4</v>
      </c>
      <c r="O6027" s="12" t="n">
        <v>1</v>
      </c>
      <c r="P6027" s="12" t="n"/>
      <c r="Q6027" s="12" t="n"/>
      <c r="R6027" s="12" t="n"/>
      <c r="S6027" s="12" t="inlineStr">
        <is>
          <t>Tray / conduit</t>
        </is>
      </c>
      <c r="T6027" s="17" t="n">
        <v>77</v>
      </c>
      <c r="U6027" s="17" t="n">
        <v>10</v>
      </c>
      <c r="V6027" s="17">
        <f>ROUNDUP((T6027+U6027+2*'Read Me'!$B$13)*(1+'Read Me'!$B$12),-1)</f>
        <v/>
      </c>
      <c r="W6027" s="17">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K-I-0112</t>
        </is>
      </c>
      <c r="B6028" s="12" t="inlineStr">
        <is>
          <t>K</t>
        </is>
      </c>
      <c r="C6028" s="12" t="inlineStr">
        <is>
          <t>Fuel supply (adjacent market)</t>
        </is>
      </c>
      <c r="D6028" s="12" t="inlineStr">
        <is>
          <t>Home run JB-LNG-T4-AI01 to the control / marshalling room</t>
        </is>
      </c>
      <c r="E6028" s="12" t="inlineStr"/>
      <c r="F6028" s="12" t="inlineStr">
        <is>
          <t>LNG 17: LNG e-house (13.8 kV / 480 V)</t>
        </is>
      </c>
      <c r="G6028" s="12" t="inlineStr">
        <is>
          <t>JB-LNG-T4-AI01</t>
        </is>
      </c>
      <c r="H6028" s="12" t="inlineStr">
        <is>
          <t>LNG 11: tank 4, Chart HS 50000 (51,780 gal)</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Duct bank</t>
        </is>
      </c>
      <c r="T6028" s="17" t="n">
        <v>270</v>
      </c>
      <c r="U6028" s="17" t="n">
        <v>32</v>
      </c>
      <c r="V6028" s="17">
        <f>ROUNDUP((T6028+U6028+2*'Read Me'!$B$13)*(1+'Read Me'!$B$12),-1)</f>
        <v/>
      </c>
      <c r="W6028" s="17">
        <f>V6028*N6028*O6028</f>
        <v/>
      </c>
      <c r="X6028" s="12">
        <f>IF(LEFT(I6028,2)="MV",2*N6028*IF(L6028="1/C",O6028,1),0)</f>
        <v/>
      </c>
      <c r="Y6028" s="12">
        <f>IF(OR(LEFT(K6028,4)="LVAX",LEFT(K6028,6)="MV15AX",LEFT(K6028,4)="CTAX",LEFT(K6028,2)="W|"),2*N6028*O6028,0)</f>
        <v/>
      </c>
      <c r="Z6028" s="12" t="inlineStr"/>
      <c r="AA6028" s="12">
        <f>N6028*O6028</f>
        <v/>
      </c>
    </row>
    <row r="6029">
      <c r="A6029" s="12" t="inlineStr">
        <is>
          <t>K-I-0113</t>
        </is>
      </c>
      <c r="B6029" s="12" t="inlineStr">
        <is>
          <t>K</t>
        </is>
      </c>
      <c r="C6029" s="12" t="inlineStr">
        <is>
          <t>Fuel supply (adjacent market)</t>
        </is>
      </c>
      <c r="D6029" s="12" t="inlineStr">
        <is>
          <t>Discrete device to JB JB-LNG-T4-DI01: 4 x 1 pr (field cables)</t>
        </is>
      </c>
      <c r="E6029" s="12" t="inlineStr">
        <is>
          <t>LNG-T4</t>
        </is>
      </c>
      <c r="F6029" s="12" t="inlineStr">
        <is>
          <t>LNG 11: tank 4, Chart HS 50000 (51,780 gal)</t>
        </is>
      </c>
      <c r="G6029" s="12" t="inlineStr">
        <is>
          <t>JB-LNG-T4-DI01</t>
        </is>
      </c>
      <c r="H6029" s="12" t="inlineStr">
        <is>
          <t>LNG 11: tank 4, Chart HS 50000 (51,780 gal)</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4</v>
      </c>
      <c r="O6029" s="12" t="n">
        <v>1</v>
      </c>
      <c r="P6029" s="12" t="n"/>
      <c r="Q6029" s="12" t="n"/>
      <c r="R6029" s="12" t="n"/>
      <c r="S6029" s="12" t="inlineStr">
        <is>
          <t>Tray / conduit</t>
        </is>
      </c>
      <c r="T6029" s="17" t="n">
        <v>77</v>
      </c>
      <c r="U6029" s="17" t="n">
        <v>10</v>
      </c>
      <c r="V6029" s="17">
        <f>ROUNDUP((T6029+U6029+2*'Read Me'!$B$13)*(1+'Read Me'!$B$12),-1)</f>
        <v/>
      </c>
      <c r="W6029" s="17">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K-I-0114</t>
        </is>
      </c>
      <c r="B6030" s="12" t="inlineStr">
        <is>
          <t>K</t>
        </is>
      </c>
      <c r="C6030" s="12" t="inlineStr">
        <is>
          <t>Fuel supply (adjacent market)</t>
        </is>
      </c>
      <c r="D6030" s="12" t="inlineStr">
        <is>
          <t>Home run JB-LNG-T4-DI01 to the control / marshalling room</t>
        </is>
      </c>
      <c r="E6030" s="12" t="inlineStr"/>
      <c r="F6030" s="12" t="inlineStr">
        <is>
          <t>LNG 17: LNG e-house (13.8 kV / 480 V)</t>
        </is>
      </c>
      <c r="G6030" s="12" t="inlineStr">
        <is>
          <t>JB-LNG-T4-DI01</t>
        </is>
      </c>
      <c r="H6030" s="12" t="inlineStr">
        <is>
          <t>LNG 11: tank 4, Chart HS 50000 (51,780 gal)</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7" t="n">
        <v>270</v>
      </c>
      <c r="U6030" s="17" t="n">
        <v>32</v>
      </c>
      <c r="V6030" s="17">
        <f>ROUNDUP((T6030+U6030+2*'Read Me'!$B$13)*(1+'Read Me'!$B$12),-1)</f>
        <v/>
      </c>
      <c r="W6030" s="17">
        <f>V6030*N6030*O6030</f>
        <v/>
      </c>
      <c r="X6030" s="12">
        <f>IF(LEFT(I6030,2)="MV",2*N6030*IF(L6030="1/C",O6030,1),0)</f>
        <v/>
      </c>
      <c r="Y6030" s="12">
        <f>IF(OR(LEFT(K6030,4)="LVAX",LEFT(K6030,6)="MV15AX",LEFT(K6030,4)="CTAX",LEFT(K6030,2)="W|"),2*N6030*O6030,0)</f>
        <v/>
      </c>
      <c r="Z6030" s="12" t="inlineStr"/>
      <c r="AA6030" s="12">
        <f>N6030*O6030</f>
        <v/>
      </c>
    </row>
    <row r="6031">
      <c r="A6031" s="12" t="inlineStr">
        <is>
          <t>K-I-0115</t>
        </is>
      </c>
      <c r="B6031" s="12" t="inlineStr">
        <is>
          <t>K</t>
        </is>
      </c>
      <c r="C6031" s="12" t="inlineStr">
        <is>
          <t>Fuel supply (adjacent market)</t>
        </is>
      </c>
      <c r="D6031" s="12" t="inlineStr">
        <is>
          <t>Analog instrument to JB JB-LNG-T5-AI01: 4 x 1 pr (field cables)</t>
        </is>
      </c>
      <c r="E6031" s="12" t="inlineStr">
        <is>
          <t>LNG-T5</t>
        </is>
      </c>
      <c r="F6031" s="12" t="inlineStr">
        <is>
          <t>LNG 11: tank 5, Chart HS 50000 (51,780 gal)</t>
        </is>
      </c>
      <c r="G6031" s="12" t="inlineStr">
        <is>
          <t>JB-LNG-T5-AI01</t>
        </is>
      </c>
      <c r="H6031" s="12" t="inlineStr">
        <is>
          <t>LNG 11: tank 5, Chart HS 50000 (51,780 gal)</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4</v>
      </c>
      <c r="O6031" s="12" t="n">
        <v>1</v>
      </c>
      <c r="P6031" s="12" t="n"/>
      <c r="Q6031" s="12" t="n"/>
      <c r="R6031" s="12" t="n"/>
      <c r="S6031" s="12" t="inlineStr">
        <is>
          <t>Tray / conduit</t>
        </is>
      </c>
      <c r="T6031" s="17" t="n">
        <v>77</v>
      </c>
      <c r="U6031" s="17" t="n">
        <v>10</v>
      </c>
      <c r="V6031" s="17">
        <f>ROUNDUP((T6031+U6031+2*'Read Me'!$B$13)*(1+'Read Me'!$B$12),-1)</f>
        <v/>
      </c>
      <c r="W6031" s="17">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K-I-0116</t>
        </is>
      </c>
      <c r="B6032" s="12" t="inlineStr">
        <is>
          <t>K</t>
        </is>
      </c>
      <c r="C6032" s="12" t="inlineStr">
        <is>
          <t>Fuel supply (adjacent market)</t>
        </is>
      </c>
      <c r="D6032" s="12" t="inlineStr">
        <is>
          <t>Home run JB-LNG-T5-AI01 to the control / marshalling room</t>
        </is>
      </c>
      <c r="E6032" s="12" t="inlineStr"/>
      <c r="F6032" s="12" t="inlineStr">
        <is>
          <t>LNG 17: LNG e-house (13.8 kV / 480 V)</t>
        </is>
      </c>
      <c r="G6032" s="12" t="inlineStr">
        <is>
          <t>JB-LNG-T5-AI01</t>
        </is>
      </c>
      <c r="H6032" s="12" t="inlineStr">
        <is>
          <t>LNG 11: tank 5, Chart HS 50000 (51,780 gal)</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7" t="n">
        <v>290</v>
      </c>
      <c r="U6032" s="17" t="n">
        <v>32</v>
      </c>
      <c r="V6032" s="17">
        <f>ROUNDUP((T6032+U6032+2*'Read Me'!$B$13)*(1+'Read Me'!$B$12),-1)</f>
        <v/>
      </c>
      <c r="W6032" s="17">
        <f>V6032*N6032*O6032</f>
        <v/>
      </c>
      <c r="X6032" s="12">
        <f>IF(LEFT(I6032,2)="MV",2*N6032*IF(L6032="1/C",O6032,1),0)</f>
        <v/>
      </c>
      <c r="Y6032" s="12">
        <f>IF(OR(LEFT(K6032,4)="LVAX",LEFT(K6032,6)="MV15AX",LEFT(K6032,4)="CTAX",LEFT(K6032,2)="W|"),2*N6032*O6032,0)</f>
        <v/>
      </c>
      <c r="Z6032" s="12" t="inlineStr"/>
      <c r="AA6032" s="12">
        <f>N6032*O6032</f>
        <v/>
      </c>
    </row>
    <row r="6033">
      <c r="A6033" s="12" t="inlineStr">
        <is>
          <t>K-I-0117</t>
        </is>
      </c>
      <c r="B6033" s="12" t="inlineStr">
        <is>
          <t>K</t>
        </is>
      </c>
      <c r="C6033" s="12" t="inlineStr">
        <is>
          <t>Fuel supply (adjacent market)</t>
        </is>
      </c>
      <c r="D6033" s="12" t="inlineStr">
        <is>
          <t>Discrete device to JB JB-LNG-T5-DI01: 4 x 1 pr (field cables)</t>
        </is>
      </c>
      <c r="E6033" s="12" t="inlineStr">
        <is>
          <t>LNG-T5</t>
        </is>
      </c>
      <c r="F6033" s="12" t="inlineStr">
        <is>
          <t>LNG 11: tank 5, Chart HS 50000 (51,780 gal)</t>
        </is>
      </c>
      <c r="G6033" s="12" t="inlineStr">
        <is>
          <t>JB-LNG-T5-DI01</t>
        </is>
      </c>
      <c r="H6033" s="12" t="inlineStr">
        <is>
          <t>LNG 11: tank 5, Chart HS 50000 (51,780 gal)</t>
        </is>
      </c>
      <c r="I6033" s="12" t="inlineStr">
        <is>
          <t>Instrumentation</t>
        </is>
      </c>
      <c r="J6033" s="12" t="inlineStr">
        <is>
          <t>Instrumentation ITC / PLTC, IS, #18 shielded pairs, blue jacket</t>
        </is>
      </c>
      <c r="K6033" s="12" t="inlineStr">
        <is>
          <t>ITC|1 pr|16</t>
        </is>
      </c>
      <c r="L6033" s="12" t="inlineStr">
        <is>
          <t>1 pr</t>
        </is>
      </c>
      <c r="M6033" s="12" t="inlineStr">
        <is>
          <t>16</t>
        </is>
      </c>
      <c r="N6033" s="12" t="n">
        <v>4</v>
      </c>
      <c r="O6033" s="12" t="n">
        <v>1</v>
      </c>
      <c r="P6033" s="12" t="n"/>
      <c r="Q6033" s="12" t="n"/>
      <c r="R6033" s="12" t="n"/>
      <c r="S6033" s="12" t="inlineStr">
        <is>
          <t>Tray / conduit</t>
        </is>
      </c>
      <c r="T6033" s="17" t="n">
        <v>77</v>
      </c>
      <c r="U6033" s="17" t="n">
        <v>10</v>
      </c>
      <c r="V6033" s="17">
        <f>ROUNDUP((T6033+U6033+2*'Read Me'!$B$13)*(1+'Read Me'!$B$12),-1)</f>
        <v/>
      </c>
      <c r="W6033" s="17">
        <f>V6033*N6033*O6033</f>
        <v/>
      </c>
      <c r="X6033" s="12">
        <f>IF(LEFT(I6033,2)="MV",2*N6033*IF(L6033="1/C",O6033,1),0)</f>
        <v/>
      </c>
      <c r="Y6033" s="12">
        <f>IF(OR(LEFT(K6033,4)="LVAX",LEFT(K6033,6)="MV15AX",LEFT(K6033,4)="CTAX",LEFT(K6033,2)="W|"),2*N6033*O6033,0)</f>
        <v/>
      </c>
      <c r="Z6033" s="12" t="inlineStr">
        <is>
          <t>device-to-JB field wiring, one cable per device</t>
        </is>
      </c>
      <c r="AA6033" s="12">
        <f>N6033*O6033</f>
        <v/>
      </c>
    </row>
    <row r="6034">
      <c r="A6034" s="12" t="inlineStr">
        <is>
          <t>K-I-0118</t>
        </is>
      </c>
      <c r="B6034" s="12" t="inlineStr">
        <is>
          <t>K</t>
        </is>
      </c>
      <c r="C6034" s="12" t="inlineStr">
        <is>
          <t>Fuel supply (adjacent market)</t>
        </is>
      </c>
      <c r="D6034" s="12" t="inlineStr">
        <is>
          <t>Home run JB-LNG-T5-DI01 to the control / marshalling room</t>
        </is>
      </c>
      <c r="E6034" s="12" t="inlineStr"/>
      <c r="F6034" s="12" t="inlineStr">
        <is>
          <t>LNG 17: LNG e-house (13.8 kV / 480 V)</t>
        </is>
      </c>
      <c r="G6034" s="12" t="inlineStr">
        <is>
          <t>JB-LNG-T5-DI01</t>
        </is>
      </c>
      <c r="H6034" s="12" t="inlineStr">
        <is>
          <t>LNG 11: tank 5, Chart HS 50000 (51,780 gal)</t>
        </is>
      </c>
      <c r="I6034" s="12" t="inlineStr">
        <is>
          <t>Instrumentation</t>
        </is>
      </c>
      <c r="J6034" s="12" t="inlineStr">
        <is>
          <t>Instrumentation ITC / PLTC, IS, #18 shielded pairs, blue jacket</t>
        </is>
      </c>
      <c r="K6034" s="12" t="inlineStr">
        <is>
          <t>ITC|24 pr|18</t>
        </is>
      </c>
      <c r="L6034" s="12" t="inlineStr">
        <is>
          <t>24 pr</t>
        </is>
      </c>
      <c r="M6034" s="12" t="inlineStr">
        <is>
          <t>18</t>
        </is>
      </c>
      <c r="N6034" s="12" t="n">
        <v>1</v>
      </c>
      <c r="O6034" s="12" t="n">
        <v>1</v>
      </c>
      <c r="P6034" s="12" t="n"/>
      <c r="Q6034" s="12" t="n"/>
      <c r="R6034" s="12" t="n"/>
      <c r="S6034" s="12" t="inlineStr">
        <is>
          <t>Duct bank</t>
        </is>
      </c>
      <c r="T6034" s="17" t="n">
        <v>290</v>
      </c>
      <c r="U6034" s="17" t="n">
        <v>32</v>
      </c>
      <c r="V6034" s="17">
        <f>ROUNDUP((T6034+U6034+2*'Read Me'!$B$13)*(1+'Read Me'!$B$12),-1)</f>
        <v/>
      </c>
      <c r="W6034" s="17">
        <f>V6034*N6034*O6034</f>
        <v/>
      </c>
      <c r="X6034" s="12">
        <f>IF(LEFT(I6034,2)="MV",2*N6034*IF(L6034="1/C",O6034,1),0)</f>
        <v/>
      </c>
      <c r="Y6034" s="12">
        <f>IF(OR(LEFT(K6034,4)="LVAX",LEFT(K6034,6)="MV15AX",LEFT(K6034,4)="CTAX",LEFT(K6034,2)="W|"),2*N6034*O6034,0)</f>
        <v/>
      </c>
      <c r="Z6034" s="12" t="inlineStr"/>
      <c r="AA6034" s="12">
        <f>N6034*O6034</f>
        <v/>
      </c>
    </row>
    <row r="6035">
      <c r="A6035" s="12" t="inlineStr">
        <is>
          <t>K-I-0119</t>
        </is>
      </c>
      <c r="B6035" s="12" t="inlineStr">
        <is>
          <t>K</t>
        </is>
      </c>
      <c r="C6035" s="12" t="inlineStr">
        <is>
          <t>Fuel supply (adjacent market)</t>
        </is>
      </c>
      <c r="D6035" s="12" t="inlineStr">
        <is>
          <t>Analog instrument to JB JB-LNG-T6-AI01: 4 x 1 pr (field cables)</t>
        </is>
      </c>
      <c r="E6035" s="12" t="inlineStr">
        <is>
          <t>LNG-T6</t>
        </is>
      </c>
      <c r="F6035" s="12" t="inlineStr">
        <is>
          <t>LNG 11: tank 6, Chart HS 50000 (51,780 gal)</t>
        </is>
      </c>
      <c r="G6035" s="12" t="inlineStr">
        <is>
          <t>JB-LNG-T6-AI01</t>
        </is>
      </c>
      <c r="H6035" s="12" t="inlineStr">
        <is>
          <t>LNG 11: tank 6, Chart HS 50000 (51,780 gal)</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4</v>
      </c>
      <c r="O6035" s="12" t="n">
        <v>1</v>
      </c>
      <c r="P6035" s="12" t="n"/>
      <c r="Q6035" s="12" t="n"/>
      <c r="R6035" s="12" t="n"/>
      <c r="S6035" s="12" t="inlineStr">
        <is>
          <t>Tray / conduit</t>
        </is>
      </c>
      <c r="T6035" s="17" t="n">
        <v>77</v>
      </c>
      <c r="U6035" s="17" t="n">
        <v>10</v>
      </c>
      <c r="V6035" s="17">
        <f>ROUNDUP((T6035+U6035+2*'Read Me'!$B$13)*(1+'Read Me'!$B$12),-1)</f>
        <v/>
      </c>
      <c r="W6035" s="17">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K-I-0120</t>
        </is>
      </c>
      <c r="B6036" s="12" t="inlineStr">
        <is>
          <t>K</t>
        </is>
      </c>
      <c r="C6036" s="12" t="inlineStr">
        <is>
          <t>Fuel supply (adjacent market)</t>
        </is>
      </c>
      <c r="D6036" s="12" t="inlineStr">
        <is>
          <t>Home run JB-LNG-T6-AI01 to the control / marshalling room</t>
        </is>
      </c>
      <c r="E6036" s="12" t="inlineStr"/>
      <c r="F6036" s="12" t="inlineStr">
        <is>
          <t>LNG 17: LNG e-house (13.8 kV / 480 V)</t>
        </is>
      </c>
      <c r="G6036" s="12" t="inlineStr">
        <is>
          <t>JB-LNG-T6-AI01</t>
        </is>
      </c>
      <c r="H6036" s="12" t="inlineStr">
        <is>
          <t>LNG 11: tank 6, Chart HS 50000 (51,780 gal)</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7" t="n">
        <v>310</v>
      </c>
      <c r="U6036" s="17" t="n">
        <v>32</v>
      </c>
      <c r="V6036" s="17">
        <f>ROUNDUP((T6036+U6036+2*'Read Me'!$B$13)*(1+'Read Me'!$B$12),-1)</f>
        <v/>
      </c>
      <c r="W6036" s="17">
        <f>V6036*N6036*O6036</f>
        <v/>
      </c>
      <c r="X6036" s="12">
        <f>IF(LEFT(I6036,2)="MV",2*N6036*IF(L6036="1/C",O6036,1),0)</f>
        <v/>
      </c>
      <c r="Y6036" s="12">
        <f>IF(OR(LEFT(K6036,4)="LVAX",LEFT(K6036,6)="MV15AX",LEFT(K6036,4)="CTAX",LEFT(K6036,2)="W|"),2*N6036*O6036,0)</f>
        <v/>
      </c>
      <c r="Z6036" s="12" t="inlineStr"/>
      <c r="AA6036" s="12">
        <f>N6036*O6036</f>
        <v/>
      </c>
    </row>
    <row r="6037">
      <c r="A6037" s="12" t="inlineStr">
        <is>
          <t>K-I-0121</t>
        </is>
      </c>
      <c r="B6037" s="12" t="inlineStr">
        <is>
          <t>K</t>
        </is>
      </c>
      <c r="C6037" s="12" t="inlineStr">
        <is>
          <t>Fuel supply (adjacent market)</t>
        </is>
      </c>
      <c r="D6037" s="12" t="inlineStr">
        <is>
          <t>Discrete device to JB JB-LNG-T6-DI01: 4 x 1 pr (field cables)</t>
        </is>
      </c>
      <c r="E6037" s="12" t="inlineStr">
        <is>
          <t>LNG-T6</t>
        </is>
      </c>
      <c r="F6037" s="12" t="inlineStr">
        <is>
          <t>LNG 11: tank 6, Chart HS 50000 (51,780 gal)</t>
        </is>
      </c>
      <c r="G6037" s="12" t="inlineStr">
        <is>
          <t>JB-LNG-T6-DI01</t>
        </is>
      </c>
      <c r="H6037" s="12" t="inlineStr">
        <is>
          <t>LNG 11: tank 6, Chart HS 50000 (51,780 gal)</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4</v>
      </c>
      <c r="O6037" s="12" t="n">
        <v>1</v>
      </c>
      <c r="P6037" s="12" t="n"/>
      <c r="Q6037" s="12" t="n"/>
      <c r="R6037" s="12" t="n"/>
      <c r="S6037" s="12" t="inlineStr">
        <is>
          <t>Tray / conduit</t>
        </is>
      </c>
      <c r="T6037" s="17" t="n">
        <v>77</v>
      </c>
      <c r="U6037" s="17" t="n">
        <v>10</v>
      </c>
      <c r="V6037" s="17">
        <f>ROUNDUP((T6037+U6037+2*'Read Me'!$B$13)*(1+'Read Me'!$B$12),-1)</f>
        <v/>
      </c>
      <c r="W6037" s="17">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K-I-0122</t>
        </is>
      </c>
      <c r="B6038" s="12" t="inlineStr">
        <is>
          <t>K</t>
        </is>
      </c>
      <c r="C6038" s="12" t="inlineStr">
        <is>
          <t>Fuel supply (adjacent market)</t>
        </is>
      </c>
      <c r="D6038" s="12" t="inlineStr">
        <is>
          <t>Home run JB-LNG-T6-DI01 to the control / marshalling room</t>
        </is>
      </c>
      <c r="E6038" s="12" t="inlineStr"/>
      <c r="F6038" s="12" t="inlineStr">
        <is>
          <t>LNG 17: LNG e-house (13.8 kV / 480 V)</t>
        </is>
      </c>
      <c r="G6038" s="12" t="inlineStr">
        <is>
          <t>JB-LNG-T6-DI01</t>
        </is>
      </c>
      <c r="H6038" s="12" t="inlineStr">
        <is>
          <t>LNG 11: tank 6, Chart HS 50000 (51,780 gal)</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7" t="n">
        <v>310</v>
      </c>
      <c r="U6038" s="17" t="n">
        <v>32</v>
      </c>
      <c r="V6038" s="17">
        <f>ROUNDUP((T6038+U6038+2*'Read Me'!$B$13)*(1+'Read Me'!$B$12),-1)</f>
        <v/>
      </c>
      <c r="W6038" s="17">
        <f>V6038*N6038*O6038</f>
        <v/>
      </c>
      <c r="X6038" s="12">
        <f>IF(LEFT(I6038,2)="MV",2*N6038*IF(L6038="1/C",O6038,1),0)</f>
        <v/>
      </c>
      <c r="Y6038" s="12">
        <f>IF(OR(LEFT(K6038,4)="LVAX",LEFT(K6038,6)="MV15AX",LEFT(K6038,4)="CTAX",LEFT(K6038,2)="W|"),2*N6038*O6038,0)</f>
        <v/>
      </c>
      <c r="Z6038" s="12" t="inlineStr"/>
      <c r="AA6038" s="12">
        <f>N6038*O6038</f>
        <v/>
      </c>
    </row>
    <row r="6039">
      <c r="A6039" s="12" t="inlineStr">
        <is>
          <t>K-I-0123</t>
        </is>
      </c>
      <c r="B6039" s="12" t="inlineStr">
        <is>
          <t>K</t>
        </is>
      </c>
      <c r="C6039" s="12" t="inlineStr">
        <is>
          <t>Fuel supply (adjacent market)</t>
        </is>
      </c>
      <c r="D6039" s="12" t="inlineStr">
        <is>
          <t>Analog instrument to JB JB-LNG-T7-AI01: 4 x 1 pr (field cables)</t>
        </is>
      </c>
      <c r="E6039" s="12" t="inlineStr">
        <is>
          <t>LNG-T7</t>
        </is>
      </c>
      <c r="F6039" s="12" t="inlineStr">
        <is>
          <t>LNG 11: tank 7, Chart HS 50000 (51,780 gal)</t>
        </is>
      </c>
      <c r="G6039" s="12" t="inlineStr">
        <is>
          <t>JB-LNG-T7-AI01</t>
        </is>
      </c>
      <c r="H6039" s="12" t="inlineStr">
        <is>
          <t>LNG 11: tank 7, Chart HS 50000 (51,780 gal)</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4</v>
      </c>
      <c r="O6039" s="12" t="n">
        <v>1</v>
      </c>
      <c r="P6039" s="12" t="n"/>
      <c r="Q6039" s="12" t="n"/>
      <c r="R6039" s="12" t="n"/>
      <c r="S6039" s="12" t="inlineStr">
        <is>
          <t>Tray / conduit</t>
        </is>
      </c>
      <c r="T6039" s="17" t="n">
        <v>77</v>
      </c>
      <c r="U6039" s="17" t="n">
        <v>10</v>
      </c>
      <c r="V6039" s="17">
        <f>ROUNDUP((T6039+U6039+2*'Read Me'!$B$13)*(1+'Read Me'!$B$12),-1)</f>
        <v/>
      </c>
      <c r="W6039" s="17">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K-I-0124</t>
        </is>
      </c>
      <c r="B6040" s="12" t="inlineStr">
        <is>
          <t>K</t>
        </is>
      </c>
      <c r="C6040" s="12" t="inlineStr">
        <is>
          <t>Fuel supply (adjacent market)</t>
        </is>
      </c>
      <c r="D6040" s="12" t="inlineStr">
        <is>
          <t>Home run JB-LNG-T7-AI01 to the control / marshalling room</t>
        </is>
      </c>
      <c r="E6040" s="12" t="inlineStr"/>
      <c r="F6040" s="12" t="inlineStr">
        <is>
          <t>LNG 17: LNG e-house (13.8 kV / 480 V)</t>
        </is>
      </c>
      <c r="G6040" s="12" t="inlineStr">
        <is>
          <t>JB-LNG-T7-AI01</t>
        </is>
      </c>
      <c r="H6040" s="12" t="inlineStr">
        <is>
          <t>LNG 11: tank 7, Chart HS 50000 (51,780 gal)</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7" t="n">
        <v>330</v>
      </c>
      <c r="U6040" s="17" t="n">
        <v>32</v>
      </c>
      <c r="V6040" s="17">
        <f>ROUNDUP((T6040+U6040+2*'Read Me'!$B$13)*(1+'Read Me'!$B$12),-1)</f>
        <v/>
      </c>
      <c r="W6040" s="17">
        <f>V6040*N6040*O6040</f>
        <v/>
      </c>
      <c r="X6040" s="12">
        <f>IF(LEFT(I6040,2)="MV",2*N6040*IF(L6040="1/C",O6040,1),0)</f>
        <v/>
      </c>
      <c r="Y6040" s="12">
        <f>IF(OR(LEFT(K6040,4)="LVAX",LEFT(K6040,6)="MV15AX",LEFT(K6040,4)="CTAX",LEFT(K6040,2)="W|"),2*N6040*O6040,0)</f>
        <v/>
      </c>
      <c r="Z6040" s="12" t="inlineStr"/>
      <c r="AA6040" s="12">
        <f>N6040*O6040</f>
        <v/>
      </c>
    </row>
    <row r="6041">
      <c r="A6041" s="12" t="inlineStr">
        <is>
          <t>K-I-0125</t>
        </is>
      </c>
      <c r="B6041" s="12" t="inlineStr">
        <is>
          <t>K</t>
        </is>
      </c>
      <c r="C6041" s="12" t="inlineStr">
        <is>
          <t>Fuel supply (adjacent market)</t>
        </is>
      </c>
      <c r="D6041" s="12" t="inlineStr">
        <is>
          <t>Discrete device to JB JB-LNG-T7-DI01: 4 x 1 pr (field cables)</t>
        </is>
      </c>
      <c r="E6041" s="12" t="inlineStr">
        <is>
          <t>LNG-T7</t>
        </is>
      </c>
      <c r="F6041" s="12" t="inlineStr">
        <is>
          <t>LNG 11: tank 7, Chart HS 50000 (51,780 gal)</t>
        </is>
      </c>
      <c r="G6041" s="12" t="inlineStr">
        <is>
          <t>JB-LNG-T7-DI01</t>
        </is>
      </c>
      <c r="H6041" s="12" t="inlineStr">
        <is>
          <t>LNG 11: tank 7, Chart HS 50000 (51,780 gal)</t>
        </is>
      </c>
      <c r="I6041" s="12" t="inlineStr">
        <is>
          <t>Instrumentation</t>
        </is>
      </c>
      <c r="J6041" s="12" t="inlineStr">
        <is>
          <t>Instrumentation ITC / PLTC, IS, #18 shielded pairs, blue jacket</t>
        </is>
      </c>
      <c r="K6041" s="12" t="inlineStr">
        <is>
          <t>ITC|1 pr|16</t>
        </is>
      </c>
      <c r="L6041" s="12" t="inlineStr">
        <is>
          <t>1 pr</t>
        </is>
      </c>
      <c r="M6041" s="12" t="inlineStr">
        <is>
          <t>16</t>
        </is>
      </c>
      <c r="N6041" s="12" t="n">
        <v>4</v>
      </c>
      <c r="O6041" s="12" t="n">
        <v>1</v>
      </c>
      <c r="P6041" s="12" t="n"/>
      <c r="Q6041" s="12" t="n"/>
      <c r="R6041" s="12" t="n"/>
      <c r="S6041" s="12" t="inlineStr">
        <is>
          <t>Tray / conduit</t>
        </is>
      </c>
      <c r="T6041" s="17" t="n">
        <v>77</v>
      </c>
      <c r="U6041" s="17" t="n">
        <v>10</v>
      </c>
      <c r="V6041" s="17">
        <f>ROUNDUP((T6041+U6041+2*'Read Me'!$B$13)*(1+'Read Me'!$B$12),-1)</f>
        <v/>
      </c>
      <c r="W6041" s="17">
        <f>V6041*N6041*O6041</f>
        <v/>
      </c>
      <c r="X6041" s="12">
        <f>IF(LEFT(I6041,2)="MV",2*N6041*IF(L6041="1/C",O6041,1),0)</f>
        <v/>
      </c>
      <c r="Y6041" s="12">
        <f>IF(OR(LEFT(K6041,4)="LVAX",LEFT(K6041,6)="MV15AX",LEFT(K6041,4)="CTAX",LEFT(K6041,2)="W|"),2*N6041*O6041,0)</f>
        <v/>
      </c>
      <c r="Z6041" s="12" t="inlineStr">
        <is>
          <t>device-to-JB field wiring, one cable per device</t>
        </is>
      </c>
      <c r="AA6041" s="12">
        <f>N6041*O6041</f>
        <v/>
      </c>
    </row>
    <row r="6042">
      <c r="A6042" s="12" t="inlineStr">
        <is>
          <t>K-I-0126</t>
        </is>
      </c>
      <c r="B6042" s="12" t="inlineStr">
        <is>
          <t>K</t>
        </is>
      </c>
      <c r="C6042" s="12" t="inlineStr">
        <is>
          <t>Fuel supply (adjacent market)</t>
        </is>
      </c>
      <c r="D6042" s="12" t="inlineStr">
        <is>
          <t>Home run JB-LNG-T7-DI01 to the control / marshalling room</t>
        </is>
      </c>
      <c r="E6042" s="12" t="inlineStr"/>
      <c r="F6042" s="12" t="inlineStr">
        <is>
          <t>LNG 17: LNG e-house (13.8 kV / 480 V)</t>
        </is>
      </c>
      <c r="G6042" s="12" t="inlineStr">
        <is>
          <t>JB-LNG-T7-DI01</t>
        </is>
      </c>
      <c r="H6042" s="12" t="inlineStr">
        <is>
          <t>LNG 11: tank 7, Chart HS 50000 (51,780 gal)</t>
        </is>
      </c>
      <c r="I6042" s="12" t="inlineStr">
        <is>
          <t>Instrumentation</t>
        </is>
      </c>
      <c r="J6042" s="12" t="inlineStr">
        <is>
          <t>Instrumentation ITC / PLTC, IS, #18 shielded pairs, blue jacket</t>
        </is>
      </c>
      <c r="K6042" s="12" t="inlineStr">
        <is>
          <t>ITC|24 pr|18</t>
        </is>
      </c>
      <c r="L6042" s="12" t="inlineStr">
        <is>
          <t>24 pr</t>
        </is>
      </c>
      <c r="M6042" s="12" t="inlineStr">
        <is>
          <t>18</t>
        </is>
      </c>
      <c r="N6042" s="12" t="n">
        <v>1</v>
      </c>
      <c r="O6042" s="12" t="n">
        <v>1</v>
      </c>
      <c r="P6042" s="12" t="n"/>
      <c r="Q6042" s="12" t="n"/>
      <c r="R6042" s="12" t="n"/>
      <c r="S6042" s="12" t="inlineStr">
        <is>
          <t>Duct bank</t>
        </is>
      </c>
      <c r="T6042" s="17" t="n">
        <v>330</v>
      </c>
      <c r="U6042" s="17" t="n">
        <v>32</v>
      </c>
      <c r="V6042" s="17">
        <f>ROUNDUP((T6042+U6042+2*'Read Me'!$B$13)*(1+'Read Me'!$B$12),-1)</f>
        <v/>
      </c>
      <c r="W6042" s="17">
        <f>V6042*N6042*O6042</f>
        <v/>
      </c>
      <c r="X6042" s="12">
        <f>IF(LEFT(I6042,2)="MV",2*N6042*IF(L6042="1/C",O6042,1),0)</f>
        <v/>
      </c>
      <c r="Y6042" s="12">
        <f>IF(OR(LEFT(K6042,4)="LVAX",LEFT(K6042,6)="MV15AX",LEFT(K6042,4)="CTAX",LEFT(K6042,2)="W|"),2*N6042*O6042,0)</f>
        <v/>
      </c>
      <c r="Z6042" s="12" t="inlineStr"/>
      <c r="AA6042" s="12">
        <f>N6042*O6042</f>
        <v/>
      </c>
    </row>
    <row r="6043">
      <c r="A6043" s="12" t="inlineStr">
        <is>
          <t>K-I-0127</t>
        </is>
      </c>
      <c r="B6043" s="12" t="inlineStr">
        <is>
          <t>K</t>
        </is>
      </c>
      <c r="C6043" s="12" t="inlineStr">
        <is>
          <t>Fuel supply (adjacent market)</t>
        </is>
      </c>
      <c r="D6043" s="12" t="inlineStr">
        <is>
          <t>Analog instrument to JB JB-LNG-T8-AI01: 4 x 1 pr (field cables)</t>
        </is>
      </c>
      <c r="E6043" s="12" t="inlineStr">
        <is>
          <t>LNG-T8</t>
        </is>
      </c>
      <c r="F6043" s="12" t="inlineStr">
        <is>
          <t>LNG 11: tank 8, Chart HS 50000 (51,780 gal)</t>
        </is>
      </c>
      <c r="G6043" s="12" t="inlineStr">
        <is>
          <t>JB-LNG-T8-AI01</t>
        </is>
      </c>
      <c r="H6043" s="12" t="inlineStr">
        <is>
          <t>LNG 11: tank 8, Chart HS 50000 (51,780 gal)</t>
        </is>
      </c>
      <c r="I6043" s="12" t="inlineStr">
        <is>
          <t>Instrumentation</t>
        </is>
      </c>
      <c r="J6043" s="12" t="inlineStr">
        <is>
          <t>Instrumentation ITC / PLTC, IS, #18 shielded pairs, blue jacket</t>
        </is>
      </c>
      <c r="K6043" s="12" t="inlineStr">
        <is>
          <t>ITC|1 pr|16</t>
        </is>
      </c>
      <c r="L6043" s="12" t="inlineStr">
        <is>
          <t>1 pr</t>
        </is>
      </c>
      <c r="M6043" s="12" t="inlineStr">
        <is>
          <t>16</t>
        </is>
      </c>
      <c r="N6043" s="12" t="n">
        <v>4</v>
      </c>
      <c r="O6043" s="12" t="n">
        <v>1</v>
      </c>
      <c r="P6043" s="12" t="n"/>
      <c r="Q6043" s="12" t="n"/>
      <c r="R6043" s="12" t="n"/>
      <c r="S6043" s="12" t="inlineStr">
        <is>
          <t>Tray / conduit</t>
        </is>
      </c>
      <c r="T6043" s="17" t="n">
        <v>77</v>
      </c>
      <c r="U6043" s="17" t="n">
        <v>10</v>
      </c>
      <c r="V6043" s="17">
        <f>ROUNDUP((T6043+U6043+2*'Read Me'!$B$13)*(1+'Read Me'!$B$12),-1)</f>
        <v/>
      </c>
      <c r="W6043" s="17">
        <f>V6043*N6043*O6043</f>
        <v/>
      </c>
      <c r="X6043" s="12">
        <f>IF(LEFT(I6043,2)="MV",2*N6043*IF(L6043="1/C",O6043,1),0)</f>
        <v/>
      </c>
      <c r="Y6043" s="12">
        <f>IF(OR(LEFT(K6043,4)="LVAX",LEFT(K6043,6)="MV15AX",LEFT(K6043,4)="CTAX",LEFT(K6043,2)="W|"),2*N6043*O6043,0)</f>
        <v/>
      </c>
      <c r="Z6043" s="12" t="inlineStr">
        <is>
          <t>device-to-JB field wiring, one cable per device</t>
        </is>
      </c>
      <c r="AA6043" s="12">
        <f>N6043*O6043</f>
        <v/>
      </c>
    </row>
    <row r="6044">
      <c r="A6044" s="12" t="inlineStr">
        <is>
          <t>K-I-0128</t>
        </is>
      </c>
      <c r="B6044" s="12" t="inlineStr">
        <is>
          <t>K</t>
        </is>
      </c>
      <c r="C6044" s="12" t="inlineStr">
        <is>
          <t>Fuel supply (adjacent market)</t>
        </is>
      </c>
      <c r="D6044" s="12" t="inlineStr">
        <is>
          <t>Home run JB-LNG-T8-AI01 to the control / marshalling room</t>
        </is>
      </c>
      <c r="E6044" s="12" t="inlineStr"/>
      <c r="F6044" s="12" t="inlineStr">
        <is>
          <t>LNG 17: LNG e-house (13.8 kV / 480 V)</t>
        </is>
      </c>
      <c r="G6044" s="12" t="inlineStr">
        <is>
          <t>JB-LNG-T8-AI01</t>
        </is>
      </c>
      <c r="H6044" s="12" t="inlineStr">
        <is>
          <t>LNG 11: tank 8, Chart HS 50000 (51,780 gal)</t>
        </is>
      </c>
      <c r="I6044" s="12" t="inlineStr">
        <is>
          <t>Instrumentation</t>
        </is>
      </c>
      <c r="J6044" s="12" t="inlineStr">
        <is>
          <t>Instrumentation ITC / PLTC, IS, #18 shielded pairs, blue jacket</t>
        </is>
      </c>
      <c r="K6044" s="12" t="inlineStr">
        <is>
          <t>ITC|24 pr|18</t>
        </is>
      </c>
      <c r="L6044" s="12" t="inlineStr">
        <is>
          <t>24 pr</t>
        </is>
      </c>
      <c r="M6044" s="12" t="inlineStr">
        <is>
          <t>18</t>
        </is>
      </c>
      <c r="N6044" s="12" t="n">
        <v>1</v>
      </c>
      <c r="O6044" s="12" t="n">
        <v>1</v>
      </c>
      <c r="P6044" s="12" t="n"/>
      <c r="Q6044" s="12" t="n"/>
      <c r="R6044" s="12" t="n"/>
      <c r="S6044" s="12" t="inlineStr">
        <is>
          <t>Duct bank</t>
        </is>
      </c>
      <c r="T6044" s="17" t="n">
        <v>350</v>
      </c>
      <c r="U6044" s="17" t="n">
        <v>32</v>
      </c>
      <c r="V6044" s="17">
        <f>ROUNDUP((T6044+U6044+2*'Read Me'!$B$13)*(1+'Read Me'!$B$12),-1)</f>
        <v/>
      </c>
      <c r="W6044" s="17">
        <f>V6044*N6044*O6044</f>
        <v/>
      </c>
      <c r="X6044" s="12">
        <f>IF(LEFT(I6044,2)="MV",2*N6044*IF(L6044="1/C",O6044,1),0)</f>
        <v/>
      </c>
      <c r="Y6044" s="12">
        <f>IF(OR(LEFT(K6044,4)="LVAX",LEFT(K6044,6)="MV15AX",LEFT(K6044,4)="CTAX",LEFT(K6044,2)="W|"),2*N6044*O6044,0)</f>
        <v/>
      </c>
      <c r="Z6044" s="12" t="inlineStr"/>
      <c r="AA6044" s="12">
        <f>N6044*O6044</f>
        <v/>
      </c>
    </row>
    <row r="6045">
      <c r="A6045" s="12" t="inlineStr">
        <is>
          <t>K-I-0129</t>
        </is>
      </c>
      <c r="B6045" s="12" t="inlineStr">
        <is>
          <t>K</t>
        </is>
      </c>
      <c r="C6045" s="12" t="inlineStr">
        <is>
          <t>Fuel supply (adjacent market)</t>
        </is>
      </c>
      <c r="D6045" s="12" t="inlineStr">
        <is>
          <t>Discrete device to JB JB-LNG-T8-DI01: 4 x 1 pr (field cables)</t>
        </is>
      </c>
      <c r="E6045" s="12" t="inlineStr">
        <is>
          <t>LNG-T8</t>
        </is>
      </c>
      <c r="F6045" s="12" t="inlineStr">
        <is>
          <t>LNG 11: tank 8, Chart HS 50000 (51,780 gal)</t>
        </is>
      </c>
      <c r="G6045" s="12" t="inlineStr">
        <is>
          <t>JB-LNG-T8-DI01</t>
        </is>
      </c>
      <c r="H6045" s="12" t="inlineStr">
        <is>
          <t>LNG 11: tank 8, Chart HS 50000 (51,780 gal)</t>
        </is>
      </c>
      <c r="I6045" s="12" t="inlineStr">
        <is>
          <t>Instrumentation</t>
        </is>
      </c>
      <c r="J6045" s="12" t="inlineStr">
        <is>
          <t>Instrumentation ITC / PLTC, IS, #18 shielded pairs, blue jacket</t>
        </is>
      </c>
      <c r="K6045" s="12" t="inlineStr">
        <is>
          <t>ITC|1 pr|16</t>
        </is>
      </c>
      <c r="L6045" s="12" t="inlineStr">
        <is>
          <t>1 pr</t>
        </is>
      </c>
      <c r="M6045" s="12" t="inlineStr">
        <is>
          <t>16</t>
        </is>
      </c>
      <c r="N6045" s="12" t="n">
        <v>4</v>
      </c>
      <c r="O6045" s="12" t="n">
        <v>1</v>
      </c>
      <c r="P6045" s="12" t="n"/>
      <c r="Q6045" s="12" t="n"/>
      <c r="R6045" s="12" t="n"/>
      <c r="S6045" s="12" t="inlineStr">
        <is>
          <t>Tray / conduit</t>
        </is>
      </c>
      <c r="T6045" s="17" t="n">
        <v>77</v>
      </c>
      <c r="U6045" s="17" t="n">
        <v>10</v>
      </c>
      <c r="V6045" s="17">
        <f>ROUNDUP((T6045+U6045+2*'Read Me'!$B$13)*(1+'Read Me'!$B$12),-1)</f>
        <v/>
      </c>
      <c r="W6045" s="17">
        <f>V6045*N6045*O6045</f>
        <v/>
      </c>
      <c r="X6045" s="12">
        <f>IF(LEFT(I6045,2)="MV",2*N6045*IF(L6045="1/C",O6045,1),0)</f>
        <v/>
      </c>
      <c r="Y6045" s="12">
        <f>IF(OR(LEFT(K6045,4)="LVAX",LEFT(K6045,6)="MV15AX",LEFT(K6045,4)="CTAX",LEFT(K6045,2)="W|"),2*N6045*O6045,0)</f>
        <v/>
      </c>
      <c r="Z6045" s="12" t="inlineStr">
        <is>
          <t>device-to-JB field wiring, one cable per device</t>
        </is>
      </c>
      <c r="AA6045" s="12">
        <f>N6045*O6045</f>
        <v/>
      </c>
    </row>
    <row r="6046">
      <c r="A6046" s="12" t="inlineStr">
        <is>
          <t>K-I-0130</t>
        </is>
      </c>
      <c r="B6046" s="12" t="inlineStr">
        <is>
          <t>K</t>
        </is>
      </c>
      <c r="C6046" s="12" t="inlineStr">
        <is>
          <t>Fuel supply (adjacent market)</t>
        </is>
      </c>
      <c r="D6046" s="12" t="inlineStr">
        <is>
          <t>Home run JB-LNG-T8-DI01 to the control / marshalling room</t>
        </is>
      </c>
      <c r="E6046" s="12" t="inlineStr"/>
      <c r="F6046" s="12" t="inlineStr">
        <is>
          <t>LNG 17: LNG e-house (13.8 kV / 480 V)</t>
        </is>
      </c>
      <c r="G6046" s="12" t="inlineStr">
        <is>
          <t>JB-LNG-T8-DI01</t>
        </is>
      </c>
      <c r="H6046" s="12" t="inlineStr">
        <is>
          <t>LNG 11: tank 8, Chart HS 50000 (51,780 gal)</t>
        </is>
      </c>
      <c r="I6046" s="12" t="inlineStr">
        <is>
          <t>Instrumentation</t>
        </is>
      </c>
      <c r="J6046" s="12" t="inlineStr">
        <is>
          <t>Instrumentation ITC / PLTC, IS, #18 shielded pairs, blue jacket</t>
        </is>
      </c>
      <c r="K6046" s="12" t="inlineStr">
        <is>
          <t>ITC|24 pr|18</t>
        </is>
      </c>
      <c r="L6046" s="12" t="inlineStr">
        <is>
          <t>24 pr</t>
        </is>
      </c>
      <c r="M6046" s="12" t="inlineStr">
        <is>
          <t>18</t>
        </is>
      </c>
      <c r="N6046" s="12" t="n">
        <v>1</v>
      </c>
      <c r="O6046" s="12" t="n">
        <v>1</v>
      </c>
      <c r="P6046" s="12" t="n"/>
      <c r="Q6046" s="12" t="n"/>
      <c r="R6046" s="12" t="n"/>
      <c r="S6046" s="12" t="inlineStr">
        <is>
          <t>Duct bank</t>
        </is>
      </c>
      <c r="T6046" s="17" t="n">
        <v>350</v>
      </c>
      <c r="U6046" s="17" t="n">
        <v>32</v>
      </c>
      <c r="V6046" s="17">
        <f>ROUNDUP((T6046+U6046+2*'Read Me'!$B$13)*(1+'Read Me'!$B$12),-1)</f>
        <v/>
      </c>
      <c r="W6046" s="17">
        <f>V6046*N6046*O6046</f>
        <v/>
      </c>
      <c r="X6046" s="12">
        <f>IF(LEFT(I6046,2)="MV",2*N6046*IF(L6046="1/C",O6046,1),0)</f>
        <v/>
      </c>
      <c r="Y6046" s="12">
        <f>IF(OR(LEFT(K6046,4)="LVAX",LEFT(K6046,6)="MV15AX",LEFT(K6046,4)="CTAX",LEFT(K6046,2)="W|"),2*N6046*O6046,0)</f>
        <v/>
      </c>
      <c r="Z6046" s="12" t="inlineStr"/>
      <c r="AA6046" s="12">
        <f>N6046*O6046</f>
        <v/>
      </c>
    </row>
    <row r="6047">
      <c r="A6047" s="12" t="inlineStr">
        <is>
          <t>K-I-0131</t>
        </is>
      </c>
      <c r="B6047" s="12" t="inlineStr">
        <is>
          <t>K</t>
        </is>
      </c>
      <c r="C6047" s="12" t="inlineStr">
        <is>
          <t>Fuel supply (adjacent market)</t>
        </is>
      </c>
      <c r="D6047" s="12" t="inlineStr">
        <is>
          <t>Analog instrument to JB JB-LNG 12: spill impo-AI01: 12 x 1 pr (field cables)</t>
        </is>
      </c>
      <c r="E6047" s="12" t="inlineStr"/>
      <c r="F6047" s="12" t="inlineStr">
        <is>
          <t>LNG 12: spill impoundment (NFPA 59A, to verify)</t>
        </is>
      </c>
      <c r="G6047" s="12" t="inlineStr">
        <is>
          <t>JB-LNG 12: spill impo-AI01</t>
        </is>
      </c>
      <c r="H6047" s="12" t="inlineStr">
        <is>
          <t>LNG 12: spill impoundment (NFPA 59A, to verify)</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12</v>
      </c>
      <c r="O6047" s="12" t="n">
        <v>1</v>
      </c>
      <c r="P6047" s="12" t="n"/>
      <c r="Q6047" s="12" t="n"/>
      <c r="R6047" s="12" t="n"/>
      <c r="S6047" s="12" t="inlineStr">
        <is>
          <t>Tray / conduit</t>
        </is>
      </c>
      <c r="T6047" s="17" t="n">
        <v>170</v>
      </c>
      <c r="U6047" s="17" t="n">
        <v>10</v>
      </c>
      <c r="V6047" s="17">
        <f>ROUNDUP((T6047+U6047+2*'Read Me'!$B$13)*(1+'Read Me'!$B$12),-1)</f>
        <v/>
      </c>
      <c r="W6047" s="17">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K-I-0132</t>
        </is>
      </c>
      <c r="B6048" s="12" t="inlineStr">
        <is>
          <t>K</t>
        </is>
      </c>
      <c r="C6048" s="12" t="inlineStr">
        <is>
          <t>Fuel supply (adjacent market)</t>
        </is>
      </c>
      <c r="D6048" s="12" t="inlineStr">
        <is>
          <t>Home run JB-LNG 12: spill impo-AI01 to the control / marshalling room</t>
        </is>
      </c>
      <c r="E6048" s="12" t="inlineStr"/>
      <c r="F6048" s="12" t="inlineStr">
        <is>
          <t>LNG 17: LNG e-house (13.8 kV / 480 V)</t>
        </is>
      </c>
      <c r="G6048" s="12" t="inlineStr">
        <is>
          <t>JB-LNG 12: spill impo-AI01</t>
        </is>
      </c>
      <c r="H6048" s="12" t="inlineStr">
        <is>
          <t>LNG 12: spill impoundment (NFPA 59A, to verify)</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7" t="n">
        <v>230</v>
      </c>
      <c r="U6048" s="17" t="n">
        <v>32</v>
      </c>
      <c r="V6048" s="17">
        <f>ROUNDUP((T6048+U6048+2*'Read Me'!$B$13)*(1+'Read Me'!$B$12),-1)</f>
        <v/>
      </c>
      <c r="W6048" s="17">
        <f>V6048*N6048*O6048</f>
        <v/>
      </c>
      <c r="X6048" s="12">
        <f>IF(LEFT(I6048,2)="MV",2*N6048*IF(L6048="1/C",O6048,1),0)</f>
        <v/>
      </c>
      <c r="Y6048" s="12">
        <f>IF(OR(LEFT(K6048,4)="LVAX",LEFT(K6048,6)="MV15AX",LEFT(K6048,4)="CTAX",LEFT(K6048,2)="W|"),2*N6048*O6048,0)</f>
        <v/>
      </c>
      <c r="Z6048" s="12" t="inlineStr"/>
      <c r="AA6048" s="12">
        <f>N6048*O6048</f>
        <v/>
      </c>
    </row>
    <row r="6049">
      <c r="A6049" s="12" t="inlineStr">
        <is>
          <t>K-I-0133</t>
        </is>
      </c>
      <c r="B6049" s="12" t="inlineStr">
        <is>
          <t>K</t>
        </is>
      </c>
      <c r="C6049" s="12" t="inlineStr">
        <is>
          <t>Fuel supply (adjacent market)</t>
        </is>
      </c>
      <c r="D6049" s="12" t="inlineStr">
        <is>
          <t>Discrete device to JB JB-LNG 12: spill impo-DI01: 12 x 1 pr (field cables)</t>
        </is>
      </c>
      <c r="E6049" s="12" t="inlineStr"/>
      <c r="F6049" s="12" t="inlineStr">
        <is>
          <t>LNG 12: spill impoundment (NFPA 59A, to verify)</t>
        </is>
      </c>
      <c r="G6049" s="12" t="inlineStr">
        <is>
          <t>JB-LNG 12: spill impo-DI01</t>
        </is>
      </c>
      <c r="H6049" s="12" t="inlineStr">
        <is>
          <t>LNG 12: spill impoundment (NFPA 59A, to verify)</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12</v>
      </c>
      <c r="O6049" s="12" t="n">
        <v>1</v>
      </c>
      <c r="P6049" s="12" t="n"/>
      <c r="Q6049" s="12" t="n"/>
      <c r="R6049" s="12" t="n"/>
      <c r="S6049" s="12" t="inlineStr">
        <is>
          <t>Tray / conduit</t>
        </is>
      </c>
      <c r="T6049" s="17" t="n">
        <v>170</v>
      </c>
      <c r="U6049" s="17" t="n">
        <v>10</v>
      </c>
      <c r="V6049" s="17">
        <f>ROUNDUP((T6049+U6049+2*'Read Me'!$B$13)*(1+'Read Me'!$B$12),-1)</f>
        <v/>
      </c>
      <c r="W6049" s="17">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K-I-0134</t>
        </is>
      </c>
      <c r="B6050" s="12" t="inlineStr">
        <is>
          <t>K</t>
        </is>
      </c>
      <c r="C6050" s="12" t="inlineStr">
        <is>
          <t>Fuel supply (adjacent market)</t>
        </is>
      </c>
      <c r="D6050" s="12" t="inlineStr">
        <is>
          <t>Home run JB-LNG 12: spill impo-DI01 to the control / marshalling room</t>
        </is>
      </c>
      <c r="E6050" s="12" t="inlineStr"/>
      <c r="F6050" s="12" t="inlineStr">
        <is>
          <t>LNG 17: LNG e-house (13.8 kV / 480 V)</t>
        </is>
      </c>
      <c r="G6050" s="12" t="inlineStr">
        <is>
          <t>JB-LNG 12: spill impo-DI01</t>
        </is>
      </c>
      <c r="H6050" s="12" t="inlineStr">
        <is>
          <t>LNG 12: spill impoundment (NFPA 59A, to verify)</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7" t="n">
        <v>230</v>
      </c>
      <c r="U6050" s="17" t="n">
        <v>32</v>
      </c>
      <c r="V6050" s="17">
        <f>ROUNDUP((T6050+U6050+2*'Read Me'!$B$13)*(1+'Read Me'!$B$12),-1)</f>
        <v/>
      </c>
      <c r="W6050" s="17">
        <f>V6050*N6050*O6050</f>
        <v/>
      </c>
      <c r="X6050" s="12">
        <f>IF(LEFT(I6050,2)="MV",2*N6050*IF(L6050="1/C",O6050,1),0)</f>
        <v/>
      </c>
      <c r="Y6050" s="12">
        <f>IF(OR(LEFT(K6050,4)="LVAX",LEFT(K6050,6)="MV15AX",LEFT(K6050,4)="CTAX",LEFT(K6050,2)="W|"),2*N6050*O6050,0)</f>
        <v/>
      </c>
      <c r="Z6050" s="12" t="inlineStr"/>
      <c r="AA6050" s="12">
        <f>N6050*O6050</f>
        <v/>
      </c>
    </row>
    <row r="6051">
      <c r="A6051" s="12" t="inlineStr">
        <is>
          <t>K-I-0135</t>
        </is>
      </c>
      <c r="B6051" s="12" t="inlineStr">
        <is>
          <t>K</t>
        </is>
      </c>
      <c r="C6051" s="12" t="inlineStr">
        <is>
          <t>Fuel supply (adjacent market)</t>
        </is>
      </c>
      <c r="D6051" s="12" t="inlineStr">
        <is>
          <t>Analog instrument to JB JB-LNG 13: send-out p-AI01: 12 x 1 pr (field cables)</t>
        </is>
      </c>
      <c r="E6051" s="12" t="inlineStr"/>
      <c r="F6051" s="12" t="inlineStr">
        <is>
          <t>LNG 13: send-out pumps 2 x 100%</t>
        </is>
      </c>
      <c r="G6051" s="12" t="inlineStr">
        <is>
          <t>JB-LNG 13: send-out p-AI01</t>
        </is>
      </c>
      <c r="H6051" s="12" t="inlineStr">
        <is>
          <t>LNG 13: send-out pumps 2 x 100%</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7" t="n">
        <v>63</v>
      </c>
      <c r="U6051" s="17" t="n">
        <v>10</v>
      </c>
      <c r="V6051" s="17">
        <f>ROUNDUP((T6051+U6051+2*'Read Me'!$B$13)*(1+'Read Me'!$B$12),-1)</f>
        <v/>
      </c>
      <c r="W6051" s="17">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K-I-0136</t>
        </is>
      </c>
      <c r="B6052" s="12" t="inlineStr">
        <is>
          <t>K</t>
        </is>
      </c>
      <c r="C6052" s="12" t="inlineStr">
        <is>
          <t>Fuel supply (adjacent market)</t>
        </is>
      </c>
      <c r="D6052" s="12" t="inlineStr">
        <is>
          <t>Home run JB-LNG 13: send-out p-AI01 to the control / marshalling room</t>
        </is>
      </c>
      <c r="E6052" s="12" t="inlineStr"/>
      <c r="F6052" s="12" t="inlineStr">
        <is>
          <t>LNG 17: LNG e-house (13.8 kV / 480 V)</t>
        </is>
      </c>
      <c r="G6052" s="12" t="inlineStr">
        <is>
          <t>JB-LNG 13: send-out p-AI01</t>
        </is>
      </c>
      <c r="H6052" s="12" t="inlineStr">
        <is>
          <t>LNG 13: send-out pumps 2 x 100%</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Duct bank</t>
        </is>
      </c>
      <c r="T6052" s="17" t="n">
        <v>110</v>
      </c>
      <c r="U6052" s="17" t="n">
        <v>32</v>
      </c>
      <c r="V6052" s="17">
        <f>ROUNDUP((T6052+U6052+2*'Read Me'!$B$13)*(1+'Read Me'!$B$12),-1)</f>
        <v/>
      </c>
      <c r="W6052" s="17">
        <f>V6052*N6052*O6052</f>
        <v/>
      </c>
      <c r="X6052" s="12">
        <f>IF(LEFT(I6052,2)="MV",2*N6052*IF(L6052="1/C",O6052,1),0)</f>
        <v/>
      </c>
      <c r="Y6052" s="12">
        <f>IF(OR(LEFT(K6052,4)="LVAX",LEFT(K6052,6)="MV15AX",LEFT(K6052,4)="CTAX",LEFT(K6052,2)="W|"),2*N6052*O6052,0)</f>
        <v/>
      </c>
      <c r="Z6052" s="12" t="inlineStr"/>
      <c r="AA6052" s="12">
        <f>N6052*O6052</f>
        <v/>
      </c>
    </row>
    <row r="6053">
      <c r="A6053" s="12" t="inlineStr">
        <is>
          <t>K-I-0137</t>
        </is>
      </c>
      <c r="B6053" s="12" t="inlineStr">
        <is>
          <t>K</t>
        </is>
      </c>
      <c r="C6053" s="12" t="inlineStr">
        <is>
          <t>Fuel supply (adjacent market)</t>
        </is>
      </c>
      <c r="D6053" s="12" t="inlineStr">
        <is>
          <t>Discrete device to JB JB-LNG 13: send-out p-DI01: 12 x 1 pr (field cables)</t>
        </is>
      </c>
      <c r="E6053" s="12" t="inlineStr"/>
      <c r="F6053" s="12" t="inlineStr">
        <is>
          <t>LNG 13: send-out pumps 2 x 100%</t>
        </is>
      </c>
      <c r="G6053" s="12" t="inlineStr">
        <is>
          <t>JB-LNG 13: send-out p-DI01</t>
        </is>
      </c>
      <c r="H6053" s="12" t="inlineStr">
        <is>
          <t>LNG 13: send-out pumps 2 x 100%</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7" t="n">
        <v>63</v>
      </c>
      <c r="U6053" s="17" t="n">
        <v>10</v>
      </c>
      <c r="V6053" s="17">
        <f>ROUNDUP((T6053+U6053+2*'Read Me'!$B$13)*(1+'Read Me'!$B$12),-1)</f>
        <v/>
      </c>
      <c r="W6053" s="17">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K-I-0138</t>
        </is>
      </c>
      <c r="B6054" s="12" t="inlineStr">
        <is>
          <t>K</t>
        </is>
      </c>
      <c r="C6054" s="12" t="inlineStr">
        <is>
          <t>Fuel supply (adjacent market)</t>
        </is>
      </c>
      <c r="D6054" s="12" t="inlineStr">
        <is>
          <t>Home run JB-LNG 13: send-out p-DI01 to the control / marshalling room</t>
        </is>
      </c>
      <c r="E6054" s="12" t="inlineStr"/>
      <c r="F6054" s="12" t="inlineStr">
        <is>
          <t>LNG 17: LNG e-house (13.8 kV / 480 V)</t>
        </is>
      </c>
      <c r="G6054" s="12" t="inlineStr">
        <is>
          <t>JB-LNG 13: send-out p-DI01</t>
        </is>
      </c>
      <c r="H6054" s="12" t="inlineStr">
        <is>
          <t>LNG 13: send-out pumps 2 x 100%</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Duct bank</t>
        </is>
      </c>
      <c r="T6054" s="17" t="n">
        <v>110</v>
      </c>
      <c r="U6054" s="17" t="n">
        <v>32</v>
      </c>
      <c r="V6054" s="17">
        <f>ROUNDUP((T6054+U6054+2*'Read Me'!$B$13)*(1+'Read Me'!$B$12),-1)</f>
        <v/>
      </c>
      <c r="W6054" s="17">
        <f>V6054*N6054*O6054</f>
        <v/>
      </c>
      <c r="X6054" s="12">
        <f>IF(LEFT(I6054,2)="MV",2*N6054*IF(L6054="1/C",O6054,1),0)</f>
        <v/>
      </c>
      <c r="Y6054" s="12">
        <f>IF(OR(LEFT(K6054,4)="LVAX",LEFT(K6054,6)="MV15AX",LEFT(K6054,4)="CTAX",LEFT(K6054,2)="W|"),2*N6054*O6054,0)</f>
        <v/>
      </c>
      <c r="Z6054" s="12" t="inlineStr"/>
      <c r="AA6054" s="12">
        <f>N6054*O6054</f>
        <v/>
      </c>
    </row>
    <row r="6055">
      <c r="A6055" s="12" t="inlineStr">
        <is>
          <t>K-I-0139</t>
        </is>
      </c>
      <c r="B6055" s="12" t="inlineStr">
        <is>
          <t>K</t>
        </is>
      </c>
      <c r="C6055" s="12" t="inlineStr">
        <is>
          <t>Fuel supply (adjacent market)</t>
        </is>
      </c>
      <c r="D6055" s="12" t="inlineStr">
        <is>
          <t>Analog instrument to JB JB-LNG 14: vaporizers-AI01: 12 x 1 pr (field cables)</t>
        </is>
      </c>
      <c r="E6055" s="12" t="inlineStr"/>
      <c r="F6055" s="12" t="inlineStr">
        <is>
          <t>LNG 14: vaporizers + glycol heater</t>
        </is>
      </c>
      <c r="G6055" s="12" t="inlineStr">
        <is>
          <t>JB-LNG 14: vaporizers-AI01</t>
        </is>
      </c>
      <c r="H6055" s="12" t="inlineStr">
        <is>
          <t>LNG 14: vaporizers + glycol heater</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12</v>
      </c>
      <c r="O6055" s="12" t="n">
        <v>1</v>
      </c>
      <c r="P6055" s="12" t="n"/>
      <c r="Q6055" s="12" t="n"/>
      <c r="R6055" s="12" t="n"/>
      <c r="S6055" s="12" t="inlineStr">
        <is>
          <t>Tray / conduit</t>
        </is>
      </c>
      <c r="T6055" s="17" t="n">
        <v>122</v>
      </c>
      <c r="U6055" s="17" t="n">
        <v>10</v>
      </c>
      <c r="V6055" s="17">
        <f>ROUNDUP((T6055+U6055+2*'Read Me'!$B$13)*(1+'Read Me'!$B$12),-1)</f>
        <v/>
      </c>
      <c r="W6055" s="17">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K-I-0140</t>
        </is>
      </c>
      <c r="B6056" s="12" t="inlineStr">
        <is>
          <t>K</t>
        </is>
      </c>
      <c r="C6056" s="12" t="inlineStr">
        <is>
          <t>Fuel supply (adjacent market)</t>
        </is>
      </c>
      <c r="D6056" s="12" t="inlineStr">
        <is>
          <t>Home run JB-LNG 14: vaporizers-AI01 to the control / marshalling room</t>
        </is>
      </c>
      <c r="E6056" s="12" t="inlineStr"/>
      <c r="F6056" s="12" t="inlineStr">
        <is>
          <t>LNG 17: LNG e-house (13.8 kV / 480 V)</t>
        </is>
      </c>
      <c r="G6056" s="12" t="inlineStr">
        <is>
          <t>JB-LNG 14: vaporizers-AI01</t>
        </is>
      </c>
      <c r="H6056" s="12" t="inlineStr">
        <is>
          <t>LNG 14: vaporizers + glycol heater</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7" t="n">
        <v>259</v>
      </c>
      <c r="U6056" s="17" t="n">
        <v>32</v>
      </c>
      <c r="V6056" s="17">
        <f>ROUNDUP((T6056+U6056+2*'Read Me'!$B$13)*(1+'Read Me'!$B$12),-1)</f>
        <v/>
      </c>
      <c r="W6056" s="17">
        <f>V6056*N6056*O6056</f>
        <v/>
      </c>
      <c r="X6056" s="12">
        <f>IF(LEFT(I6056,2)="MV",2*N6056*IF(L6056="1/C",O6056,1),0)</f>
        <v/>
      </c>
      <c r="Y6056" s="12">
        <f>IF(OR(LEFT(K6056,4)="LVAX",LEFT(K6056,6)="MV15AX",LEFT(K6056,4)="CTAX",LEFT(K6056,2)="W|"),2*N6056*O6056,0)</f>
        <v/>
      </c>
      <c r="Z6056" s="12" t="inlineStr"/>
      <c r="AA6056" s="12">
        <f>N6056*O6056</f>
        <v/>
      </c>
    </row>
    <row r="6057">
      <c r="A6057" s="12" t="inlineStr">
        <is>
          <t>K-I-0141</t>
        </is>
      </c>
      <c r="B6057" s="12" t="inlineStr">
        <is>
          <t>K</t>
        </is>
      </c>
      <c r="C6057" s="12" t="inlineStr">
        <is>
          <t>Fuel supply (adjacent market)</t>
        </is>
      </c>
      <c r="D6057" s="12" t="inlineStr">
        <is>
          <t>Discrete device to JB JB-LNG 14: vaporizers-DI01: 12 x 1 pr (field cables)</t>
        </is>
      </c>
      <c r="E6057" s="12" t="inlineStr"/>
      <c r="F6057" s="12" t="inlineStr">
        <is>
          <t>LNG 14: vaporizers + glycol heater</t>
        </is>
      </c>
      <c r="G6057" s="12" t="inlineStr">
        <is>
          <t>JB-LNG 14: vaporizers-DI01</t>
        </is>
      </c>
      <c r="H6057" s="12" t="inlineStr">
        <is>
          <t>LNG 14: vaporizers + glycol heater</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12</v>
      </c>
      <c r="O6057" s="12" t="n">
        <v>1</v>
      </c>
      <c r="P6057" s="12" t="n"/>
      <c r="Q6057" s="12" t="n"/>
      <c r="R6057" s="12" t="n"/>
      <c r="S6057" s="12" t="inlineStr">
        <is>
          <t>Tray / conduit</t>
        </is>
      </c>
      <c r="T6057" s="17" t="n">
        <v>122</v>
      </c>
      <c r="U6057" s="17" t="n">
        <v>10</v>
      </c>
      <c r="V6057" s="17">
        <f>ROUNDUP((T6057+U6057+2*'Read Me'!$B$13)*(1+'Read Me'!$B$12),-1)</f>
        <v/>
      </c>
      <c r="W6057" s="17">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K-I-0142</t>
        </is>
      </c>
      <c r="B6058" s="12" t="inlineStr">
        <is>
          <t>K</t>
        </is>
      </c>
      <c r="C6058" s="12" t="inlineStr">
        <is>
          <t>Fuel supply (adjacent market)</t>
        </is>
      </c>
      <c r="D6058" s="12" t="inlineStr">
        <is>
          <t>Home run JB-LNG 14: vaporizers-DI01 to the control / marshalling room</t>
        </is>
      </c>
      <c r="E6058" s="12" t="inlineStr"/>
      <c r="F6058" s="12" t="inlineStr">
        <is>
          <t>LNG 17: LNG e-house (13.8 kV / 480 V)</t>
        </is>
      </c>
      <c r="G6058" s="12" t="inlineStr">
        <is>
          <t>JB-LNG 14: vaporizers-DI01</t>
        </is>
      </c>
      <c r="H6058" s="12" t="inlineStr">
        <is>
          <t>LNG 14: vaporizers + glycol heater</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7" t="n">
        <v>259</v>
      </c>
      <c r="U6058" s="17" t="n">
        <v>32</v>
      </c>
      <c r="V6058" s="17">
        <f>ROUNDUP((T6058+U6058+2*'Read Me'!$B$13)*(1+'Read Me'!$B$12),-1)</f>
        <v/>
      </c>
      <c r="W6058" s="17">
        <f>V6058*N6058*O6058</f>
        <v/>
      </c>
      <c r="X6058" s="12">
        <f>IF(LEFT(I6058,2)="MV",2*N6058*IF(L6058="1/C",O6058,1),0)</f>
        <v/>
      </c>
      <c r="Y6058" s="12">
        <f>IF(OR(LEFT(K6058,4)="LVAX",LEFT(K6058,6)="MV15AX",LEFT(K6058,4)="CTAX",LEFT(K6058,2)="W|"),2*N6058*O6058,0)</f>
        <v/>
      </c>
      <c r="Z6058" s="12" t="inlineStr"/>
      <c r="AA6058" s="12">
        <f>N6058*O6058</f>
        <v/>
      </c>
    </row>
    <row r="6059">
      <c r="A6059" s="12" t="inlineStr">
        <is>
          <t>K-I-0143</t>
        </is>
      </c>
      <c r="B6059" s="12" t="inlineStr">
        <is>
          <t>K</t>
        </is>
      </c>
      <c r="C6059" s="12" t="inlineStr">
        <is>
          <t>Fuel supply (adjacent market)</t>
        </is>
      </c>
      <c r="D6059" s="12" t="inlineStr">
        <is>
          <t>Analog instrument to JB JB-LNG 15: boil-off g-AI01: 12 x 1 pr (field cables)</t>
        </is>
      </c>
      <c r="E6059" s="12" t="inlineStr"/>
      <c r="F6059" s="12" t="inlineStr">
        <is>
          <t>LNG 15: boil-off gas compressor</t>
        </is>
      </c>
      <c r="G6059" s="12" t="inlineStr">
        <is>
          <t>JB-LNG 15: boil-off g-AI01</t>
        </is>
      </c>
      <c r="H6059" s="12" t="inlineStr">
        <is>
          <t>LNG 15: boil-off gas compressor</t>
        </is>
      </c>
      <c r="I6059" s="12" t="inlineStr">
        <is>
          <t>Instrumentation</t>
        </is>
      </c>
      <c r="J6059" s="12" t="inlineStr">
        <is>
          <t>Instrumentation ITC / PLTC, IS, #18 shielded pairs, blue jacket</t>
        </is>
      </c>
      <c r="K6059" s="12" t="inlineStr">
        <is>
          <t>ITC|1 pr|16</t>
        </is>
      </c>
      <c r="L6059" s="12" t="inlineStr">
        <is>
          <t>1 pr</t>
        </is>
      </c>
      <c r="M6059" s="12" t="inlineStr">
        <is>
          <t>16</t>
        </is>
      </c>
      <c r="N6059" s="12" t="n">
        <v>12</v>
      </c>
      <c r="O6059" s="12" t="n">
        <v>1</v>
      </c>
      <c r="P6059" s="12" t="n"/>
      <c r="Q6059" s="12" t="n"/>
      <c r="R6059" s="12" t="n"/>
      <c r="S6059" s="12" t="inlineStr">
        <is>
          <t>Tray / conduit</t>
        </is>
      </c>
      <c r="T6059" s="17" t="n">
        <v>67</v>
      </c>
      <c r="U6059" s="17" t="n">
        <v>10</v>
      </c>
      <c r="V6059" s="17">
        <f>ROUNDUP((T6059+U6059+2*'Read Me'!$B$13)*(1+'Read Me'!$B$12),-1)</f>
        <v/>
      </c>
      <c r="W6059" s="17">
        <f>V6059*N6059*O6059</f>
        <v/>
      </c>
      <c r="X6059" s="12">
        <f>IF(LEFT(I6059,2)="MV",2*N6059*IF(L6059="1/C",O6059,1),0)</f>
        <v/>
      </c>
      <c r="Y6059" s="12">
        <f>IF(OR(LEFT(K6059,4)="LVAX",LEFT(K6059,6)="MV15AX",LEFT(K6059,4)="CTAX",LEFT(K6059,2)="W|"),2*N6059*O6059,0)</f>
        <v/>
      </c>
      <c r="Z6059" s="12" t="inlineStr">
        <is>
          <t>device-to-JB field wiring, one cable per device</t>
        </is>
      </c>
      <c r="AA6059" s="12">
        <f>N6059*O6059</f>
        <v/>
      </c>
    </row>
    <row r="6060">
      <c r="A6060" s="12" t="inlineStr">
        <is>
          <t>K-I-0144</t>
        </is>
      </c>
      <c r="B6060" s="12" t="inlineStr">
        <is>
          <t>K</t>
        </is>
      </c>
      <c r="C6060" s="12" t="inlineStr">
        <is>
          <t>Fuel supply (adjacent market)</t>
        </is>
      </c>
      <c r="D6060" s="12" t="inlineStr">
        <is>
          <t>Home run JB-LNG 15: boil-off g-AI01 to the control / marshalling room</t>
        </is>
      </c>
      <c r="E6060" s="12" t="inlineStr"/>
      <c r="F6060" s="12" t="inlineStr">
        <is>
          <t>LNG 17: LNG e-house (13.8 kV / 480 V)</t>
        </is>
      </c>
      <c r="G6060" s="12" t="inlineStr">
        <is>
          <t>JB-LNG 15: boil-off g-AI01</t>
        </is>
      </c>
      <c r="H6060" s="12" t="inlineStr">
        <is>
          <t>LNG 15: boil-off gas compressor</t>
        </is>
      </c>
      <c r="I6060" s="12" t="inlineStr">
        <is>
          <t>Instrumentation</t>
        </is>
      </c>
      <c r="J6060" s="12" t="inlineStr">
        <is>
          <t>Instrumentation ITC / PLTC, IS, #18 shielded pairs, blue jacket</t>
        </is>
      </c>
      <c r="K6060" s="12" t="inlineStr">
        <is>
          <t>ITC|24 pr|18</t>
        </is>
      </c>
      <c r="L6060" s="12" t="inlineStr">
        <is>
          <t>24 pr</t>
        </is>
      </c>
      <c r="M6060" s="12" t="inlineStr">
        <is>
          <t>18</t>
        </is>
      </c>
      <c r="N6060" s="12" t="n">
        <v>1</v>
      </c>
      <c r="O6060" s="12" t="n">
        <v>1</v>
      </c>
      <c r="P6060" s="12" t="n"/>
      <c r="Q6060" s="12" t="n"/>
      <c r="R6060" s="12" t="n"/>
      <c r="S6060" s="12" t="inlineStr">
        <is>
          <t>Duct bank</t>
        </is>
      </c>
      <c r="T6060" s="17" t="n">
        <v>25</v>
      </c>
      <c r="U6060" s="17" t="n">
        <v>54</v>
      </c>
      <c r="V6060" s="17">
        <f>ROUNDUP((T6060+U6060+2*'Read Me'!$B$13)*(1+'Read Me'!$B$12),-1)</f>
        <v/>
      </c>
      <c r="W6060" s="17">
        <f>V6060*N6060*O6060</f>
        <v/>
      </c>
      <c r="X6060" s="12">
        <f>IF(LEFT(I6060,2)="MV",2*N6060*IF(L6060="1/C",O6060,1),0)</f>
        <v/>
      </c>
      <c r="Y6060" s="12">
        <f>IF(OR(LEFT(K6060,4)="LVAX",LEFT(K6060,6)="MV15AX",LEFT(K6060,4)="CTAX",LEFT(K6060,2)="W|"),2*N6060*O6060,0)</f>
        <v/>
      </c>
      <c r="Z6060" s="12" t="inlineStr"/>
      <c r="AA6060" s="12">
        <f>N6060*O6060</f>
        <v/>
      </c>
    </row>
    <row r="6061">
      <c r="A6061" s="12" t="inlineStr">
        <is>
          <t>K-I-0145</t>
        </is>
      </c>
      <c r="B6061" s="12" t="inlineStr">
        <is>
          <t>K</t>
        </is>
      </c>
      <c r="C6061" s="12" t="inlineStr">
        <is>
          <t>Fuel supply (adjacent market)</t>
        </is>
      </c>
      <c r="D6061" s="12" t="inlineStr">
        <is>
          <t>Discrete device to JB JB-LNG 15: boil-off g-DI01: 12 x 1 pr (field cables)</t>
        </is>
      </c>
      <c r="E6061" s="12" t="inlineStr"/>
      <c r="F6061" s="12" t="inlineStr">
        <is>
          <t>LNG 15: boil-off gas compressor</t>
        </is>
      </c>
      <c r="G6061" s="12" t="inlineStr">
        <is>
          <t>JB-LNG 15: boil-off g-DI01</t>
        </is>
      </c>
      <c r="H6061" s="12" t="inlineStr">
        <is>
          <t>LNG 15: boil-off gas compressor</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12</v>
      </c>
      <c r="O6061" s="12" t="n">
        <v>1</v>
      </c>
      <c r="P6061" s="12" t="n"/>
      <c r="Q6061" s="12" t="n"/>
      <c r="R6061" s="12" t="n"/>
      <c r="S6061" s="12" t="inlineStr">
        <is>
          <t>Tray / conduit</t>
        </is>
      </c>
      <c r="T6061" s="17" t="n">
        <v>67</v>
      </c>
      <c r="U6061" s="17" t="n">
        <v>10</v>
      </c>
      <c r="V6061" s="17">
        <f>ROUNDUP((T6061+U6061+2*'Read Me'!$B$13)*(1+'Read Me'!$B$12),-1)</f>
        <v/>
      </c>
      <c r="W6061" s="17">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K-I-0146</t>
        </is>
      </c>
      <c r="B6062" s="12" t="inlineStr">
        <is>
          <t>K</t>
        </is>
      </c>
      <c r="C6062" s="12" t="inlineStr">
        <is>
          <t>Fuel supply (adjacent market)</t>
        </is>
      </c>
      <c r="D6062" s="12" t="inlineStr">
        <is>
          <t>Home run JB-LNG 15: boil-off g-DI01 to the control / marshalling room</t>
        </is>
      </c>
      <c r="E6062" s="12" t="inlineStr"/>
      <c r="F6062" s="12" t="inlineStr">
        <is>
          <t>LNG 17: LNG e-house (13.8 kV / 480 V)</t>
        </is>
      </c>
      <c r="G6062" s="12" t="inlineStr">
        <is>
          <t>JB-LNG 15: boil-off g-DI01</t>
        </is>
      </c>
      <c r="H6062" s="12" t="inlineStr">
        <is>
          <t>LNG 15: boil-off gas compressor</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7" t="n">
        <v>25</v>
      </c>
      <c r="U6062" s="17" t="n">
        <v>54</v>
      </c>
      <c r="V6062" s="17">
        <f>ROUNDUP((T6062+U6062+2*'Read Me'!$B$13)*(1+'Read Me'!$B$12),-1)</f>
        <v/>
      </c>
      <c r="W6062" s="17">
        <f>V6062*N6062*O6062</f>
        <v/>
      </c>
      <c r="X6062" s="12">
        <f>IF(LEFT(I6062,2)="MV",2*N6062*IF(L6062="1/C",O6062,1),0)</f>
        <v/>
      </c>
      <c r="Y6062" s="12">
        <f>IF(OR(LEFT(K6062,4)="LVAX",LEFT(K6062,6)="MV15AX",LEFT(K6062,4)="CTAX",LEFT(K6062,2)="W|"),2*N6062*O6062,0)</f>
        <v/>
      </c>
      <c r="Z6062" s="12" t="inlineStr"/>
      <c r="AA6062" s="12">
        <f>N6062*O6062</f>
        <v/>
      </c>
    </row>
    <row r="6063">
      <c r="A6063" s="12" t="inlineStr">
        <is>
          <t>K-I-0147</t>
        </is>
      </c>
      <c r="B6063" s="12" t="inlineStr">
        <is>
          <t>K</t>
        </is>
      </c>
      <c r="C6063" s="12" t="inlineStr">
        <is>
          <t>Fuel supply (adjacent market)</t>
        </is>
      </c>
      <c r="D6063" s="12" t="inlineStr">
        <is>
          <t>Analog instrument to JB JB-LNG 16: send-out m-AI01: 12 x 1 pr (field cables)</t>
        </is>
      </c>
      <c r="E6063" s="12" t="inlineStr"/>
      <c r="F6063" s="12" t="inlineStr">
        <is>
          <t>LNG 16: send-out metering + pressure control</t>
        </is>
      </c>
      <c r="G6063" s="12" t="inlineStr">
        <is>
          <t>JB-LNG 16: send-out m-AI01</t>
        </is>
      </c>
      <c r="H6063" s="12" t="inlineStr">
        <is>
          <t>LNG 16: send-out metering + pressure control</t>
        </is>
      </c>
      <c r="I6063" s="12" t="inlineStr">
        <is>
          <t>Instrumentation</t>
        </is>
      </c>
      <c r="J6063" s="12" t="inlineStr">
        <is>
          <t>Instrumentation ITC / PLTC, IS, #18 shielded pairs, blue jacket</t>
        </is>
      </c>
      <c r="K6063" s="12" t="inlineStr">
        <is>
          <t>ITC|1 pr|16</t>
        </is>
      </c>
      <c r="L6063" s="12" t="inlineStr">
        <is>
          <t>1 pr</t>
        </is>
      </c>
      <c r="M6063" s="12" t="inlineStr">
        <is>
          <t>16</t>
        </is>
      </c>
      <c r="N6063" s="12" t="n">
        <v>12</v>
      </c>
      <c r="O6063" s="12" t="n">
        <v>1</v>
      </c>
      <c r="P6063" s="12" t="n"/>
      <c r="Q6063" s="12" t="n"/>
      <c r="R6063" s="12" t="n"/>
      <c r="S6063" s="12" t="inlineStr">
        <is>
          <t>Tray / conduit</t>
        </is>
      </c>
      <c r="T6063" s="17" t="n">
        <v>74</v>
      </c>
      <c r="U6063" s="17" t="n">
        <v>10</v>
      </c>
      <c r="V6063" s="17">
        <f>ROUNDUP((T6063+U6063+2*'Read Me'!$B$13)*(1+'Read Me'!$B$12),-1)</f>
        <v/>
      </c>
      <c r="W6063" s="17">
        <f>V6063*N6063*O6063</f>
        <v/>
      </c>
      <c r="X6063" s="12">
        <f>IF(LEFT(I6063,2)="MV",2*N6063*IF(L6063="1/C",O6063,1),0)</f>
        <v/>
      </c>
      <c r="Y6063" s="12">
        <f>IF(OR(LEFT(K6063,4)="LVAX",LEFT(K6063,6)="MV15AX",LEFT(K6063,4)="CTAX",LEFT(K6063,2)="W|"),2*N6063*O6063,0)</f>
        <v/>
      </c>
      <c r="Z6063" s="12" t="inlineStr">
        <is>
          <t>device-to-JB field wiring, one cable per device</t>
        </is>
      </c>
      <c r="AA6063" s="12">
        <f>N6063*O6063</f>
        <v/>
      </c>
    </row>
    <row r="6064">
      <c r="A6064" s="12" t="inlineStr">
        <is>
          <t>K-I-0148</t>
        </is>
      </c>
      <c r="B6064" s="12" t="inlineStr">
        <is>
          <t>K</t>
        </is>
      </c>
      <c r="C6064" s="12" t="inlineStr">
        <is>
          <t>Fuel supply (adjacent market)</t>
        </is>
      </c>
      <c r="D6064" s="12" t="inlineStr">
        <is>
          <t>Home run JB-LNG 16: send-out m-AI01 to the control / marshalling room</t>
        </is>
      </c>
      <c r="E6064" s="12" t="inlineStr"/>
      <c r="F6064" s="12" t="inlineStr">
        <is>
          <t>LNG 17: LNG e-house (13.8 kV / 480 V)</t>
        </is>
      </c>
      <c r="G6064" s="12" t="inlineStr">
        <is>
          <t>JB-LNG 16: send-out m-AI01</t>
        </is>
      </c>
      <c r="H6064" s="12" t="inlineStr">
        <is>
          <t>LNG 16: send-out metering + pressure control</t>
        </is>
      </c>
      <c r="I6064" s="12" t="inlineStr">
        <is>
          <t>Instrumentation</t>
        </is>
      </c>
      <c r="J6064" s="12" t="inlineStr">
        <is>
          <t>Instrumentation ITC / PLTC, IS, #18 shielded pairs, blue jacket</t>
        </is>
      </c>
      <c r="K6064" s="12" t="inlineStr">
        <is>
          <t>ITC|24 pr|18</t>
        </is>
      </c>
      <c r="L6064" s="12" t="inlineStr">
        <is>
          <t>24 pr</t>
        </is>
      </c>
      <c r="M6064" s="12" t="inlineStr">
        <is>
          <t>18</t>
        </is>
      </c>
      <c r="N6064" s="12" t="n">
        <v>1</v>
      </c>
      <c r="O6064" s="12" t="n">
        <v>1</v>
      </c>
      <c r="P6064" s="12" t="n"/>
      <c r="Q6064" s="12" t="n"/>
      <c r="R6064" s="12" t="n"/>
      <c r="S6064" s="12" t="inlineStr">
        <is>
          <t>Duct bank</t>
        </is>
      </c>
      <c r="T6064" s="17" t="n">
        <v>20</v>
      </c>
      <c r="U6064" s="17" t="n">
        <v>32</v>
      </c>
      <c r="V6064" s="17">
        <f>ROUNDUP((T6064+U6064+2*'Read Me'!$B$13)*(1+'Read Me'!$B$12),-1)</f>
        <v/>
      </c>
      <c r="W6064" s="17">
        <f>V6064*N6064*O6064</f>
        <v/>
      </c>
      <c r="X6064" s="12">
        <f>IF(LEFT(I6064,2)="MV",2*N6064*IF(L6064="1/C",O6064,1),0)</f>
        <v/>
      </c>
      <c r="Y6064" s="12">
        <f>IF(OR(LEFT(K6064,4)="LVAX",LEFT(K6064,6)="MV15AX",LEFT(K6064,4)="CTAX",LEFT(K6064,2)="W|"),2*N6064*O6064,0)</f>
        <v/>
      </c>
      <c r="Z6064" s="12" t="inlineStr"/>
      <c r="AA6064" s="12">
        <f>N6064*O6064</f>
        <v/>
      </c>
    </row>
    <row r="6065">
      <c r="A6065" s="12" t="inlineStr">
        <is>
          <t>K-I-0149</t>
        </is>
      </c>
      <c r="B6065" s="12" t="inlineStr">
        <is>
          <t>K</t>
        </is>
      </c>
      <c r="C6065" s="12" t="inlineStr">
        <is>
          <t>Fuel supply (adjacent market)</t>
        </is>
      </c>
      <c r="D6065" s="12" t="inlineStr">
        <is>
          <t>Discrete device to JB JB-LNG 16: send-out m-DI01: 12 x 1 pr (field cables)</t>
        </is>
      </c>
      <c r="E6065" s="12" t="inlineStr"/>
      <c r="F6065" s="12" t="inlineStr">
        <is>
          <t>LNG 16: send-out metering + pressure control</t>
        </is>
      </c>
      <c r="G6065" s="12" t="inlineStr">
        <is>
          <t>JB-LNG 16: send-out m-DI01</t>
        </is>
      </c>
      <c r="H6065" s="12" t="inlineStr">
        <is>
          <t>LNG 16: send-out metering + pressure control</t>
        </is>
      </c>
      <c r="I6065" s="12" t="inlineStr">
        <is>
          <t>Instrumentation</t>
        </is>
      </c>
      <c r="J6065" s="12" t="inlineStr">
        <is>
          <t>Instrumentation ITC / PLTC, IS, #18 shielded pairs, blue jacket</t>
        </is>
      </c>
      <c r="K6065" s="12" t="inlineStr">
        <is>
          <t>ITC|1 pr|16</t>
        </is>
      </c>
      <c r="L6065" s="12" t="inlineStr">
        <is>
          <t>1 pr</t>
        </is>
      </c>
      <c r="M6065" s="12" t="inlineStr">
        <is>
          <t>16</t>
        </is>
      </c>
      <c r="N6065" s="12" t="n">
        <v>12</v>
      </c>
      <c r="O6065" s="12" t="n">
        <v>1</v>
      </c>
      <c r="P6065" s="12" t="n"/>
      <c r="Q6065" s="12" t="n"/>
      <c r="R6065" s="12" t="n"/>
      <c r="S6065" s="12" t="inlineStr">
        <is>
          <t>Tray / conduit</t>
        </is>
      </c>
      <c r="T6065" s="17" t="n">
        <v>74</v>
      </c>
      <c r="U6065" s="17" t="n">
        <v>10</v>
      </c>
      <c r="V6065" s="17">
        <f>ROUNDUP((T6065+U6065+2*'Read Me'!$B$13)*(1+'Read Me'!$B$12),-1)</f>
        <v/>
      </c>
      <c r="W6065" s="17">
        <f>V6065*N6065*O6065</f>
        <v/>
      </c>
      <c r="X6065" s="12">
        <f>IF(LEFT(I6065,2)="MV",2*N6065*IF(L6065="1/C",O6065,1),0)</f>
        <v/>
      </c>
      <c r="Y6065" s="12">
        <f>IF(OR(LEFT(K6065,4)="LVAX",LEFT(K6065,6)="MV15AX",LEFT(K6065,4)="CTAX",LEFT(K6065,2)="W|"),2*N6065*O6065,0)</f>
        <v/>
      </c>
      <c r="Z6065" s="12" t="inlineStr">
        <is>
          <t>device-to-JB field wiring, one cable per device</t>
        </is>
      </c>
      <c r="AA6065" s="12">
        <f>N6065*O6065</f>
        <v/>
      </c>
    </row>
    <row r="6066">
      <c r="A6066" s="12" t="inlineStr">
        <is>
          <t>K-I-0150</t>
        </is>
      </c>
      <c r="B6066" s="12" t="inlineStr">
        <is>
          <t>K</t>
        </is>
      </c>
      <c r="C6066" s="12" t="inlineStr">
        <is>
          <t>Fuel supply (adjacent market)</t>
        </is>
      </c>
      <c r="D6066" s="12" t="inlineStr">
        <is>
          <t>Home run JB-LNG 16: send-out m-DI01 to the control / marshalling room</t>
        </is>
      </c>
      <c r="E6066" s="12" t="inlineStr"/>
      <c r="F6066" s="12" t="inlineStr">
        <is>
          <t>LNG 17: LNG e-house (13.8 kV / 480 V)</t>
        </is>
      </c>
      <c r="G6066" s="12" t="inlineStr">
        <is>
          <t>JB-LNG 16: send-out m-DI01</t>
        </is>
      </c>
      <c r="H6066" s="12" t="inlineStr">
        <is>
          <t>LNG 16: send-out metering + pressure control</t>
        </is>
      </c>
      <c r="I6066" s="12" t="inlineStr">
        <is>
          <t>Instrumentation</t>
        </is>
      </c>
      <c r="J6066" s="12" t="inlineStr">
        <is>
          <t>Instrumentation ITC / PLTC, IS, #18 shielded pairs, blue jacket</t>
        </is>
      </c>
      <c r="K6066" s="12" t="inlineStr">
        <is>
          <t>ITC|24 pr|18</t>
        </is>
      </c>
      <c r="L6066" s="12" t="inlineStr">
        <is>
          <t>24 pr</t>
        </is>
      </c>
      <c r="M6066" s="12" t="inlineStr">
        <is>
          <t>18</t>
        </is>
      </c>
      <c r="N6066" s="12" t="n">
        <v>1</v>
      </c>
      <c r="O6066" s="12" t="n">
        <v>1</v>
      </c>
      <c r="P6066" s="12" t="n"/>
      <c r="Q6066" s="12" t="n"/>
      <c r="R6066" s="12" t="n"/>
      <c r="S6066" s="12" t="inlineStr">
        <is>
          <t>Duct bank</t>
        </is>
      </c>
      <c r="T6066" s="17" t="n">
        <v>20</v>
      </c>
      <c r="U6066" s="17" t="n">
        <v>32</v>
      </c>
      <c r="V6066" s="17">
        <f>ROUNDUP((T6066+U6066+2*'Read Me'!$B$13)*(1+'Read Me'!$B$12),-1)</f>
        <v/>
      </c>
      <c r="W6066" s="17">
        <f>V6066*N6066*O6066</f>
        <v/>
      </c>
      <c r="X6066" s="12">
        <f>IF(LEFT(I6066,2)="MV",2*N6066*IF(L6066="1/C",O6066,1),0)</f>
        <v/>
      </c>
      <c r="Y6066" s="12">
        <f>IF(OR(LEFT(K6066,4)="LVAX",LEFT(K6066,6)="MV15AX",LEFT(K6066,4)="CTAX",LEFT(K6066,2)="W|"),2*N6066*O6066,0)</f>
        <v/>
      </c>
      <c r="Z6066" s="12" t="inlineStr"/>
      <c r="AA6066" s="12">
        <f>N6066*O6066</f>
        <v/>
      </c>
    </row>
    <row r="6067">
      <c r="A6067" s="12" t="inlineStr">
        <is>
          <t>K-I-0151</t>
        </is>
      </c>
      <c r="B6067" s="12" t="inlineStr">
        <is>
          <t>K</t>
        </is>
      </c>
      <c r="C6067" s="12" t="inlineStr">
        <is>
          <t>Fuel supply (adjacent market)</t>
        </is>
      </c>
      <c r="D6067" s="12" t="inlineStr">
        <is>
          <t>Analog instrument to JB JB-LNG 17: LNG e-hous-AI01: 12 x 1 pr (field cables)</t>
        </is>
      </c>
      <c r="E6067" s="12" t="inlineStr"/>
      <c r="F6067" s="12" t="inlineStr">
        <is>
          <t>LNG 17: LNG e-house (13.8 kV / 480 V)</t>
        </is>
      </c>
      <c r="G6067" s="12" t="inlineStr">
        <is>
          <t>JB-LNG 17: LNG e-hous-AI01</t>
        </is>
      </c>
      <c r="H6067" s="12" t="inlineStr">
        <is>
          <t>LNG 17: LNG e-house (13.8 kV / 480 V)</t>
        </is>
      </c>
      <c r="I6067" s="12" t="inlineStr">
        <is>
          <t>Instrumentation</t>
        </is>
      </c>
      <c r="J6067" s="12" t="inlineStr">
        <is>
          <t>Instrumentation ITC / PLTC, IS, #18 shielded pairs, blue jacket</t>
        </is>
      </c>
      <c r="K6067" s="12" t="inlineStr">
        <is>
          <t>ITC|1 pr|16</t>
        </is>
      </c>
      <c r="L6067" s="12" t="inlineStr">
        <is>
          <t>1 pr</t>
        </is>
      </c>
      <c r="M6067" s="12" t="inlineStr">
        <is>
          <t>16</t>
        </is>
      </c>
      <c r="N6067" s="12" t="n">
        <v>12</v>
      </c>
      <c r="O6067" s="12" t="n">
        <v>1</v>
      </c>
      <c r="P6067" s="12" t="n"/>
      <c r="Q6067" s="12" t="n"/>
      <c r="R6067" s="12" t="n"/>
      <c r="S6067" s="12" t="inlineStr">
        <is>
          <t>Tray / conduit</t>
        </is>
      </c>
      <c r="T6067" s="17" t="n">
        <v>58</v>
      </c>
      <c r="U6067" s="17" t="n">
        <v>10</v>
      </c>
      <c r="V6067" s="17">
        <f>ROUNDUP((T6067+U6067+2*'Read Me'!$B$13)*(1+'Read Me'!$B$12),-1)</f>
        <v/>
      </c>
      <c r="W6067" s="17">
        <f>V6067*N6067*O6067</f>
        <v/>
      </c>
      <c r="X6067" s="12">
        <f>IF(LEFT(I6067,2)="MV",2*N6067*IF(L6067="1/C",O6067,1),0)</f>
        <v/>
      </c>
      <c r="Y6067" s="12">
        <f>IF(OR(LEFT(K6067,4)="LVAX",LEFT(K6067,6)="MV15AX",LEFT(K6067,4)="CTAX",LEFT(K6067,2)="W|"),2*N6067*O6067,0)</f>
        <v/>
      </c>
      <c r="Z6067" s="12" t="inlineStr">
        <is>
          <t>device-to-JB field wiring, one cable per device</t>
        </is>
      </c>
      <c r="AA6067" s="12">
        <f>N6067*O6067</f>
        <v/>
      </c>
    </row>
    <row r="6068">
      <c r="A6068" s="12" t="inlineStr">
        <is>
          <t>K-I-0152</t>
        </is>
      </c>
      <c r="B6068" s="12" t="inlineStr">
        <is>
          <t>K</t>
        </is>
      </c>
      <c r="C6068" s="12" t="inlineStr">
        <is>
          <t>Fuel supply (adjacent market)</t>
        </is>
      </c>
      <c r="D6068" s="12" t="inlineStr">
        <is>
          <t>Home run JB-LNG 17: LNG e-hous-AI01 to the control / marshalling room</t>
        </is>
      </c>
      <c r="E6068" s="12" t="inlineStr"/>
      <c r="F6068" s="12" t="inlineStr">
        <is>
          <t>LNG 17: LNG e-house (13.8 kV / 480 V)</t>
        </is>
      </c>
      <c r="G6068" s="12" t="inlineStr">
        <is>
          <t>JB-LNG 17: LNG e-hous-AI01</t>
        </is>
      </c>
      <c r="H6068" s="12" t="inlineStr">
        <is>
          <t>LNG 17: LNG e-house (13.8 kV / 480 V)</t>
        </is>
      </c>
      <c r="I6068" s="12" t="inlineStr">
        <is>
          <t>Instrumentation</t>
        </is>
      </c>
      <c r="J6068" s="12" t="inlineStr">
        <is>
          <t>Instrumentation ITC / PLTC, IS, #18 shielded pairs, blue jacket</t>
        </is>
      </c>
      <c r="K6068" s="12" t="inlineStr">
        <is>
          <t>ITC|24 pr|18</t>
        </is>
      </c>
      <c r="L6068" s="12" t="inlineStr">
        <is>
          <t>24 pr</t>
        </is>
      </c>
      <c r="M6068" s="12" t="inlineStr">
        <is>
          <t>18</t>
        </is>
      </c>
      <c r="N6068" s="12" t="n">
        <v>1</v>
      </c>
      <c r="O6068" s="12" t="n">
        <v>1</v>
      </c>
      <c r="P6068" s="12" t="n"/>
      <c r="Q6068" s="12" t="n"/>
      <c r="R6068" s="12" t="n"/>
      <c r="S6068" s="12" t="inlineStr">
        <is>
          <t>Tray</t>
        </is>
      </c>
      <c r="T6068" s="17" t="n">
        <v>0</v>
      </c>
      <c r="U6068" s="17" t="n">
        <v>32</v>
      </c>
      <c r="V6068" s="17">
        <f>ROUNDUP((T6068+U6068+2*'Read Me'!$B$13)*(1+'Read Me'!$B$12),-1)</f>
        <v/>
      </c>
      <c r="W6068" s="17">
        <f>V6068*N6068*O6068</f>
        <v/>
      </c>
      <c r="X6068" s="12">
        <f>IF(LEFT(I6068,2)="MV",2*N6068*IF(L6068="1/C",O6068,1),0)</f>
        <v/>
      </c>
      <c r="Y6068" s="12">
        <f>IF(OR(LEFT(K6068,4)="LVAX",LEFT(K6068,6)="MV15AX",LEFT(K6068,4)="CTAX",LEFT(K6068,2)="W|"),2*N6068*O6068,0)</f>
        <v/>
      </c>
      <c r="Z6068" s="12" t="inlineStr"/>
      <c r="AA6068" s="12">
        <f>N6068*O6068</f>
        <v/>
      </c>
    </row>
    <row r="6069">
      <c r="A6069" s="12" t="inlineStr">
        <is>
          <t>K-I-0153</t>
        </is>
      </c>
      <c r="B6069" s="12" t="inlineStr">
        <is>
          <t>K</t>
        </is>
      </c>
      <c r="C6069" s="12" t="inlineStr">
        <is>
          <t>Fuel supply (adjacent market)</t>
        </is>
      </c>
      <c r="D6069" s="12" t="inlineStr">
        <is>
          <t>Discrete device to JB JB-LNG 17: LNG e-hous-DI01: 12 x 1 pr (field cables)</t>
        </is>
      </c>
      <c r="E6069" s="12" t="inlineStr"/>
      <c r="F6069" s="12" t="inlineStr">
        <is>
          <t>LNG 17: LNG e-house (13.8 kV / 480 V)</t>
        </is>
      </c>
      <c r="G6069" s="12" t="inlineStr">
        <is>
          <t>JB-LNG 17: LNG e-hous-DI01</t>
        </is>
      </c>
      <c r="H6069" s="12" t="inlineStr">
        <is>
          <t>LNG 17: LNG e-house (13.8 kV / 480 V)</t>
        </is>
      </c>
      <c r="I6069" s="12" t="inlineStr">
        <is>
          <t>Instrumentation</t>
        </is>
      </c>
      <c r="J6069" s="12" t="inlineStr">
        <is>
          <t>Instrumentation ITC / PLTC, IS, #18 shielded pairs, blue jacket</t>
        </is>
      </c>
      <c r="K6069" s="12" t="inlineStr">
        <is>
          <t>ITC|1 pr|16</t>
        </is>
      </c>
      <c r="L6069" s="12" t="inlineStr">
        <is>
          <t>1 pr</t>
        </is>
      </c>
      <c r="M6069" s="12" t="inlineStr">
        <is>
          <t>16</t>
        </is>
      </c>
      <c r="N6069" s="12" t="n">
        <v>12</v>
      </c>
      <c r="O6069" s="12" t="n">
        <v>1</v>
      </c>
      <c r="P6069" s="12" t="n"/>
      <c r="Q6069" s="12" t="n"/>
      <c r="R6069" s="12" t="n"/>
      <c r="S6069" s="12" t="inlineStr">
        <is>
          <t>Tray / conduit</t>
        </is>
      </c>
      <c r="T6069" s="17" t="n">
        <v>58</v>
      </c>
      <c r="U6069" s="17" t="n">
        <v>10</v>
      </c>
      <c r="V6069" s="17">
        <f>ROUNDUP((T6069+U6069+2*'Read Me'!$B$13)*(1+'Read Me'!$B$12),-1)</f>
        <v/>
      </c>
      <c r="W6069" s="17">
        <f>V6069*N6069*O6069</f>
        <v/>
      </c>
      <c r="X6069" s="12">
        <f>IF(LEFT(I6069,2)="MV",2*N6069*IF(L6069="1/C",O6069,1),0)</f>
        <v/>
      </c>
      <c r="Y6069" s="12">
        <f>IF(OR(LEFT(K6069,4)="LVAX",LEFT(K6069,6)="MV15AX",LEFT(K6069,4)="CTAX",LEFT(K6069,2)="W|"),2*N6069*O6069,0)</f>
        <v/>
      </c>
      <c r="Z6069" s="12" t="inlineStr">
        <is>
          <t>device-to-JB field wiring, one cable per device</t>
        </is>
      </c>
      <c r="AA6069" s="12">
        <f>N6069*O6069</f>
        <v/>
      </c>
    </row>
    <row r="6070">
      <c r="A6070" s="12" t="inlineStr">
        <is>
          <t>K-I-0154</t>
        </is>
      </c>
      <c r="B6070" s="12" t="inlineStr">
        <is>
          <t>K</t>
        </is>
      </c>
      <c r="C6070" s="12" t="inlineStr">
        <is>
          <t>Fuel supply (adjacent market)</t>
        </is>
      </c>
      <c r="D6070" s="12" t="inlineStr">
        <is>
          <t>Home run JB-LNG 17: LNG e-hous-DI01 to the control / marshalling room</t>
        </is>
      </c>
      <c r="E6070" s="12" t="inlineStr"/>
      <c r="F6070" s="12" t="inlineStr">
        <is>
          <t>LNG 17: LNG e-house (13.8 kV / 480 V)</t>
        </is>
      </c>
      <c r="G6070" s="12" t="inlineStr">
        <is>
          <t>JB-LNG 17: LNG e-hous-DI01</t>
        </is>
      </c>
      <c r="H6070" s="12" t="inlineStr">
        <is>
          <t>LNG 17: LNG e-house (13.8 kV / 480 V)</t>
        </is>
      </c>
      <c r="I6070" s="12" t="inlineStr">
        <is>
          <t>Instrumentation</t>
        </is>
      </c>
      <c r="J6070" s="12" t="inlineStr">
        <is>
          <t>Instrumentation ITC / PLTC, IS, #18 shielded pairs, blue jacket</t>
        </is>
      </c>
      <c r="K6070" s="12" t="inlineStr">
        <is>
          <t>ITC|24 pr|18</t>
        </is>
      </c>
      <c r="L6070" s="12" t="inlineStr">
        <is>
          <t>24 pr</t>
        </is>
      </c>
      <c r="M6070" s="12" t="inlineStr">
        <is>
          <t>18</t>
        </is>
      </c>
      <c r="N6070" s="12" t="n">
        <v>1</v>
      </c>
      <c r="O6070" s="12" t="n">
        <v>1</v>
      </c>
      <c r="P6070" s="12" t="n"/>
      <c r="Q6070" s="12" t="n"/>
      <c r="R6070" s="12" t="n"/>
      <c r="S6070" s="12" t="inlineStr">
        <is>
          <t>Tray</t>
        </is>
      </c>
      <c r="T6070" s="17" t="n">
        <v>0</v>
      </c>
      <c r="U6070" s="17" t="n">
        <v>32</v>
      </c>
      <c r="V6070" s="17">
        <f>ROUNDUP((T6070+U6070+2*'Read Me'!$B$13)*(1+'Read Me'!$B$12),-1)</f>
        <v/>
      </c>
      <c r="W6070" s="17">
        <f>V6070*N6070*O6070</f>
        <v/>
      </c>
      <c r="X6070" s="12">
        <f>IF(LEFT(I6070,2)="MV",2*N6070*IF(L6070="1/C",O6070,1),0)</f>
        <v/>
      </c>
      <c r="Y6070" s="12">
        <f>IF(OR(LEFT(K6070,4)="LVAX",LEFT(K6070,6)="MV15AX",LEFT(K6070,4)="CTAX",LEFT(K6070,2)="W|"),2*N6070*O6070,0)</f>
        <v/>
      </c>
      <c r="Z6070" s="12" t="inlineStr"/>
      <c r="AA6070" s="12">
        <f>N6070*O6070</f>
        <v/>
      </c>
    </row>
    <row r="6071">
      <c r="A6071" s="12" t="inlineStr">
        <is>
          <t>K-I-0155</t>
        </is>
      </c>
      <c r="B6071" s="12" t="inlineStr">
        <is>
          <t>K</t>
        </is>
      </c>
      <c r="C6071" s="12" t="inlineStr">
        <is>
          <t>Fuel supply (adjacent market)</t>
        </is>
      </c>
      <c r="D6071" s="12" t="inlineStr">
        <is>
          <t>Analog instrument to JB JB-LNG 18: vent stack-AI01: 12 x 1 pr (field cables)</t>
        </is>
      </c>
      <c r="E6071" s="12" t="inlineStr"/>
      <c r="F6071" s="12" t="inlineStr">
        <is>
          <t>LNG 18: vent stack</t>
        </is>
      </c>
      <c r="G6071" s="12" t="inlineStr">
        <is>
          <t>JB-LNG 18: vent stack-AI01</t>
        </is>
      </c>
      <c r="H6071" s="12" t="inlineStr">
        <is>
          <t>LNG 18: vent stack</t>
        </is>
      </c>
      <c r="I6071" s="12" t="inlineStr">
        <is>
          <t>Instrumentation</t>
        </is>
      </c>
      <c r="J6071" s="12" t="inlineStr">
        <is>
          <t>Instrumentation ITC / PLTC, IS, #18 shielded pairs, blue jacket</t>
        </is>
      </c>
      <c r="K6071" s="12" t="inlineStr">
        <is>
          <t>ITC|1 pr|16</t>
        </is>
      </c>
      <c r="L6071" s="12" t="inlineStr">
        <is>
          <t>1 pr</t>
        </is>
      </c>
      <c r="M6071" s="12" t="inlineStr">
        <is>
          <t>16</t>
        </is>
      </c>
      <c r="N6071" s="12" t="n">
        <v>12</v>
      </c>
      <c r="O6071" s="12" t="n">
        <v>1</v>
      </c>
      <c r="P6071" s="12" t="n"/>
      <c r="Q6071" s="12" t="n"/>
      <c r="R6071" s="12" t="n"/>
      <c r="S6071" s="12" t="inlineStr">
        <is>
          <t>Tray / conduit</t>
        </is>
      </c>
      <c r="T6071" s="17" t="n">
        <v>55</v>
      </c>
      <c r="U6071" s="17" t="n">
        <v>10</v>
      </c>
      <c r="V6071" s="17">
        <f>ROUNDUP((T6071+U6071+2*'Read Me'!$B$13)*(1+'Read Me'!$B$12),-1)</f>
        <v/>
      </c>
      <c r="W6071" s="17">
        <f>V6071*N6071*O6071</f>
        <v/>
      </c>
      <c r="X6071" s="12">
        <f>IF(LEFT(I6071,2)="MV",2*N6071*IF(L6071="1/C",O6071,1),0)</f>
        <v/>
      </c>
      <c r="Y6071" s="12">
        <f>IF(OR(LEFT(K6071,4)="LVAX",LEFT(K6071,6)="MV15AX",LEFT(K6071,4)="CTAX",LEFT(K6071,2)="W|"),2*N6071*O6071,0)</f>
        <v/>
      </c>
      <c r="Z6071" s="12" t="inlineStr">
        <is>
          <t>device-to-JB field wiring, one cable per device</t>
        </is>
      </c>
      <c r="AA6071" s="12">
        <f>N6071*O6071</f>
        <v/>
      </c>
    </row>
    <row r="6072">
      <c r="A6072" s="12" t="inlineStr">
        <is>
          <t>K-I-0156</t>
        </is>
      </c>
      <c r="B6072" s="12" t="inlineStr">
        <is>
          <t>K</t>
        </is>
      </c>
      <c r="C6072" s="12" t="inlineStr">
        <is>
          <t>Fuel supply (adjacent market)</t>
        </is>
      </c>
      <c r="D6072" s="12" t="inlineStr">
        <is>
          <t>Home run JB-LNG 18: vent stack-AI01 to the control / marshalling room</t>
        </is>
      </c>
      <c r="E6072" s="12" t="inlineStr"/>
      <c r="F6072" s="12" t="inlineStr">
        <is>
          <t>LNG 17: LNG e-house (13.8 kV / 480 V)</t>
        </is>
      </c>
      <c r="G6072" s="12" t="inlineStr">
        <is>
          <t>JB-LNG 18: vent stack-AI01</t>
        </is>
      </c>
      <c r="H6072" s="12" t="inlineStr">
        <is>
          <t>LNG 18: vent stack</t>
        </is>
      </c>
      <c r="I6072" s="12" t="inlineStr">
        <is>
          <t>Instrumentation</t>
        </is>
      </c>
      <c r="J6072" s="12" t="inlineStr">
        <is>
          <t>Instrumentation ITC / PLTC, IS, #18 shielded pairs, blue jacket</t>
        </is>
      </c>
      <c r="K6072" s="12" t="inlineStr">
        <is>
          <t>ITC|24 pr|18</t>
        </is>
      </c>
      <c r="L6072" s="12" t="inlineStr">
        <is>
          <t>24 pr</t>
        </is>
      </c>
      <c r="M6072" s="12" t="inlineStr">
        <is>
          <t>18</t>
        </is>
      </c>
      <c r="N6072" s="12" t="n">
        <v>1</v>
      </c>
      <c r="O6072" s="12" t="n">
        <v>1</v>
      </c>
      <c r="P6072" s="12" t="n"/>
      <c r="Q6072" s="12" t="n"/>
      <c r="R6072" s="12" t="n"/>
      <c r="S6072" s="12" t="inlineStr">
        <is>
          <t>Duct bank</t>
        </is>
      </c>
      <c r="T6072" s="17" t="n">
        <v>25</v>
      </c>
      <c r="U6072" s="17" t="n">
        <v>117</v>
      </c>
      <c r="V6072" s="17">
        <f>ROUNDUP((T6072+U6072+2*'Read Me'!$B$13)*(1+'Read Me'!$B$12),-1)</f>
        <v/>
      </c>
      <c r="W6072" s="17">
        <f>V6072*N6072*O6072</f>
        <v/>
      </c>
      <c r="X6072" s="12">
        <f>IF(LEFT(I6072,2)="MV",2*N6072*IF(L6072="1/C",O6072,1),0)</f>
        <v/>
      </c>
      <c r="Y6072" s="12">
        <f>IF(OR(LEFT(K6072,4)="LVAX",LEFT(K6072,6)="MV15AX",LEFT(K6072,4)="CTAX",LEFT(K6072,2)="W|"),2*N6072*O6072,0)</f>
        <v/>
      </c>
      <c r="Z6072" s="12" t="inlineStr"/>
      <c r="AA6072" s="12">
        <f>N6072*O6072</f>
        <v/>
      </c>
    </row>
    <row r="6073">
      <c r="A6073" s="12" t="inlineStr">
        <is>
          <t>K-I-0157</t>
        </is>
      </c>
      <c r="B6073" s="12" t="inlineStr">
        <is>
          <t>K</t>
        </is>
      </c>
      <c r="C6073" s="12" t="inlineStr">
        <is>
          <t>Fuel supply (adjacent market)</t>
        </is>
      </c>
      <c r="D6073" s="12" t="inlineStr">
        <is>
          <t>Discrete device to JB JB-LNG 18: vent stack-DI01: 12 x 1 pr (field cables)</t>
        </is>
      </c>
      <c r="E6073" s="12" t="inlineStr"/>
      <c r="F6073" s="12" t="inlineStr">
        <is>
          <t>LNG 18: vent stack</t>
        </is>
      </c>
      <c r="G6073" s="12" t="inlineStr">
        <is>
          <t>JB-LNG 18: vent stack-DI01</t>
        </is>
      </c>
      <c r="H6073" s="12" t="inlineStr">
        <is>
          <t>LNG 18: vent stack</t>
        </is>
      </c>
      <c r="I6073" s="12" t="inlineStr">
        <is>
          <t>Instrumentation</t>
        </is>
      </c>
      <c r="J6073" s="12" t="inlineStr">
        <is>
          <t>Instrumentation ITC / PLTC, IS, #18 shielded pairs, blue jacket</t>
        </is>
      </c>
      <c r="K6073" s="12" t="inlineStr">
        <is>
          <t>ITC|1 pr|16</t>
        </is>
      </c>
      <c r="L6073" s="12" t="inlineStr">
        <is>
          <t>1 pr</t>
        </is>
      </c>
      <c r="M6073" s="12" t="inlineStr">
        <is>
          <t>16</t>
        </is>
      </c>
      <c r="N6073" s="12" t="n">
        <v>12</v>
      </c>
      <c r="O6073" s="12" t="n">
        <v>1</v>
      </c>
      <c r="P6073" s="12" t="n"/>
      <c r="Q6073" s="12" t="n"/>
      <c r="R6073" s="12" t="n"/>
      <c r="S6073" s="12" t="inlineStr">
        <is>
          <t>Tray / conduit</t>
        </is>
      </c>
      <c r="T6073" s="17" t="n">
        <v>55</v>
      </c>
      <c r="U6073" s="17" t="n">
        <v>10</v>
      </c>
      <c r="V6073" s="17">
        <f>ROUNDUP((T6073+U6073+2*'Read Me'!$B$13)*(1+'Read Me'!$B$12),-1)</f>
        <v/>
      </c>
      <c r="W6073" s="17">
        <f>V6073*N6073*O6073</f>
        <v/>
      </c>
      <c r="X6073" s="12">
        <f>IF(LEFT(I6073,2)="MV",2*N6073*IF(L6073="1/C",O6073,1),0)</f>
        <v/>
      </c>
      <c r="Y6073" s="12">
        <f>IF(OR(LEFT(K6073,4)="LVAX",LEFT(K6073,6)="MV15AX",LEFT(K6073,4)="CTAX",LEFT(K6073,2)="W|"),2*N6073*O6073,0)</f>
        <v/>
      </c>
      <c r="Z6073" s="12" t="inlineStr">
        <is>
          <t>device-to-JB field wiring, one cable per device</t>
        </is>
      </c>
      <c r="AA6073" s="12">
        <f>N6073*O6073</f>
        <v/>
      </c>
    </row>
    <row r="6074">
      <c r="A6074" s="12" t="inlineStr">
        <is>
          <t>K-I-0158</t>
        </is>
      </c>
      <c r="B6074" s="12" t="inlineStr">
        <is>
          <t>K</t>
        </is>
      </c>
      <c r="C6074" s="12" t="inlineStr">
        <is>
          <t>Fuel supply (adjacent market)</t>
        </is>
      </c>
      <c r="D6074" s="12" t="inlineStr">
        <is>
          <t>Home run JB-LNG 18: vent stack-DI01 to the control / marshalling room</t>
        </is>
      </c>
      <c r="E6074" s="12" t="inlineStr"/>
      <c r="F6074" s="12" t="inlineStr">
        <is>
          <t>LNG 17: LNG e-house (13.8 kV / 480 V)</t>
        </is>
      </c>
      <c r="G6074" s="12" t="inlineStr">
        <is>
          <t>JB-LNG 18: vent stack-DI01</t>
        </is>
      </c>
      <c r="H6074" s="12" t="inlineStr">
        <is>
          <t>LNG 18: vent stack</t>
        </is>
      </c>
      <c r="I6074" s="12" t="inlineStr">
        <is>
          <t>Instrumentation</t>
        </is>
      </c>
      <c r="J6074" s="12" t="inlineStr">
        <is>
          <t>Instrumentation ITC / PLTC, IS, #18 shielded pairs, blue jacket</t>
        </is>
      </c>
      <c r="K6074" s="12" t="inlineStr">
        <is>
          <t>ITC|24 pr|18</t>
        </is>
      </c>
      <c r="L6074" s="12" t="inlineStr">
        <is>
          <t>24 pr</t>
        </is>
      </c>
      <c r="M6074" s="12" t="inlineStr">
        <is>
          <t>18</t>
        </is>
      </c>
      <c r="N6074" s="12" t="n">
        <v>1</v>
      </c>
      <c r="O6074" s="12" t="n">
        <v>1</v>
      </c>
      <c r="P6074" s="12" t="n"/>
      <c r="Q6074" s="12" t="n"/>
      <c r="R6074" s="12" t="n"/>
      <c r="S6074" s="12" t="inlineStr">
        <is>
          <t>Duct bank</t>
        </is>
      </c>
      <c r="T6074" s="17" t="n">
        <v>25</v>
      </c>
      <c r="U6074" s="17" t="n">
        <v>117</v>
      </c>
      <c r="V6074" s="17">
        <f>ROUNDUP((T6074+U6074+2*'Read Me'!$B$13)*(1+'Read Me'!$B$12),-1)</f>
        <v/>
      </c>
      <c r="W6074" s="17">
        <f>V6074*N6074*O6074</f>
        <v/>
      </c>
      <c r="X6074" s="12">
        <f>IF(LEFT(I6074,2)="MV",2*N6074*IF(L6074="1/C",O6074,1),0)</f>
        <v/>
      </c>
      <c r="Y6074" s="12">
        <f>IF(OR(LEFT(K6074,4)="LVAX",LEFT(K6074,6)="MV15AX",LEFT(K6074,4)="CTAX",LEFT(K6074,2)="W|"),2*N6074*O6074,0)</f>
        <v/>
      </c>
      <c r="Z6074" s="12" t="inlineStr"/>
      <c r="AA6074" s="12">
        <f>N6074*O6074</f>
        <v/>
      </c>
    </row>
    <row r="6075">
      <c r="A6075" s="12" t="inlineStr">
        <is>
          <t>K-I-0159</t>
        </is>
      </c>
      <c r="B6075" s="12" t="inlineStr">
        <is>
          <t>K</t>
        </is>
      </c>
      <c r="C6075" s="12" t="inlineStr">
        <is>
          <t>Fuel supply (adjacent market)</t>
        </is>
      </c>
      <c r="D6075" s="12" t="inlineStr">
        <is>
          <t>Instrumentation</t>
        </is>
      </c>
      <c r="E6075" s="12" t="inlineStr"/>
      <c r="F6075" s="12" t="inlineStr">
        <is>
          <t>LNG 17: LNG e-house (13.8 kV / 480 V)</t>
        </is>
      </c>
      <c r="G6075" s="12" t="inlineStr"/>
      <c r="H6075" s="12" t="inlineStr">
        <is>
          <t>LNG impoundment sump pump</t>
        </is>
      </c>
      <c r="I6075" s="12" t="inlineStr">
        <is>
          <t>Instrumentation</t>
        </is>
      </c>
      <c r="J6075" s="12" t="inlineStr">
        <is>
          <t>Instrumentation ITC / PLTC, IS, #18 shielded pairs, blue jacket</t>
        </is>
      </c>
      <c r="K6075" s="12" t="inlineStr">
        <is>
          <t>ITC|4 pr|18</t>
        </is>
      </c>
      <c r="L6075" s="12" t="inlineStr">
        <is>
          <t>4 pr</t>
        </is>
      </c>
      <c r="M6075" s="12" t="inlineStr">
        <is>
          <t>18</t>
        </is>
      </c>
      <c r="N6075" s="12" t="n">
        <v>1</v>
      </c>
      <c r="O6075" s="12" t="n">
        <v>1</v>
      </c>
      <c r="P6075" s="12" t="n"/>
      <c r="Q6075" s="12" t="n"/>
      <c r="R6075" s="12" t="n"/>
      <c r="S6075" s="12" t="inlineStr">
        <is>
          <t>Duct bank</t>
        </is>
      </c>
      <c r="T6075" s="17" t="n">
        <v>334</v>
      </c>
      <c r="U6075" s="17" t="n">
        <v>32</v>
      </c>
      <c r="V6075" s="17">
        <f>ROUNDUP((T6075+U6075+2*'Read Me'!$B$13)*(1+'Read Me'!$B$12),-1)</f>
        <v/>
      </c>
      <c r="W6075" s="17">
        <f>V6075*N6075*O6075</f>
        <v/>
      </c>
      <c r="X6075" s="12">
        <f>IF(LEFT(I6075,2)="MV",2*N6075*IF(L6075="1/C",O6075,1),0)</f>
        <v/>
      </c>
      <c r="Y6075" s="12">
        <f>IF(OR(LEFT(K6075,4)="LVAX",LEFT(K6075,6)="MV15AX",LEFT(K6075,4)="CTAX",LEFT(K6075,2)="W|"),2*N6075*O6075,0)</f>
        <v/>
      </c>
      <c r="Z6075" s="12" t="inlineStr"/>
      <c r="AA6075" s="12">
        <f>N6075*O6075</f>
        <v/>
      </c>
    </row>
    <row r="6076">
      <c r="A6076" s="12" t="inlineStr">
        <is>
          <t>K-I-0160</t>
        </is>
      </c>
      <c r="B6076" s="12" t="inlineStr">
        <is>
          <t>K</t>
        </is>
      </c>
      <c r="C6076" s="12" t="inlineStr">
        <is>
          <t>Fuel supply (adjacent market)</t>
        </is>
      </c>
      <c r="D6076" s="12" t="inlineStr">
        <is>
          <t>Instrumentation</t>
        </is>
      </c>
      <c r="E6076" s="12" t="inlineStr"/>
      <c r="F6076" s="12" t="inlineStr">
        <is>
          <t>LNG 17: LNG e-house (13.8 kV / 480 V)</t>
        </is>
      </c>
      <c r="G6076" s="12" t="inlineStr"/>
      <c r="H6076" s="12" t="inlineStr">
        <is>
          <t>M&amp;R 1: pig receiver, lateral terminus</t>
        </is>
      </c>
      <c r="I6076" s="12" t="inlineStr">
        <is>
          <t>Instrumentation</t>
        </is>
      </c>
      <c r="J6076" s="12" t="inlineStr">
        <is>
          <t>Instrumentation ITC / PLTC, IS, #18 shielded pairs, blue jacket</t>
        </is>
      </c>
      <c r="K6076" s="12" t="inlineStr">
        <is>
          <t>ITC|4 pr|18</t>
        </is>
      </c>
      <c r="L6076" s="12" t="inlineStr">
        <is>
          <t>4 pr</t>
        </is>
      </c>
      <c r="M6076" s="12" t="inlineStr">
        <is>
          <t>18</t>
        </is>
      </c>
      <c r="N6076" s="12" t="n">
        <v>1</v>
      </c>
      <c r="O6076" s="12" t="n">
        <v>1</v>
      </c>
      <c r="P6076" s="12" t="n"/>
      <c r="Q6076" s="12" t="n"/>
      <c r="R6076" s="12" t="n"/>
      <c r="S6076" s="12" t="inlineStr">
        <is>
          <t>Duct bank</t>
        </is>
      </c>
      <c r="T6076" s="17" t="n">
        <v>773</v>
      </c>
      <c r="U6076" s="17" t="n">
        <v>37</v>
      </c>
      <c r="V6076" s="17">
        <f>ROUNDUP((T6076+U6076+2*'Read Me'!$B$13)*(1+'Read Me'!$B$12),-1)</f>
        <v/>
      </c>
      <c r="W6076" s="17">
        <f>V6076*N6076*O6076</f>
        <v/>
      </c>
      <c r="X6076" s="12">
        <f>IF(LEFT(I6076,2)="MV",2*N6076*IF(L6076="1/C",O6076,1),0)</f>
        <v/>
      </c>
      <c r="Y6076" s="12">
        <f>IF(OR(LEFT(K6076,4)="LVAX",LEFT(K6076,6)="MV15AX",LEFT(K6076,4)="CTAX",LEFT(K6076,2)="W|"),2*N6076*O6076,0)</f>
        <v/>
      </c>
      <c r="Z6076" s="12" t="inlineStr"/>
      <c r="AA6076" s="12">
        <f>N6076*O6076</f>
        <v/>
      </c>
    </row>
    <row r="6077">
      <c r="A6077" s="12" t="inlineStr">
        <is>
          <t>K-I-0161</t>
        </is>
      </c>
      <c r="B6077" s="12" t="inlineStr">
        <is>
          <t>K</t>
        </is>
      </c>
      <c r="C6077" s="12" t="inlineStr">
        <is>
          <t>Fuel supply (adjacent market)</t>
        </is>
      </c>
      <c r="D6077" s="12" t="inlineStr">
        <is>
          <t>Discrete device to JB JB-M&amp;R 2: insulating -DI01: 8 x 1 pr (field cables)</t>
        </is>
      </c>
      <c r="E6077" s="12" t="inlineStr"/>
      <c r="F6077" s="12" t="inlineStr">
        <is>
          <t>M&amp;R 2: insulating joint + ESD valve</t>
        </is>
      </c>
      <c r="G6077" s="12" t="inlineStr">
        <is>
          <t>JB-M&amp;R 2: insulating -DI01</t>
        </is>
      </c>
      <c r="H6077" s="12" t="inlineStr">
        <is>
          <t>M&amp;R 2: insulating joint + ESD valve</t>
        </is>
      </c>
      <c r="I6077" s="12" t="inlineStr">
        <is>
          <t>Instrumentation</t>
        </is>
      </c>
      <c r="J6077" s="12" t="inlineStr">
        <is>
          <t>Instrumentation ITC / PLTC, IS, #18 shielded pairs, blue jacket</t>
        </is>
      </c>
      <c r="K6077" s="12" t="inlineStr">
        <is>
          <t>ITC|1 pr|16</t>
        </is>
      </c>
      <c r="L6077" s="12" t="inlineStr">
        <is>
          <t>1 pr</t>
        </is>
      </c>
      <c r="M6077" s="12" t="inlineStr">
        <is>
          <t>16</t>
        </is>
      </c>
      <c r="N6077" s="12" t="n">
        <v>8</v>
      </c>
      <c r="O6077" s="12" t="n">
        <v>1</v>
      </c>
      <c r="P6077" s="12" t="n"/>
      <c r="Q6077" s="12" t="n"/>
      <c r="R6077" s="12" t="n"/>
      <c r="S6077" s="12" t="inlineStr">
        <is>
          <t>Tray / conduit</t>
        </is>
      </c>
      <c r="T6077" s="17" t="n">
        <v>40</v>
      </c>
      <c r="U6077" s="17" t="n">
        <v>10</v>
      </c>
      <c r="V6077" s="17">
        <f>ROUNDUP((T6077+U6077+2*'Read Me'!$B$13)*(1+'Read Me'!$B$12),-1)</f>
        <v/>
      </c>
      <c r="W6077" s="17">
        <f>V6077*N6077*O6077</f>
        <v/>
      </c>
      <c r="X6077" s="12">
        <f>IF(LEFT(I6077,2)="MV",2*N6077*IF(L6077="1/C",O6077,1),0)</f>
        <v/>
      </c>
      <c r="Y6077" s="12">
        <f>IF(OR(LEFT(K6077,4)="LVAX",LEFT(K6077,6)="MV15AX",LEFT(K6077,4)="CTAX",LEFT(K6077,2)="W|"),2*N6077*O6077,0)</f>
        <v/>
      </c>
      <c r="Z6077" s="12" t="inlineStr">
        <is>
          <t>device-to-JB field wiring, one cable per device</t>
        </is>
      </c>
      <c r="AA6077" s="12">
        <f>N6077*O6077</f>
        <v/>
      </c>
    </row>
    <row r="6078">
      <c r="A6078" s="12" t="inlineStr">
        <is>
          <t>K-I-0162</t>
        </is>
      </c>
      <c r="B6078" s="12" t="inlineStr">
        <is>
          <t>K</t>
        </is>
      </c>
      <c r="C6078" s="12" t="inlineStr">
        <is>
          <t>Fuel supply (adjacent market)</t>
        </is>
      </c>
      <c r="D6078" s="12" t="inlineStr">
        <is>
          <t>Home run JB-M&amp;R 2: insulating -DI01 to the control / marshalling room</t>
        </is>
      </c>
      <c r="E6078" s="12" t="inlineStr"/>
      <c r="F6078" s="12" t="inlineStr">
        <is>
          <t>LNG 17: LNG e-house (13.8 kV / 480 V)</t>
        </is>
      </c>
      <c r="G6078" s="12" t="inlineStr">
        <is>
          <t>JB-M&amp;R 2: insulating -DI01</t>
        </is>
      </c>
      <c r="H6078" s="12" t="inlineStr">
        <is>
          <t>M&amp;R 2: insulating joint + ESD valve</t>
        </is>
      </c>
      <c r="I6078" s="12" t="inlineStr">
        <is>
          <t>Instrumentation</t>
        </is>
      </c>
      <c r="J6078" s="12" t="inlineStr">
        <is>
          <t>Instrumentation ITC / PLTC, IS, #18 shielded pairs, blue jacket</t>
        </is>
      </c>
      <c r="K6078" s="12" t="inlineStr">
        <is>
          <t>ITC|24 pr|18</t>
        </is>
      </c>
      <c r="L6078" s="12" t="inlineStr">
        <is>
          <t>24 pr</t>
        </is>
      </c>
      <c r="M6078" s="12" t="inlineStr">
        <is>
          <t>18</t>
        </is>
      </c>
      <c r="N6078" s="12" t="n">
        <v>1</v>
      </c>
      <c r="O6078" s="12" t="n">
        <v>1</v>
      </c>
      <c r="P6078" s="12" t="n"/>
      <c r="Q6078" s="12" t="n"/>
      <c r="R6078" s="12" t="n"/>
      <c r="S6078" s="12" t="inlineStr">
        <is>
          <t>Duct bank</t>
        </is>
      </c>
      <c r="T6078" s="17" t="n">
        <v>758</v>
      </c>
      <c r="U6078" s="17" t="n">
        <v>32</v>
      </c>
      <c r="V6078" s="17">
        <f>ROUNDUP((T6078+U6078+2*'Read Me'!$B$13)*(1+'Read Me'!$B$12),-1)</f>
        <v/>
      </c>
      <c r="W6078" s="17">
        <f>V6078*N6078*O6078</f>
        <v/>
      </c>
      <c r="X6078" s="12">
        <f>IF(LEFT(I6078,2)="MV",2*N6078*IF(L6078="1/C",O6078,1),0)</f>
        <v/>
      </c>
      <c r="Y6078" s="12">
        <f>IF(OR(LEFT(K6078,4)="LVAX",LEFT(K6078,6)="MV15AX",LEFT(K6078,4)="CTAX",LEFT(K6078,2)="W|"),2*N6078*O6078,0)</f>
        <v/>
      </c>
      <c r="Z6078" s="12" t="inlineStr"/>
      <c r="AA6078" s="12">
        <f>N6078*O6078</f>
        <v/>
      </c>
    </row>
    <row r="6079">
      <c r="A6079" s="12" t="inlineStr">
        <is>
          <t>K-I-0163</t>
        </is>
      </c>
      <c r="B6079" s="12" t="inlineStr">
        <is>
          <t>K</t>
        </is>
      </c>
      <c r="C6079" s="12" t="inlineStr">
        <is>
          <t>Fuel supply (adjacent market)</t>
        </is>
      </c>
      <c r="D6079" s="12" t="inlineStr">
        <is>
          <t>Analog instrument to JB JB-M&amp;R 3: horizontal -AI01: 8 x 1 pr (field cables)</t>
        </is>
      </c>
      <c r="E6079" s="12" t="inlineStr"/>
      <c r="F6079" s="12" t="inlineStr">
        <is>
          <t>M&amp;R 3: horizontal filter-separator</t>
        </is>
      </c>
      <c r="G6079" s="12" t="inlineStr">
        <is>
          <t>JB-M&amp;R 3: horizontal -AI01</t>
        </is>
      </c>
      <c r="H6079" s="12" t="inlineStr">
        <is>
          <t>M&amp;R 3: horizontal filter-separator</t>
        </is>
      </c>
      <c r="I6079" s="12" t="inlineStr">
        <is>
          <t>Instrumentation</t>
        </is>
      </c>
      <c r="J6079" s="12" t="inlineStr">
        <is>
          <t>Instrumentation ITC / PLTC, IS, #18 shielded pairs, blue jacket</t>
        </is>
      </c>
      <c r="K6079" s="12" t="inlineStr">
        <is>
          <t>ITC|1 pr|16</t>
        </is>
      </c>
      <c r="L6079" s="12" t="inlineStr">
        <is>
          <t>1 pr</t>
        </is>
      </c>
      <c r="M6079" s="12" t="inlineStr">
        <is>
          <t>16</t>
        </is>
      </c>
      <c r="N6079" s="12" t="n">
        <v>8</v>
      </c>
      <c r="O6079" s="12" t="n">
        <v>1</v>
      </c>
      <c r="P6079" s="12" t="n"/>
      <c r="Q6079" s="12" t="n"/>
      <c r="R6079" s="12" t="n"/>
      <c r="S6079" s="12" t="inlineStr">
        <is>
          <t>Tray / conduit</t>
        </is>
      </c>
      <c r="T6079" s="17" t="n">
        <v>53</v>
      </c>
      <c r="U6079" s="17" t="n">
        <v>10</v>
      </c>
      <c r="V6079" s="17">
        <f>ROUNDUP((T6079+U6079+2*'Read Me'!$B$13)*(1+'Read Me'!$B$12),-1)</f>
        <v/>
      </c>
      <c r="W6079" s="17">
        <f>V6079*N6079*O6079</f>
        <v/>
      </c>
      <c r="X6079" s="12">
        <f>IF(LEFT(I6079,2)="MV",2*N6079*IF(L6079="1/C",O6079,1),0)</f>
        <v/>
      </c>
      <c r="Y6079" s="12">
        <f>IF(OR(LEFT(K6079,4)="LVAX",LEFT(K6079,6)="MV15AX",LEFT(K6079,4)="CTAX",LEFT(K6079,2)="W|"),2*N6079*O6079,0)</f>
        <v/>
      </c>
      <c r="Z6079" s="12" t="inlineStr">
        <is>
          <t>device-to-JB field wiring, one cable per device</t>
        </is>
      </c>
      <c r="AA6079" s="12">
        <f>N6079*O6079</f>
        <v/>
      </c>
    </row>
    <row r="6080">
      <c r="A6080" s="12" t="inlineStr">
        <is>
          <t>K-I-0164</t>
        </is>
      </c>
      <c r="B6080" s="12" t="inlineStr">
        <is>
          <t>K</t>
        </is>
      </c>
      <c r="C6080" s="12" t="inlineStr">
        <is>
          <t>Fuel supply (adjacent market)</t>
        </is>
      </c>
      <c r="D6080" s="12" t="inlineStr">
        <is>
          <t>Home run JB-M&amp;R 3: horizontal -AI01 to the control / marshalling room</t>
        </is>
      </c>
      <c r="E6080" s="12" t="inlineStr"/>
      <c r="F6080" s="12" t="inlineStr">
        <is>
          <t>LNG 17: LNG e-house (13.8 kV / 480 V)</t>
        </is>
      </c>
      <c r="G6080" s="12" t="inlineStr">
        <is>
          <t>JB-M&amp;R 3: horizontal -AI01</t>
        </is>
      </c>
      <c r="H6080" s="12" t="inlineStr">
        <is>
          <t>M&amp;R 3: horizontal filter-separator</t>
        </is>
      </c>
      <c r="I6080" s="12" t="inlineStr">
        <is>
          <t>Instrumentation</t>
        </is>
      </c>
      <c r="J6080" s="12" t="inlineStr">
        <is>
          <t>Instrumentation ITC / PLTC, IS, #18 shielded pairs, blue jacket</t>
        </is>
      </c>
      <c r="K6080" s="12" t="inlineStr">
        <is>
          <t>ITC|24 pr|18</t>
        </is>
      </c>
      <c r="L6080" s="12" t="inlineStr">
        <is>
          <t>24 pr</t>
        </is>
      </c>
      <c r="M6080" s="12" t="inlineStr">
        <is>
          <t>18</t>
        </is>
      </c>
      <c r="N6080" s="12" t="n">
        <v>1</v>
      </c>
      <c r="O6080" s="12" t="n">
        <v>1</v>
      </c>
      <c r="P6080" s="12" t="n"/>
      <c r="Q6080" s="12" t="n"/>
      <c r="R6080" s="12" t="n"/>
      <c r="S6080" s="12" t="inlineStr">
        <is>
          <t>Duct bank</t>
        </is>
      </c>
      <c r="T6080" s="17" t="n">
        <v>797</v>
      </c>
      <c r="U6080" s="17" t="n">
        <v>32</v>
      </c>
      <c r="V6080" s="17">
        <f>ROUNDUP((T6080+U6080+2*'Read Me'!$B$13)*(1+'Read Me'!$B$12),-1)</f>
        <v/>
      </c>
      <c r="W6080" s="17">
        <f>V6080*N6080*O6080</f>
        <v/>
      </c>
      <c r="X6080" s="12">
        <f>IF(LEFT(I6080,2)="MV",2*N6080*IF(L6080="1/C",O6080,1),0)</f>
        <v/>
      </c>
      <c r="Y6080" s="12">
        <f>IF(OR(LEFT(K6080,4)="LVAX",LEFT(K6080,6)="MV15AX",LEFT(K6080,4)="CTAX",LEFT(K6080,2)="W|"),2*N6080*O6080,0)</f>
        <v/>
      </c>
      <c r="Z6080" s="12" t="inlineStr"/>
      <c r="AA6080" s="12">
        <f>N6080*O6080</f>
        <v/>
      </c>
    </row>
    <row r="6081">
      <c r="A6081" s="12" t="inlineStr">
        <is>
          <t>K-I-0165</t>
        </is>
      </c>
      <c r="B6081" s="12" t="inlineStr">
        <is>
          <t>K</t>
        </is>
      </c>
      <c r="C6081" s="12" t="inlineStr">
        <is>
          <t>Fuel supply (adjacent market)</t>
        </is>
      </c>
      <c r="D6081" s="12" t="inlineStr">
        <is>
          <t>Discrete device to JB JB-M&amp;R 3: horizontal -DI01: 12 x 1 pr (field cables)</t>
        </is>
      </c>
      <c r="E6081" s="12" t="inlineStr"/>
      <c r="F6081" s="12" t="inlineStr">
        <is>
          <t>M&amp;R 3: horizontal filter-separator</t>
        </is>
      </c>
      <c r="G6081" s="12" t="inlineStr">
        <is>
          <t>JB-M&amp;R 3: horizontal -DI01</t>
        </is>
      </c>
      <c r="H6081" s="12" t="inlineStr">
        <is>
          <t>M&amp;R 3: horizontal filter-separator</t>
        </is>
      </c>
      <c r="I6081" s="12" t="inlineStr">
        <is>
          <t>Instrumentation</t>
        </is>
      </c>
      <c r="J6081" s="12" t="inlineStr">
        <is>
          <t>Instrumentation ITC / PLTC, IS, #18 shielded pairs, blue jacket</t>
        </is>
      </c>
      <c r="K6081" s="12" t="inlineStr">
        <is>
          <t>ITC|1 pr|16</t>
        </is>
      </c>
      <c r="L6081" s="12" t="inlineStr">
        <is>
          <t>1 pr</t>
        </is>
      </c>
      <c r="M6081" s="12" t="inlineStr">
        <is>
          <t>16</t>
        </is>
      </c>
      <c r="N6081" s="12" t="n">
        <v>12</v>
      </c>
      <c r="O6081" s="12" t="n">
        <v>1</v>
      </c>
      <c r="P6081" s="12" t="n"/>
      <c r="Q6081" s="12" t="n"/>
      <c r="R6081" s="12" t="n"/>
      <c r="S6081" s="12" t="inlineStr">
        <is>
          <t>Tray / conduit</t>
        </is>
      </c>
      <c r="T6081" s="17" t="n">
        <v>53</v>
      </c>
      <c r="U6081" s="17" t="n">
        <v>10</v>
      </c>
      <c r="V6081" s="17">
        <f>ROUNDUP((T6081+U6081+2*'Read Me'!$B$13)*(1+'Read Me'!$B$12),-1)</f>
        <v/>
      </c>
      <c r="W6081" s="17">
        <f>V6081*N6081*O6081</f>
        <v/>
      </c>
      <c r="X6081" s="12">
        <f>IF(LEFT(I6081,2)="MV",2*N6081*IF(L6081="1/C",O6081,1),0)</f>
        <v/>
      </c>
      <c r="Y6081" s="12">
        <f>IF(OR(LEFT(K6081,4)="LVAX",LEFT(K6081,6)="MV15AX",LEFT(K6081,4)="CTAX",LEFT(K6081,2)="W|"),2*N6081*O6081,0)</f>
        <v/>
      </c>
      <c r="Z6081" s="12" t="inlineStr">
        <is>
          <t>device-to-JB field wiring, one cable per device</t>
        </is>
      </c>
      <c r="AA6081" s="12">
        <f>N6081*O6081</f>
        <v/>
      </c>
    </row>
    <row r="6082">
      <c r="A6082" s="12" t="inlineStr">
        <is>
          <t>K-I-0166</t>
        </is>
      </c>
      <c r="B6082" s="12" t="inlineStr">
        <is>
          <t>K</t>
        </is>
      </c>
      <c r="C6082" s="12" t="inlineStr">
        <is>
          <t>Fuel supply (adjacent market)</t>
        </is>
      </c>
      <c r="D6082" s="12" t="inlineStr">
        <is>
          <t>Home run JB-M&amp;R 3: horizontal -DI01 to the control / marshalling room</t>
        </is>
      </c>
      <c r="E6082" s="12" t="inlineStr"/>
      <c r="F6082" s="12" t="inlineStr">
        <is>
          <t>LNG 17: LNG e-house (13.8 kV / 480 V)</t>
        </is>
      </c>
      <c r="G6082" s="12" t="inlineStr">
        <is>
          <t>JB-M&amp;R 3: horizontal -DI01</t>
        </is>
      </c>
      <c r="H6082" s="12" t="inlineStr">
        <is>
          <t>M&amp;R 3: horizontal filter-separator</t>
        </is>
      </c>
      <c r="I6082" s="12" t="inlineStr">
        <is>
          <t>Instrumentation</t>
        </is>
      </c>
      <c r="J6082" s="12" t="inlineStr">
        <is>
          <t>Instrumentation ITC / PLTC, IS, #18 shielded pairs, blue jacket</t>
        </is>
      </c>
      <c r="K6082" s="12" t="inlineStr">
        <is>
          <t>ITC|24 pr|18</t>
        </is>
      </c>
      <c r="L6082" s="12" t="inlineStr">
        <is>
          <t>24 pr</t>
        </is>
      </c>
      <c r="M6082" s="12" t="inlineStr">
        <is>
          <t>18</t>
        </is>
      </c>
      <c r="N6082" s="12" t="n">
        <v>1</v>
      </c>
      <c r="O6082" s="12" t="n">
        <v>1</v>
      </c>
      <c r="P6082" s="12" t="n"/>
      <c r="Q6082" s="12" t="n"/>
      <c r="R6082" s="12" t="n"/>
      <c r="S6082" s="12" t="inlineStr">
        <is>
          <t>Duct bank</t>
        </is>
      </c>
      <c r="T6082" s="17" t="n">
        <v>797</v>
      </c>
      <c r="U6082" s="17" t="n">
        <v>32</v>
      </c>
      <c r="V6082" s="17">
        <f>ROUNDUP((T6082+U6082+2*'Read Me'!$B$13)*(1+'Read Me'!$B$12),-1)</f>
        <v/>
      </c>
      <c r="W6082" s="17">
        <f>V6082*N6082*O6082</f>
        <v/>
      </c>
      <c r="X6082" s="12">
        <f>IF(LEFT(I6082,2)="MV",2*N6082*IF(L6082="1/C",O6082,1),0)</f>
        <v/>
      </c>
      <c r="Y6082" s="12">
        <f>IF(OR(LEFT(K6082,4)="LVAX",LEFT(K6082,6)="MV15AX",LEFT(K6082,4)="CTAX",LEFT(K6082,2)="W|"),2*N6082*O6082,0)</f>
        <v/>
      </c>
      <c r="Z6082" s="12" t="inlineStr"/>
      <c r="AA6082" s="12">
        <f>N6082*O6082</f>
        <v/>
      </c>
    </row>
    <row r="6083">
      <c r="A6083" s="12" t="inlineStr">
        <is>
          <t>K-I-0167</t>
        </is>
      </c>
      <c r="B6083" s="12" t="inlineStr">
        <is>
          <t>K</t>
        </is>
      </c>
      <c r="C6083" s="12" t="inlineStr">
        <is>
          <t>Fuel supply (adjacent market)</t>
        </is>
      </c>
      <c r="D6083" s="12" t="inlineStr">
        <is>
          <t>Instrumentation</t>
        </is>
      </c>
      <c r="E6083" s="12" t="inlineStr"/>
      <c r="F6083" s="12" t="inlineStr">
        <is>
          <t>LNG 17: LNG e-house (13.8 kV / 480 V)</t>
        </is>
      </c>
      <c r="G6083" s="12" t="inlineStr"/>
      <c r="H6083" s="12" t="inlineStr">
        <is>
          <t>M&amp;R 4: line heater 1 (water bath)</t>
        </is>
      </c>
      <c r="I6083" s="12" t="inlineStr">
        <is>
          <t>Instrumentation</t>
        </is>
      </c>
      <c r="J6083" s="12" t="inlineStr">
        <is>
          <t>Instrumentation ITC / PLTC, IS, #18 shielded pairs, blue jacket</t>
        </is>
      </c>
      <c r="K6083" s="12" t="inlineStr">
        <is>
          <t>ITC|4 pr|18</t>
        </is>
      </c>
      <c r="L6083" s="12" t="inlineStr">
        <is>
          <t>4 pr</t>
        </is>
      </c>
      <c r="M6083" s="12" t="inlineStr">
        <is>
          <t>18</t>
        </is>
      </c>
      <c r="N6083" s="12" t="n">
        <v>1</v>
      </c>
      <c r="O6083" s="12" t="n">
        <v>1</v>
      </c>
      <c r="P6083" s="12" t="n"/>
      <c r="Q6083" s="12" t="n"/>
      <c r="R6083" s="12" t="n"/>
      <c r="S6083" s="12" t="inlineStr">
        <is>
          <t>Duct bank</t>
        </is>
      </c>
      <c r="T6083" s="17" t="n">
        <v>593</v>
      </c>
      <c r="U6083" s="17" t="n">
        <v>32</v>
      </c>
      <c r="V6083" s="17">
        <f>ROUNDUP((T6083+U6083+2*'Read Me'!$B$13)*(1+'Read Me'!$B$12),-1)</f>
        <v/>
      </c>
      <c r="W6083" s="17">
        <f>V6083*N6083*O6083</f>
        <v/>
      </c>
      <c r="X6083" s="12">
        <f>IF(LEFT(I6083,2)="MV",2*N6083*IF(L6083="1/C",O6083,1),0)</f>
        <v/>
      </c>
      <c r="Y6083" s="12">
        <f>IF(OR(LEFT(K6083,4)="LVAX",LEFT(K6083,6)="MV15AX",LEFT(K6083,4)="CTAX",LEFT(K6083,2)="W|"),2*N6083*O6083,0)</f>
        <v/>
      </c>
      <c r="Z6083" s="12" t="inlineStr"/>
      <c r="AA6083" s="12">
        <f>N6083*O6083</f>
        <v/>
      </c>
    </row>
    <row r="6084">
      <c r="A6084" s="12" t="inlineStr">
        <is>
          <t>K-I-0168</t>
        </is>
      </c>
      <c r="B6084" s="12" t="inlineStr">
        <is>
          <t>K</t>
        </is>
      </c>
      <c r="C6084" s="12" t="inlineStr">
        <is>
          <t>Fuel supply (adjacent market)</t>
        </is>
      </c>
      <c r="D6084" s="12" t="inlineStr">
        <is>
          <t>Instrumentation</t>
        </is>
      </c>
      <c r="E6084" s="12" t="inlineStr"/>
      <c r="F6084" s="12" t="inlineStr">
        <is>
          <t>LNG 17: LNG e-house (13.8 kV / 480 V)</t>
        </is>
      </c>
      <c r="G6084" s="12" t="inlineStr"/>
      <c r="H6084" s="12" t="inlineStr">
        <is>
          <t>M&amp;R 4: line heater 1 (water bath)</t>
        </is>
      </c>
      <c r="I6084" s="12" t="inlineStr">
        <is>
          <t>Instrumentation</t>
        </is>
      </c>
      <c r="J6084" s="12" t="inlineStr">
        <is>
          <t>Instrumentation ITC / PLTC, IS, #18 shielded pairs, blue jacket</t>
        </is>
      </c>
      <c r="K6084" s="12" t="inlineStr">
        <is>
          <t>ITC|12 pr|18</t>
        </is>
      </c>
      <c r="L6084" s="12" t="inlineStr">
        <is>
          <t>12 pr</t>
        </is>
      </c>
      <c r="M6084" s="12" t="inlineStr">
        <is>
          <t>18</t>
        </is>
      </c>
      <c r="N6084" s="12" t="n">
        <v>1</v>
      </c>
      <c r="O6084" s="12" t="n">
        <v>1</v>
      </c>
      <c r="P6084" s="12" t="n"/>
      <c r="Q6084" s="12" t="n"/>
      <c r="R6084" s="12" t="n"/>
      <c r="S6084" s="12" t="inlineStr">
        <is>
          <t>Duct bank</t>
        </is>
      </c>
      <c r="T6084" s="17" t="n">
        <v>593</v>
      </c>
      <c r="U6084" s="17" t="n">
        <v>32</v>
      </c>
      <c r="V6084" s="17">
        <f>ROUNDUP((T6084+U6084+2*'Read Me'!$B$13)*(1+'Read Me'!$B$12),-1)</f>
        <v/>
      </c>
      <c r="W6084" s="17">
        <f>V6084*N6084*O6084</f>
        <v/>
      </c>
      <c r="X6084" s="12">
        <f>IF(LEFT(I6084,2)="MV",2*N6084*IF(L6084="1/C",O6084,1),0)</f>
        <v/>
      </c>
      <c r="Y6084" s="12">
        <f>IF(OR(LEFT(K6084,4)="LVAX",LEFT(K6084,6)="MV15AX",LEFT(K6084,4)="CTAX",LEFT(K6084,2)="W|"),2*N6084*O6084,0)</f>
        <v/>
      </c>
      <c r="Z6084" s="12" t="inlineStr"/>
      <c r="AA6084" s="12">
        <f>N6084*O6084</f>
        <v/>
      </c>
    </row>
    <row r="6085">
      <c r="A6085" s="12" t="inlineStr">
        <is>
          <t>K-I-0169</t>
        </is>
      </c>
      <c r="B6085" s="12" t="inlineStr">
        <is>
          <t>K</t>
        </is>
      </c>
      <c r="C6085" s="12" t="inlineStr">
        <is>
          <t>Fuel supply (adjacent market)</t>
        </is>
      </c>
      <c r="D6085" s="12" t="inlineStr">
        <is>
          <t>Instrumentation</t>
        </is>
      </c>
      <c r="E6085" s="12" t="inlineStr"/>
      <c r="F6085" s="12" t="inlineStr">
        <is>
          <t>LNG 17: LNG e-house (13.8 kV / 480 V)</t>
        </is>
      </c>
      <c r="G6085" s="12" t="inlineStr"/>
      <c r="H6085" s="12" t="inlineStr">
        <is>
          <t>M&amp;R 4: line heater 2 (water bath)</t>
        </is>
      </c>
      <c r="I6085" s="12" t="inlineStr">
        <is>
          <t>Instrumentation</t>
        </is>
      </c>
      <c r="J6085" s="12" t="inlineStr">
        <is>
          <t>Instrumentation ITC / PLTC, IS, #18 shielded pairs, blue jacket</t>
        </is>
      </c>
      <c r="K6085" s="12" t="inlineStr">
        <is>
          <t>ITC|4 pr|18</t>
        </is>
      </c>
      <c r="L6085" s="12" t="inlineStr">
        <is>
          <t>4 pr</t>
        </is>
      </c>
      <c r="M6085" s="12" t="inlineStr">
        <is>
          <t>18</t>
        </is>
      </c>
      <c r="N6085" s="12" t="n">
        <v>1</v>
      </c>
      <c r="O6085" s="12" t="n">
        <v>1</v>
      </c>
      <c r="P6085" s="12" t="n"/>
      <c r="Q6085" s="12" t="n"/>
      <c r="R6085" s="12" t="n"/>
      <c r="S6085" s="12" t="inlineStr">
        <is>
          <t>Duct bank</t>
        </is>
      </c>
      <c r="T6085" s="17" t="n">
        <v>593</v>
      </c>
      <c r="U6085" s="17" t="n">
        <v>50</v>
      </c>
      <c r="V6085" s="17">
        <f>ROUNDUP((T6085+U6085+2*'Read Me'!$B$13)*(1+'Read Me'!$B$12),-1)</f>
        <v/>
      </c>
      <c r="W6085" s="17">
        <f>V6085*N6085*O6085</f>
        <v/>
      </c>
      <c r="X6085" s="12">
        <f>IF(LEFT(I6085,2)="MV",2*N6085*IF(L6085="1/C",O6085,1),0)</f>
        <v/>
      </c>
      <c r="Y6085" s="12">
        <f>IF(OR(LEFT(K6085,4)="LVAX",LEFT(K6085,6)="MV15AX",LEFT(K6085,4)="CTAX",LEFT(K6085,2)="W|"),2*N6085*O6085,0)</f>
        <v/>
      </c>
      <c r="Z6085" s="12" t="inlineStr"/>
      <c r="AA6085" s="12">
        <f>N6085*O6085</f>
        <v/>
      </c>
    </row>
    <row r="6086">
      <c r="A6086" s="12" t="inlineStr">
        <is>
          <t>K-I-0170</t>
        </is>
      </c>
      <c r="B6086" s="12" t="inlineStr">
        <is>
          <t>K</t>
        </is>
      </c>
      <c r="C6086" s="12" t="inlineStr">
        <is>
          <t>Fuel supply (adjacent market)</t>
        </is>
      </c>
      <c r="D6086" s="12" t="inlineStr">
        <is>
          <t>Instrumentation</t>
        </is>
      </c>
      <c r="E6086" s="12" t="inlineStr"/>
      <c r="F6086" s="12" t="inlineStr">
        <is>
          <t>LNG 17: LNG e-house (13.8 kV / 480 V)</t>
        </is>
      </c>
      <c r="G6086" s="12" t="inlineStr"/>
      <c r="H6086" s="12" t="inlineStr">
        <is>
          <t>M&amp;R 4: line heater 2 (water bath)</t>
        </is>
      </c>
      <c r="I6086" s="12" t="inlineStr">
        <is>
          <t>Instrumentation</t>
        </is>
      </c>
      <c r="J6086" s="12" t="inlineStr">
        <is>
          <t>Instrumentation ITC / PLTC, IS, #18 shielded pairs, blue jacket</t>
        </is>
      </c>
      <c r="K6086" s="12" t="inlineStr">
        <is>
          <t>ITC|12 pr|18</t>
        </is>
      </c>
      <c r="L6086" s="12" t="inlineStr">
        <is>
          <t>12 pr</t>
        </is>
      </c>
      <c r="M6086" s="12" t="inlineStr">
        <is>
          <t>18</t>
        </is>
      </c>
      <c r="N6086" s="12" t="n">
        <v>1</v>
      </c>
      <c r="O6086" s="12" t="n">
        <v>1</v>
      </c>
      <c r="P6086" s="12" t="n"/>
      <c r="Q6086" s="12" t="n"/>
      <c r="R6086" s="12" t="n"/>
      <c r="S6086" s="12" t="inlineStr">
        <is>
          <t>Duct bank</t>
        </is>
      </c>
      <c r="T6086" s="17" t="n">
        <v>593</v>
      </c>
      <c r="U6086" s="17" t="n">
        <v>50</v>
      </c>
      <c r="V6086" s="17">
        <f>ROUNDUP((T6086+U6086+2*'Read Me'!$B$13)*(1+'Read Me'!$B$12),-1)</f>
        <v/>
      </c>
      <c r="W6086" s="17">
        <f>V6086*N6086*O6086</f>
        <v/>
      </c>
      <c r="X6086" s="12">
        <f>IF(LEFT(I6086,2)="MV",2*N6086*IF(L6086="1/C",O6086,1),0)</f>
        <v/>
      </c>
      <c r="Y6086" s="12">
        <f>IF(OR(LEFT(K6086,4)="LVAX",LEFT(K6086,6)="MV15AX",LEFT(K6086,4)="CTAX",LEFT(K6086,2)="W|"),2*N6086*O6086,0)</f>
        <v/>
      </c>
      <c r="Z6086" s="12" t="inlineStr"/>
      <c r="AA6086" s="12">
        <f>N6086*O6086</f>
        <v/>
      </c>
    </row>
    <row r="6087">
      <c r="A6087" s="12" t="inlineStr">
        <is>
          <t>K-I-0171</t>
        </is>
      </c>
      <c r="B6087" s="12" t="inlineStr">
        <is>
          <t>K</t>
        </is>
      </c>
      <c r="C6087" s="12" t="inlineStr">
        <is>
          <t>Fuel supply (adjacent market)</t>
        </is>
      </c>
      <c r="D6087" s="12" t="inlineStr">
        <is>
          <t>Instrumentation</t>
        </is>
      </c>
      <c r="E6087" s="12" t="inlineStr"/>
      <c r="F6087" s="12" t="inlineStr">
        <is>
          <t>LNG 17: LNG e-house (13.8 kV / 480 V)</t>
        </is>
      </c>
      <c r="G6087" s="12" t="inlineStr"/>
      <c r="H6087" s="12" t="inlineStr">
        <is>
          <t>M&amp;R 4: line heater 3 (water bath)</t>
        </is>
      </c>
      <c r="I6087" s="12" t="inlineStr">
        <is>
          <t>Instrumentation</t>
        </is>
      </c>
      <c r="J6087" s="12" t="inlineStr">
        <is>
          <t>Instrumentation ITC / PLTC, IS, #18 shielded pairs, blue jacket</t>
        </is>
      </c>
      <c r="K6087" s="12" t="inlineStr">
        <is>
          <t>ITC|4 pr|18</t>
        </is>
      </c>
      <c r="L6087" s="12" t="inlineStr">
        <is>
          <t>4 pr</t>
        </is>
      </c>
      <c r="M6087" s="12" t="inlineStr">
        <is>
          <t>18</t>
        </is>
      </c>
      <c r="N6087" s="12" t="n">
        <v>1</v>
      </c>
      <c r="O6087" s="12" t="n">
        <v>1</v>
      </c>
      <c r="P6087" s="12" t="n"/>
      <c r="Q6087" s="12" t="n"/>
      <c r="R6087" s="12" t="n"/>
      <c r="S6087" s="12" t="inlineStr">
        <is>
          <t>Duct bank</t>
        </is>
      </c>
      <c r="T6087" s="17" t="n">
        <v>593</v>
      </c>
      <c r="U6087" s="17" t="n">
        <v>68</v>
      </c>
      <c r="V6087" s="17">
        <f>ROUNDUP((T6087+U6087+2*'Read Me'!$B$13)*(1+'Read Me'!$B$12),-1)</f>
        <v/>
      </c>
      <c r="W6087" s="17">
        <f>V6087*N6087*O6087</f>
        <v/>
      </c>
      <c r="X6087" s="12">
        <f>IF(LEFT(I6087,2)="MV",2*N6087*IF(L6087="1/C",O6087,1),0)</f>
        <v/>
      </c>
      <c r="Y6087" s="12">
        <f>IF(OR(LEFT(K6087,4)="LVAX",LEFT(K6087,6)="MV15AX",LEFT(K6087,4)="CTAX",LEFT(K6087,2)="W|"),2*N6087*O6087,0)</f>
        <v/>
      </c>
      <c r="Z6087" s="12" t="inlineStr"/>
      <c r="AA6087" s="12">
        <f>N6087*O6087</f>
        <v/>
      </c>
    </row>
    <row r="6088">
      <c r="A6088" s="12" t="inlineStr">
        <is>
          <t>K-I-0172</t>
        </is>
      </c>
      <c r="B6088" s="12" t="inlineStr">
        <is>
          <t>K</t>
        </is>
      </c>
      <c r="C6088" s="12" t="inlineStr">
        <is>
          <t>Fuel supply (adjacent market)</t>
        </is>
      </c>
      <c r="D6088" s="12" t="inlineStr">
        <is>
          <t>Instrumentation</t>
        </is>
      </c>
      <c r="E6088" s="12" t="inlineStr"/>
      <c r="F6088" s="12" t="inlineStr">
        <is>
          <t>LNG 17: LNG e-house (13.8 kV / 480 V)</t>
        </is>
      </c>
      <c r="G6088" s="12" t="inlineStr"/>
      <c r="H6088" s="12" t="inlineStr">
        <is>
          <t>M&amp;R 4: line heater 3 (water bath)</t>
        </is>
      </c>
      <c r="I6088" s="12" t="inlineStr">
        <is>
          <t>Instrumentation</t>
        </is>
      </c>
      <c r="J6088" s="12" t="inlineStr">
        <is>
          <t>Instrumentation ITC / PLTC, IS, #18 shielded pairs, blue jacket</t>
        </is>
      </c>
      <c r="K6088" s="12" t="inlineStr">
        <is>
          <t>ITC|12 pr|18</t>
        </is>
      </c>
      <c r="L6088" s="12" t="inlineStr">
        <is>
          <t>12 pr</t>
        </is>
      </c>
      <c r="M6088" s="12" t="inlineStr">
        <is>
          <t>18</t>
        </is>
      </c>
      <c r="N6088" s="12" t="n">
        <v>1</v>
      </c>
      <c r="O6088" s="12" t="n">
        <v>1</v>
      </c>
      <c r="P6088" s="12" t="n"/>
      <c r="Q6088" s="12" t="n"/>
      <c r="R6088" s="12" t="n"/>
      <c r="S6088" s="12" t="inlineStr">
        <is>
          <t>Duct bank</t>
        </is>
      </c>
      <c r="T6088" s="17" t="n">
        <v>593</v>
      </c>
      <c r="U6088" s="17" t="n">
        <v>68</v>
      </c>
      <c r="V6088" s="17">
        <f>ROUNDUP((T6088+U6088+2*'Read Me'!$B$13)*(1+'Read Me'!$B$12),-1)</f>
        <v/>
      </c>
      <c r="W6088" s="17">
        <f>V6088*N6088*O6088</f>
        <v/>
      </c>
      <c r="X6088" s="12">
        <f>IF(LEFT(I6088,2)="MV",2*N6088*IF(L6088="1/C",O6088,1),0)</f>
        <v/>
      </c>
      <c r="Y6088" s="12">
        <f>IF(OR(LEFT(K6088,4)="LVAX",LEFT(K6088,6)="MV15AX",LEFT(K6088,4)="CTAX",LEFT(K6088,2)="W|"),2*N6088*O6088,0)</f>
        <v/>
      </c>
      <c r="Z6088" s="12" t="inlineStr"/>
      <c r="AA6088" s="12">
        <f>N6088*O6088</f>
        <v/>
      </c>
    </row>
    <row r="6089">
      <c r="A6089" s="12" t="inlineStr">
        <is>
          <t>K-I-0173</t>
        </is>
      </c>
      <c r="B6089" s="12" t="inlineStr">
        <is>
          <t>K</t>
        </is>
      </c>
      <c r="C6089" s="12" t="inlineStr">
        <is>
          <t>Fuel supply (adjacent market)</t>
        </is>
      </c>
      <c r="D6089" s="12" t="inlineStr">
        <is>
          <t>Analog instrument to JB JB-M&amp;R 5: ultrasonic -AI01: 20 x 1 pr (field cables)</t>
        </is>
      </c>
      <c r="E6089" s="12" t="inlineStr"/>
      <c r="F6089" s="12" t="inlineStr">
        <is>
          <t>M&amp;R 5: ultrasonic meters, 2 runs (custody transfer)</t>
        </is>
      </c>
      <c r="G6089" s="12" t="inlineStr">
        <is>
          <t>JB-M&amp;R 5: ultrasonic -AI01</t>
        </is>
      </c>
      <c r="H6089" s="12" t="inlineStr">
        <is>
          <t>M&amp;R 5: ultrasonic meters, 2 runs (custody transfer)</t>
        </is>
      </c>
      <c r="I6089" s="12" t="inlineStr">
        <is>
          <t>Instrumentation</t>
        </is>
      </c>
      <c r="J6089" s="12" t="inlineStr">
        <is>
          <t>Instrumentation ITC / PLTC, IS, #18 shielded pairs, blue jacket</t>
        </is>
      </c>
      <c r="K6089" s="12" t="inlineStr">
        <is>
          <t>ITC|1 pr|16</t>
        </is>
      </c>
      <c r="L6089" s="12" t="inlineStr">
        <is>
          <t>1 pr</t>
        </is>
      </c>
      <c r="M6089" s="12" t="inlineStr">
        <is>
          <t>16</t>
        </is>
      </c>
      <c r="N6089" s="12" t="n">
        <v>20</v>
      </c>
      <c r="O6089" s="12" t="n">
        <v>1</v>
      </c>
      <c r="P6089" s="12" t="n"/>
      <c r="Q6089" s="12" t="n"/>
      <c r="R6089" s="12" t="n"/>
      <c r="S6089" s="12" t="inlineStr">
        <is>
          <t>Tray / conduit</t>
        </is>
      </c>
      <c r="T6089" s="17" t="n">
        <v>60</v>
      </c>
      <c r="U6089" s="17" t="n">
        <v>10</v>
      </c>
      <c r="V6089" s="17">
        <f>ROUNDUP((T6089+U6089+2*'Read Me'!$B$13)*(1+'Read Me'!$B$12),-1)</f>
        <v/>
      </c>
      <c r="W6089" s="17">
        <f>V6089*N6089*O6089</f>
        <v/>
      </c>
      <c r="X6089" s="12">
        <f>IF(LEFT(I6089,2)="MV",2*N6089*IF(L6089="1/C",O6089,1),0)</f>
        <v/>
      </c>
      <c r="Y6089" s="12">
        <f>IF(OR(LEFT(K6089,4)="LVAX",LEFT(K6089,6)="MV15AX",LEFT(K6089,4)="CTAX",LEFT(K6089,2)="W|"),2*N6089*O6089,0)</f>
        <v/>
      </c>
      <c r="Z6089" s="12" t="inlineStr">
        <is>
          <t>device-to-JB field wiring, one cable per device</t>
        </is>
      </c>
      <c r="AA6089" s="12">
        <f>N6089*O6089</f>
        <v/>
      </c>
    </row>
    <row r="6090">
      <c r="A6090" s="12" t="inlineStr">
        <is>
          <t>K-I-0174</t>
        </is>
      </c>
      <c r="B6090" s="12" t="inlineStr">
        <is>
          <t>K</t>
        </is>
      </c>
      <c r="C6090" s="12" t="inlineStr">
        <is>
          <t>Fuel supply (adjacent market)</t>
        </is>
      </c>
      <c r="D6090" s="12" t="inlineStr">
        <is>
          <t>Home run JB-M&amp;R 5: ultrasonic -AI01 to the control / marshalling room</t>
        </is>
      </c>
      <c r="E6090" s="12" t="inlineStr"/>
      <c r="F6090" s="12" t="inlineStr">
        <is>
          <t>LNG 17: LNG e-house (13.8 kV / 480 V)</t>
        </is>
      </c>
      <c r="G6090" s="12" t="inlineStr">
        <is>
          <t>JB-M&amp;R 5: ultrasonic -AI01</t>
        </is>
      </c>
      <c r="H6090" s="12" t="inlineStr">
        <is>
          <t>M&amp;R 5: ultrasonic meters, 2 runs (custody transfer)</t>
        </is>
      </c>
      <c r="I6090" s="12" t="inlineStr">
        <is>
          <t>Instrumentation</t>
        </is>
      </c>
      <c r="J6090" s="12" t="inlineStr">
        <is>
          <t>Instrumentation ITC / PLTC, IS, #18 shielded pairs, blue jacket</t>
        </is>
      </c>
      <c r="K6090" s="12" t="inlineStr">
        <is>
          <t>ITC|24 pr|18</t>
        </is>
      </c>
      <c r="L6090" s="12" t="inlineStr">
        <is>
          <t>24 pr</t>
        </is>
      </c>
      <c r="M6090" s="12" t="inlineStr">
        <is>
          <t>18</t>
        </is>
      </c>
      <c r="N6090" s="12" t="n">
        <v>1</v>
      </c>
      <c r="O6090" s="12" t="n">
        <v>1</v>
      </c>
      <c r="P6090" s="12" t="n"/>
      <c r="Q6090" s="12" t="n"/>
      <c r="R6090" s="12" t="n"/>
      <c r="S6090" s="12" t="inlineStr">
        <is>
          <t>Duct bank</t>
        </is>
      </c>
      <c r="T6090" s="17" t="n">
        <v>651</v>
      </c>
      <c r="U6090" s="17" t="n">
        <v>57</v>
      </c>
      <c r="V6090" s="17">
        <f>ROUNDUP((T6090+U6090+2*'Read Me'!$B$13)*(1+'Read Me'!$B$12),-1)</f>
        <v/>
      </c>
      <c r="W6090" s="17">
        <f>V6090*N6090*O6090</f>
        <v/>
      </c>
      <c r="X6090" s="12">
        <f>IF(LEFT(I6090,2)="MV",2*N6090*IF(L6090="1/C",O6090,1),0)</f>
        <v/>
      </c>
      <c r="Y6090" s="12">
        <f>IF(OR(LEFT(K6090,4)="LVAX",LEFT(K6090,6)="MV15AX",LEFT(K6090,4)="CTAX",LEFT(K6090,2)="W|"),2*N6090*O6090,0)</f>
        <v/>
      </c>
      <c r="Z6090" s="12" t="inlineStr"/>
      <c r="AA6090" s="12">
        <f>N6090*O6090</f>
        <v/>
      </c>
    </row>
    <row r="6091">
      <c r="A6091" s="12" t="inlineStr">
        <is>
          <t>K-I-0175</t>
        </is>
      </c>
      <c r="B6091" s="12" t="inlineStr">
        <is>
          <t>K</t>
        </is>
      </c>
      <c r="C6091" s="12" t="inlineStr">
        <is>
          <t>Fuel supply (adjacent market)</t>
        </is>
      </c>
      <c r="D6091" s="12" t="inlineStr">
        <is>
          <t>Discrete device to JB JB-M&amp;R 5: ultrasonic -DI01: 8 x 1 pr (field cables)</t>
        </is>
      </c>
      <c r="E6091" s="12" t="inlineStr"/>
      <c r="F6091" s="12" t="inlineStr">
        <is>
          <t>M&amp;R 5: ultrasonic meters, 2 runs (custody transfer)</t>
        </is>
      </c>
      <c r="G6091" s="12" t="inlineStr">
        <is>
          <t>JB-M&amp;R 5: ultrasonic -DI01</t>
        </is>
      </c>
      <c r="H6091" s="12" t="inlineStr">
        <is>
          <t>M&amp;R 5: ultrasonic meters, 2 runs (custody transfer)</t>
        </is>
      </c>
      <c r="I6091" s="12" t="inlineStr">
        <is>
          <t>Instrumentation</t>
        </is>
      </c>
      <c r="J6091" s="12" t="inlineStr">
        <is>
          <t>Instrumentation ITC / PLTC, IS, #18 shielded pairs, blue jacket</t>
        </is>
      </c>
      <c r="K6091" s="12" t="inlineStr">
        <is>
          <t>ITC|1 pr|16</t>
        </is>
      </c>
      <c r="L6091" s="12" t="inlineStr">
        <is>
          <t>1 pr</t>
        </is>
      </c>
      <c r="M6091" s="12" t="inlineStr">
        <is>
          <t>16</t>
        </is>
      </c>
      <c r="N6091" s="12" t="n">
        <v>8</v>
      </c>
      <c r="O6091" s="12" t="n">
        <v>1</v>
      </c>
      <c r="P6091" s="12" t="n"/>
      <c r="Q6091" s="12" t="n"/>
      <c r="R6091" s="12" t="n"/>
      <c r="S6091" s="12" t="inlineStr">
        <is>
          <t>Tray / conduit</t>
        </is>
      </c>
      <c r="T6091" s="17" t="n">
        <v>60</v>
      </c>
      <c r="U6091" s="17" t="n">
        <v>10</v>
      </c>
      <c r="V6091" s="17">
        <f>ROUNDUP((T6091+U6091+2*'Read Me'!$B$13)*(1+'Read Me'!$B$12),-1)</f>
        <v/>
      </c>
      <c r="W6091" s="17">
        <f>V6091*N6091*O6091</f>
        <v/>
      </c>
      <c r="X6091" s="12">
        <f>IF(LEFT(I6091,2)="MV",2*N6091*IF(L6091="1/C",O6091,1),0)</f>
        <v/>
      </c>
      <c r="Y6091" s="12">
        <f>IF(OR(LEFT(K6091,4)="LVAX",LEFT(K6091,6)="MV15AX",LEFT(K6091,4)="CTAX",LEFT(K6091,2)="W|"),2*N6091*O6091,0)</f>
        <v/>
      </c>
      <c r="Z6091" s="12" t="inlineStr">
        <is>
          <t>device-to-JB field wiring, one cable per device</t>
        </is>
      </c>
      <c r="AA6091" s="12">
        <f>N6091*O6091</f>
        <v/>
      </c>
    </row>
    <row r="6092">
      <c r="A6092" s="12" t="inlineStr">
        <is>
          <t>K-I-0176</t>
        </is>
      </c>
      <c r="B6092" s="12" t="inlineStr">
        <is>
          <t>K</t>
        </is>
      </c>
      <c r="C6092" s="12" t="inlineStr">
        <is>
          <t>Fuel supply (adjacent market)</t>
        </is>
      </c>
      <c r="D6092" s="12" t="inlineStr">
        <is>
          <t>Home run JB-M&amp;R 5: ultrasonic -DI01 to the control / marshalling room</t>
        </is>
      </c>
      <c r="E6092" s="12" t="inlineStr"/>
      <c r="F6092" s="12" t="inlineStr">
        <is>
          <t>LNG 17: LNG e-house (13.8 kV / 480 V)</t>
        </is>
      </c>
      <c r="G6092" s="12" t="inlineStr">
        <is>
          <t>JB-M&amp;R 5: ultrasonic -DI01</t>
        </is>
      </c>
      <c r="H6092" s="12" t="inlineStr">
        <is>
          <t>M&amp;R 5: ultrasonic meters, 2 runs (custody transfer)</t>
        </is>
      </c>
      <c r="I6092" s="12" t="inlineStr">
        <is>
          <t>Instrumentation</t>
        </is>
      </c>
      <c r="J6092" s="12" t="inlineStr">
        <is>
          <t>Instrumentation ITC / PLTC, IS, #18 shielded pairs, blue jacket</t>
        </is>
      </c>
      <c r="K6092" s="12" t="inlineStr">
        <is>
          <t>ITC|24 pr|18</t>
        </is>
      </c>
      <c r="L6092" s="12" t="inlineStr">
        <is>
          <t>24 pr</t>
        </is>
      </c>
      <c r="M6092" s="12" t="inlineStr">
        <is>
          <t>18</t>
        </is>
      </c>
      <c r="N6092" s="12" t="n">
        <v>1</v>
      </c>
      <c r="O6092" s="12" t="n">
        <v>1</v>
      </c>
      <c r="P6092" s="12" t="n"/>
      <c r="Q6092" s="12" t="n"/>
      <c r="R6092" s="12" t="n"/>
      <c r="S6092" s="12" t="inlineStr">
        <is>
          <t>Duct bank</t>
        </is>
      </c>
      <c r="T6092" s="17" t="n">
        <v>651</v>
      </c>
      <c r="U6092" s="17" t="n">
        <v>57</v>
      </c>
      <c r="V6092" s="17">
        <f>ROUNDUP((T6092+U6092+2*'Read Me'!$B$13)*(1+'Read Me'!$B$12),-1)</f>
        <v/>
      </c>
      <c r="W6092" s="17">
        <f>V6092*N6092*O6092</f>
        <v/>
      </c>
      <c r="X6092" s="12">
        <f>IF(LEFT(I6092,2)="MV",2*N6092*IF(L6092="1/C",O6092,1),0)</f>
        <v/>
      </c>
      <c r="Y6092" s="12">
        <f>IF(OR(LEFT(K6092,4)="LVAX",LEFT(K6092,6)="MV15AX",LEFT(K6092,4)="CTAX",LEFT(K6092,2)="W|"),2*N6092*O6092,0)</f>
        <v/>
      </c>
      <c r="Z6092" s="12" t="inlineStr"/>
      <c r="AA6092" s="12">
        <f>N6092*O6092</f>
        <v/>
      </c>
    </row>
    <row r="6093">
      <c r="A6093" s="12" t="inlineStr">
        <is>
          <t>K-I-0177</t>
        </is>
      </c>
      <c r="B6093" s="12" t="inlineStr">
        <is>
          <t>K</t>
        </is>
      </c>
      <c r="C6093" s="12" t="inlineStr">
        <is>
          <t>Fuel supply (adjacent market)</t>
        </is>
      </c>
      <c r="D6093" s="12" t="inlineStr">
        <is>
          <t>Analog instrument to JB JB-M&amp;R 6: regulation -AI01: 12 x 1 pr (field cables)</t>
        </is>
      </c>
      <c r="E6093" s="12" t="inlineStr"/>
      <c r="F6093" s="12" t="inlineStr">
        <is>
          <t>M&amp;R 6: regulation / flow control building</t>
        </is>
      </c>
      <c r="G6093" s="12" t="inlineStr">
        <is>
          <t>JB-M&amp;R 6: regulation -AI01</t>
        </is>
      </c>
      <c r="H6093" s="12" t="inlineStr">
        <is>
          <t>M&amp;R 6: regulation / flow control building</t>
        </is>
      </c>
      <c r="I6093" s="12" t="inlineStr">
        <is>
          <t>Instrumentation</t>
        </is>
      </c>
      <c r="J6093" s="12" t="inlineStr">
        <is>
          <t>Instrumentation ITC / PLTC, IS, #18 shielded pairs, blue jacket</t>
        </is>
      </c>
      <c r="K6093" s="12" t="inlineStr">
        <is>
          <t>ITC|1 pr|16</t>
        </is>
      </c>
      <c r="L6093" s="12" t="inlineStr">
        <is>
          <t>1 pr</t>
        </is>
      </c>
      <c r="M6093" s="12" t="inlineStr">
        <is>
          <t>16</t>
        </is>
      </c>
      <c r="N6093" s="12" t="n">
        <v>12</v>
      </c>
      <c r="O6093" s="12" t="n">
        <v>1</v>
      </c>
      <c r="P6093" s="12" t="n"/>
      <c r="Q6093" s="12" t="n"/>
      <c r="R6093" s="12" t="n"/>
      <c r="S6093" s="12" t="inlineStr">
        <is>
          <t>Tray / conduit</t>
        </is>
      </c>
      <c r="T6093" s="17" t="n">
        <v>61</v>
      </c>
      <c r="U6093" s="17" t="n">
        <v>10</v>
      </c>
      <c r="V6093" s="17">
        <f>ROUNDUP((T6093+U6093+2*'Read Me'!$B$13)*(1+'Read Me'!$B$12),-1)</f>
        <v/>
      </c>
      <c r="W6093" s="17">
        <f>V6093*N6093*O6093</f>
        <v/>
      </c>
      <c r="X6093" s="12">
        <f>IF(LEFT(I6093,2)="MV",2*N6093*IF(L6093="1/C",O6093,1),0)</f>
        <v/>
      </c>
      <c r="Y6093" s="12">
        <f>IF(OR(LEFT(K6093,4)="LVAX",LEFT(K6093,6)="MV15AX",LEFT(K6093,4)="CTAX",LEFT(K6093,2)="W|"),2*N6093*O6093,0)</f>
        <v/>
      </c>
      <c r="Z6093" s="12" t="inlineStr">
        <is>
          <t>device-to-JB field wiring, one cable per device</t>
        </is>
      </c>
      <c r="AA6093" s="12">
        <f>N6093*O6093</f>
        <v/>
      </c>
    </row>
    <row r="6094">
      <c r="A6094" s="12" t="inlineStr">
        <is>
          <t>K-I-0178</t>
        </is>
      </c>
      <c r="B6094" s="12" t="inlineStr">
        <is>
          <t>K</t>
        </is>
      </c>
      <c r="C6094" s="12" t="inlineStr">
        <is>
          <t>Fuel supply (adjacent market)</t>
        </is>
      </c>
      <c r="D6094" s="12" t="inlineStr">
        <is>
          <t>Home run JB-M&amp;R 6: regulation -AI01 to the control / marshalling room</t>
        </is>
      </c>
      <c r="E6094" s="12" t="inlineStr"/>
      <c r="F6094" s="12" t="inlineStr">
        <is>
          <t>LNG 17: LNG e-house (13.8 kV / 480 V)</t>
        </is>
      </c>
      <c r="G6094" s="12" t="inlineStr">
        <is>
          <t>JB-M&amp;R 6: regulation -AI01</t>
        </is>
      </c>
      <c r="H6094" s="12" t="inlineStr">
        <is>
          <t>M&amp;R 6: regulation / flow control building</t>
        </is>
      </c>
      <c r="I6094" s="12" t="inlineStr">
        <is>
          <t>Instrumentation</t>
        </is>
      </c>
      <c r="J6094" s="12" t="inlineStr">
        <is>
          <t>Instrumentation ITC / PLTC, IS, #18 shielded pairs, blue jacket</t>
        </is>
      </c>
      <c r="K6094" s="12" t="inlineStr">
        <is>
          <t>ITC|24 pr|18</t>
        </is>
      </c>
      <c r="L6094" s="12" t="inlineStr">
        <is>
          <t>24 pr</t>
        </is>
      </c>
      <c r="M6094" s="12" t="inlineStr">
        <is>
          <t>18</t>
        </is>
      </c>
      <c r="N6094" s="12" t="n">
        <v>1</v>
      </c>
      <c r="O6094" s="12" t="n">
        <v>1</v>
      </c>
      <c r="P6094" s="12" t="n"/>
      <c r="Q6094" s="12" t="n"/>
      <c r="R6094" s="12" t="n"/>
      <c r="S6094" s="12" t="inlineStr">
        <is>
          <t>Duct bank</t>
        </is>
      </c>
      <c r="T6094" s="17" t="n">
        <v>470</v>
      </c>
      <c r="U6094" s="17" t="n">
        <v>70</v>
      </c>
      <c r="V6094" s="17">
        <f>ROUNDUP((T6094+U6094+2*'Read Me'!$B$13)*(1+'Read Me'!$B$12),-1)</f>
        <v/>
      </c>
      <c r="W6094" s="17">
        <f>V6094*N6094*O6094</f>
        <v/>
      </c>
      <c r="X6094" s="12">
        <f>IF(LEFT(I6094,2)="MV",2*N6094*IF(L6094="1/C",O6094,1),0)</f>
        <v/>
      </c>
      <c r="Y6094" s="12">
        <f>IF(OR(LEFT(K6094,4)="LVAX",LEFT(K6094,6)="MV15AX",LEFT(K6094,4)="CTAX",LEFT(K6094,2)="W|"),2*N6094*O6094,0)</f>
        <v/>
      </c>
      <c r="Z6094" s="12" t="inlineStr"/>
      <c r="AA6094" s="12">
        <f>N6094*O6094</f>
        <v/>
      </c>
    </row>
    <row r="6095">
      <c r="A6095" s="12" t="inlineStr">
        <is>
          <t>K-I-0179</t>
        </is>
      </c>
      <c r="B6095" s="12" t="inlineStr">
        <is>
          <t>K</t>
        </is>
      </c>
      <c r="C6095" s="12" t="inlineStr">
        <is>
          <t>Fuel supply (adjacent market)</t>
        </is>
      </c>
      <c r="D6095" s="12" t="inlineStr">
        <is>
          <t>Discrete device to JB JB-M&amp;R 6: regulation -DI01: 12 x 1 pr (field cables)</t>
        </is>
      </c>
      <c r="E6095" s="12" t="inlineStr"/>
      <c r="F6095" s="12" t="inlineStr">
        <is>
          <t>M&amp;R 6: regulation / flow control building</t>
        </is>
      </c>
      <c r="G6095" s="12" t="inlineStr">
        <is>
          <t>JB-M&amp;R 6: regulation -DI01</t>
        </is>
      </c>
      <c r="H6095" s="12" t="inlineStr">
        <is>
          <t>M&amp;R 6: regulation / flow control building</t>
        </is>
      </c>
      <c r="I6095" s="12" t="inlineStr">
        <is>
          <t>Instrumentation</t>
        </is>
      </c>
      <c r="J6095" s="12" t="inlineStr">
        <is>
          <t>Instrumentation ITC / PLTC, IS, #18 shielded pairs, blue jacket</t>
        </is>
      </c>
      <c r="K6095" s="12" t="inlineStr">
        <is>
          <t>ITC|1 pr|16</t>
        </is>
      </c>
      <c r="L6095" s="12" t="inlineStr">
        <is>
          <t>1 pr</t>
        </is>
      </c>
      <c r="M6095" s="12" t="inlineStr">
        <is>
          <t>16</t>
        </is>
      </c>
      <c r="N6095" s="12" t="n">
        <v>12</v>
      </c>
      <c r="O6095" s="12" t="n">
        <v>1</v>
      </c>
      <c r="P6095" s="12" t="n"/>
      <c r="Q6095" s="12" t="n"/>
      <c r="R6095" s="12" t="n"/>
      <c r="S6095" s="12" t="inlineStr">
        <is>
          <t>Tray / conduit</t>
        </is>
      </c>
      <c r="T6095" s="17" t="n">
        <v>61</v>
      </c>
      <c r="U6095" s="17" t="n">
        <v>10</v>
      </c>
      <c r="V6095" s="17">
        <f>ROUNDUP((T6095+U6095+2*'Read Me'!$B$13)*(1+'Read Me'!$B$12),-1)</f>
        <v/>
      </c>
      <c r="W6095" s="17">
        <f>V6095*N6095*O6095</f>
        <v/>
      </c>
      <c r="X6095" s="12">
        <f>IF(LEFT(I6095,2)="MV",2*N6095*IF(L6095="1/C",O6095,1),0)</f>
        <v/>
      </c>
      <c r="Y6095" s="12">
        <f>IF(OR(LEFT(K6095,4)="LVAX",LEFT(K6095,6)="MV15AX",LEFT(K6095,4)="CTAX",LEFT(K6095,2)="W|"),2*N6095*O6095,0)</f>
        <v/>
      </c>
      <c r="Z6095" s="12" t="inlineStr">
        <is>
          <t>device-to-JB field wiring, one cable per device</t>
        </is>
      </c>
      <c r="AA6095" s="12">
        <f>N6095*O6095</f>
        <v/>
      </c>
    </row>
    <row r="6096">
      <c r="A6096" s="12" t="inlineStr">
        <is>
          <t>K-I-0180</t>
        </is>
      </c>
      <c r="B6096" s="12" t="inlineStr">
        <is>
          <t>K</t>
        </is>
      </c>
      <c r="C6096" s="12" t="inlineStr">
        <is>
          <t>Fuel supply (adjacent market)</t>
        </is>
      </c>
      <c r="D6096" s="12" t="inlineStr">
        <is>
          <t>Home run JB-M&amp;R 6: regulation -DI01 to the control / marshalling room</t>
        </is>
      </c>
      <c r="E6096" s="12" t="inlineStr"/>
      <c r="F6096" s="12" t="inlineStr">
        <is>
          <t>LNG 17: LNG e-house (13.8 kV / 480 V)</t>
        </is>
      </c>
      <c r="G6096" s="12" t="inlineStr">
        <is>
          <t>JB-M&amp;R 6: regulation -DI01</t>
        </is>
      </c>
      <c r="H6096" s="12" t="inlineStr">
        <is>
          <t>M&amp;R 6: regulation / flow control building</t>
        </is>
      </c>
      <c r="I6096" s="12" t="inlineStr">
        <is>
          <t>Instrumentation</t>
        </is>
      </c>
      <c r="J6096" s="12" t="inlineStr">
        <is>
          <t>Instrumentation ITC / PLTC, IS, #18 shielded pairs, blue jacket</t>
        </is>
      </c>
      <c r="K6096" s="12" t="inlineStr">
        <is>
          <t>ITC|24 pr|18</t>
        </is>
      </c>
      <c r="L6096" s="12" t="inlineStr">
        <is>
          <t>24 pr</t>
        </is>
      </c>
      <c r="M6096" s="12" t="inlineStr">
        <is>
          <t>18</t>
        </is>
      </c>
      <c r="N6096" s="12" t="n">
        <v>1</v>
      </c>
      <c r="O6096" s="12" t="n">
        <v>1</v>
      </c>
      <c r="P6096" s="12" t="n"/>
      <c r="Q6096" s="12" t="n"/>
      <c r="R6096" s="12" t="n"/>
      <c r="S6096" s="12" t="inlineStr">
        <is>
          <t>Duct bank</t>
        </is>
      </c>
      <c r="T6096" s="17" t="n">
        <v>470</v>
      </c>
      <c r="U6096" s="17" t="n">
        <v>70</v>
      </c>
      <c r="V6096" s="17">
        <f>ROUNDUP((T6096+U6096+2*'Read Me'!$B$13)*(1+'Read Me'!$B$12),-1)</f>
        <v/>
      </c>
      <c r="W6096" s="17">
        <f>V6096*N6096*O6096</f>
        <v/>
      </c>
      <c r="X6096" s="12">
        <f>IF(LEFT(I6096,2)="MV",2*N6096*IF(L6096="1/C",O6096,1),0)</f>
        <v/>
      </c>
      <c r="Y6096" s="12">
        <f>IF(OR(LEFT(K6096,4)="LVAX",LEFT(K6096,6)="MV15AX",LEFT(K6096,4)="CTAX",LEFT(K6096,2)="W|"),2*N6096*O6096,0)</f>
        <v/>
      </c>
      <c r="Z6096" s="12" t="inlineStr"/>
      <c r="AA6096" s="12">
        <f>N6096*O6096</f>
        <v/>
      </c>
    </row>
    <row r="6097">
      <c r="A6097" s="12" t="inlineStr">
        <is>
          <t>K-I-0181</t>
        </is>
      </c>
      <c r="B6097" s="12" t="inlineStr">
        <is>
          <t>K</t>
        </is>
      </c>
      <c r="C6097" s="12" t="inlineStr">
        <is>
          <t>Fuel supply (adjacent market)</t>
        </is>
      </c>
      <c r="D6097" s="12" t="inlineStr">
        <is>
          <t>Analog instrument to JB JB-M&amp;R 7: gas quality-AI01: 20 x 1 pr (field cables)</t>
        </is>
      </c>
      <c r="E6097" s="12" t="inlineStr"/>
      <c r="F6097" s="12" t="inlineStr">
        <is>
          <t>M&amp;R 7: gas quality + measurement building</t>
        </is>
      </c>
      <c r="G6097" s="12" t="inlineStr">
        <is>
          <t>JB-M&amp;R 7: gas quality-AI01</t>
        </is>
      </c>
      <c r="H6097" s="12" t="inlineStr">
        <is>
          <t>M&amp;R 7: gas quality + measurement building</t>
        </is>
      </c>
      <c r="I6097" s="12" t="inlineStr">
        <is>
          <t>Instrumentation</t>
        </is>
      </c>
      <c r="J6097" s="12" t="inlineStr">
        <is>
          <t>Instrumentation ITC / PLTC, IS, #18 shielded pairs, blue jacket</t>
        </is>
      </c>
      <c r="K6097" s="12" t="inlineStr">
        <is>
          <t>ITC|1 pr|16</t>
        </is>
      </c>
      <c r="L6097" s="12" t="inlineStr">
        <is>
          <t>1 pr</t>
        </is>
      </c>
      <c r="M6097" s="12" t="inlineStr">
        <is>
          <t>16</t>
        </is>
      </c>
      <c r="N6097" s="12" t="n">
        <v>20</v>
      </c>
      <c r="O6097" s="12" t="n">
        <v>1</v>
      </c>
      <c r="P6097" s="12" t="n"/>
      <c r="Q6097" s="12" t="n"/>
      <c r="R6097" s="12" t="n"/>
      <c r="S6097" s="12" t="inlineStr">
        <is>
          <t>Tray / conduit</t>
        </is>
      </c>
      <c r="T6097" s="17" t="n">
        <v>41</v>
      </c>
      <c r="U6097" s="17" t="n">
        <v>10</v>
      </c>
      <c r="V6097" s="17">
        <f>ROUNDUP((T6097+U6097+2*'Read Me'!$B$13)*(1+'Read Me'!$B$12),-1)</f>
        <v/>
      </c>
      <c r="W6097" s="17">
        <f>V6097*N6097*O6097</f>
        <v/>
      </c>
      <c r="X6097" s="12">
        <f>IF(LEFT(I6097,2)="MV",2*N6097*IF(L6097="1/C",O6097,1),0)</f>
        <v/>
      </c>
      <c r="Y6097" s="12">
        <f>IF(OR(LEFT(K6097,4)="LVAX",LEFT(K6097,6)="MV15AX",LEFT(K6097,4)="CTAX",LEFT(K6097,2)="W|"),2*N6097*O6097,0)</f>
        <v/>
      </c>
      <c r="Z6097" s="12" t="inlineStr">
        <is>
          <t>device-to-JB field wiring, one cable per device</t>
        </is>
      </c>
      <c r="AA6097" s="12">
        <f>N6097*O6097</f>
        <v/>
      </c>
    </row>
    <row r="6098">
      <c r="A6098" s="12" t="inlineStr">
        <is>
          <t>K-I-0182</t>
        </is>
      </c>
      <c r="B6098" s="12" t="inlineStr">
        <is>
          <t>K</t>
        </is>
      </c>
      <c r="C6098" s="12" t="inlineStr">
        <is>
          <t>Fuel supply (adjacent market)</t>
        </is>
      </c>
      <c r="D6098" s="12" t="inlineStr">
        <is>
          <t>Home run JB-M&amp;R 7: gas quality-AI01 to the control / marshalling room</t>
        </is>
      </c>
      <c r="E6098" s="12" t="inlineStr"/>
      <c r="F6098" s="12" t="inlineStr">
        <is>
          <t>LNG 17: LNG e-house (13.8 kV / 480 V)</t>
        </is>
      </c>
      <c r="G6098" s="12" t="inlineStr">
        <is>
          <t>JB-M&amp;R 7: gas quality-AI01</t>
        </is>
      </c>
      <c r="H6098" s="12" t="inlineStr">
        <is>
          <t>M&amp;R 7: gas quality + measurement building</t>
        </is>
      </c>
      <c r="I6098" s="12" t="inlineStr">
        <is>
          <t>Instrumentation</t>
        </is>
      </c>
      <c r="J6098" s="12" t="inlineStr">
        <is>
          <t>Instrumentation ITC / PLTC, IS, #18 shielded pairs, blue jacket</t>
        </is>
      </c>
      <c r="K6098" s="12" t="inlineStr">
        <is>
          <t>ITC|24 pr|18</t>
        </is>
      </c>
      <c r="L6098" s="12" t="inlineStr">
        <is>
          <t>24 pr</t>
        </is>
      </c>
      <c r="M6098" s="12" t="inlineStr">
        <is>
          <t>18</t>
        </is>
      </c>
      <c r="N6098" s="12" t="n">
        <v>1</v>
      </c>
      <c r="O6098" s="12" t="n">
        <v>1</v>
      </c>
      <c r="P6098" s="12" t="n"/>
      <c r="Q6098" s="12" t="n"/>
      <c r="R6098" s="12" t="n"/>
      <c r="S6098" s="12" t="inlineStr">
        <is>
          <t>Duct bank</t>
        </is>
      </c>
      <c r="T6098" s="17" t="n">
        <v>616</v>
      </c>
      <c r="U6098" s="17" t="n">
        <v>52</v>
      </c>
      <c r="V6098" s="17">
        <f>ROUNDUP((T6098+U6098+2*'Read Me'!$B$13)*(1+'Read Me'!$B$12),-1)</f>
        <v/>
      </c>
      <c r="W6098" s="17">
        <f>V6098*N6098*O6098</f>
        <v/>
      </c>
      <c r="X6098" s="12">
        <f>IF(LEFT(I6098,2)="MV",2*N6098*IF(L6098="1/C",O6098,1),0)</f>
        <v/>
      </c>
      <c r="Y6098" s="12">
        <f>IF(OR(LEFT(K6098,4)="LVAX",LEFT(K6098,6)="MV15AX",LEFT(K6098,4)="CTAX",LEFT(K6098,2)="W|"),2*N6098*O6098,0)</f>
        <v/>
      </c>
      <c r="Z6098" s="12" t="inlineStr"/>
      <c r="AA6098" s="12">
        <f>N6098*O6098</f>
        <v/>
      </c>
    </row>
    <row r="6099">
      <c r="A6099" s="12" t="inlineStr">
        <is>
          <t>K-I-0183</t>
        </is>
      </c>
      <c r="B6099" s="12" t="inlineStr">
        <is>
          <t>K</t>
        </is>
      </c>
      <c r="C6099" s="12" t="inlineStr">
        <is>
          <t>Fuel supply (adjacent market)</t>
        </is>
      </c>
      <c r="D6099" s="12" t="inlineStr">
        <is>
          <t>Discrete device to JB JB-M&amp;R 7: gas quality-DI01: 8 x 1 pr (field cables)</t>
        </is>
      </c>
      <c r="E6099" s="12" t="inlineStr"/>
      <c r="F6099" s="12" t="inlineStr">
        <is>
          <t>M&amp;R 7: gas quality + measurement building</t>
        </is>
      </c>
      <c r="G6099" s="12" t="inlineStr">
        <is>
          <t>JB-M&amp;R 7: gas quality-DI01</t>
        </is>
      </c>
      <c r="H6099" s="12" t="inlineStr">
        <is>
          <t>M&amp;R 7: gas quality + measurement building</t>
        </is>
      </c>
      <c r="I6099" s="12" t="inlineStr">
        <is>
          <t>Instrumentation</t>
        </is>
      </c>
      <c r="J6099" s="12" t="inlineStr">
        <is>
          <t>Instrumentation ITC / PLTC, IS, #18 shielded pairs, blue jacket</t>
        </is>
      </c>
      <c r="K6099" s="12" t="inlineStr">
        <is>
          <t>ITC|1 pr|16</t>
        </is>
      </c>
      <c r="L6099" s="12" t="inlineStr">
        <is>
          <t>1 pr</t>
        </is>
      </c>
      <c r="M6099" s="12" t="inlineStr">
        <is>
          <t>16</t>
        </is>
      </c>
      <c r="N6099" s="12" t="n">
        <v>8</v>
      </c>
      <c r="O6099" s="12" t="n">
        <v>1</v>
      </c>
      <c r="P6099" s="12" t="n"/>
      <c r="Q6099" s="12" t="n"/>
      <c r="R6099" s="12" t="n"/>
      <c r="S6099" s="12" t="inlineStr">
        <is>
          <t>Tray / conduit</t>
        </is>
      </c>
      <c r="T6099" s="17" t="n">
        <v>41</v>
      </c>
      <c r="U6099" s="17" t="n">
        <v>10</v>
      </c>
      <c r="V6099" s="17">
        <f>ROUNDUP((T6099+U6099+2*'Read Me'!$B$13)*(1+'Read Me'!$B$12),-1)</f>
        <v/>
      </c>
      <c r="W6099" s="17">
        <f>V6099*N6099*O6099</f>
        <v/>
      </c>
      <c r="X6099" s="12">
        <f>IF(LEFT(I6099,2)="MV",2*N6099*IF(L6099="1/C",O6099,1),0)</f>
        <v/>
      </c>
      <c r="Y6099" s="12">
        <f>IF(OR(LEFT(K6099,4)="LVAX",LEFT(K6099,6)="MV15AX",LEFT(K6099,4)="CTAX",LEFT(K6099,2)="W|"),2*N6099*O6099,0)</f>
        <v/>
      </c>
      <c r="Z6099" s="12" t="inlineStr">
        <is>
          <t>device-to-JB field wiring, one cable per device</t>
        </is>
      </c>
      <c r="AA6099" s="12">
        <f>N6099*O6099</f>
        <v/>
      </c>
    </row>
    <row r="6100">
      <c r="A6100" s="12" t="inlineStr">
        <is>
          <t>K-I-0184</t>
        </is>
      </c>
      <c r="B6100" s="12" t="inlineStr">
        <is>
          <t>K</t>
        </is>
      </c>
      <c r="C6100" s="12" t="inlineStr">
        <is>
          <t>Fuel supply (adjacent market)</t>
        </is>
      </c>
      <c r="D6100" s="12" t="inlineStr">
        <is>
          <t>Home run JB-M&amp;R 7: gas quality-DI01 to the control / marshalling room</t>
        </is>
      </c>
      <c r="E6100" s="12" t="inlineStr"/>
      <c r="F6100" s="12" t="inlineStr">
        <is>
          <t>LNG 17: LNG e-house (13.8 kV / 480 V)</t>
        </is>
      </c>
      <c r="G6100" s="12" t="inlineStr">
        <is>
          <t>JB-M&amp;R 7: gas quality-DI01</t>
        </is>
      </c>
      <c r="H6100" s="12" t="inlineStr">
        <is>
          <t>M&amp;R 7: gas quality + measurement building</t>
        </is>
      </c>
      <c r="I6100" s="12" t="inlineStr">
        <is>
          <t>Instrumentation</t>
        </is>
      </c>
      <c r="J6100" s="12" t="inlineStr">
        <is>
          <t>Instrumentation ITC / PLTC, IS, #18 shielded pairs, blue jacket</t>
        </is>
      </c>
      <c r="K6100" s="12" t="inlineStr">
        <is>
          <t>ITC|24 pr|18</t>
        </is>
      </c>
      <c r="L6100" s="12" t="inlineStr">
        <is>
          <t>24 pr</t>
        </is>
      </c>
      <c r="M6100" s="12" t="inlineStr">
        <is>
          <t>18</t>
        </is>
      </c>
      <c r="N6100" s="12" t="n">
        <v>1</v>
      </c>
      <c r="O6100" s="12" t="n">
        <v>1</v>
      </c>
      <c r="P6100" s="12" t="n"/>
      <c r="Q6100" s="12" t="n"/>
      <c r="R6100" s="12" t="n"/>
      <c r="S6100" s="12" t="inlineStr">
        <is>
          <t>Duct bank</t>
        </is>
      </c>
      <c r="T6100" s="17" t="n">
        <v>616</v>
      </c>
      <c r="U6100" s="17" t="n">
        <v>52</v>
      </c>
      <c r="V6100" s="17">
        <f>ROUNDUP((T6100+U6100+2*'Read Me'!$B$13)*(1+'Read Me'!$B$12),-1)</f>
        <v/>
      </c>
      <c r="W6100" s="17">
        <f>V6100*N6100*O6100</f>
        <v/>
      </c>
      <c r="X6100" s="12">
        <f>IF(LEFT(I6100,2)="MV",2*N6100*IF(L6100="1/C",O6100,1),0)</f>
        <v/>
      </c>
      <c r="Y6100" s="12">
        <f>IF(OR(LEFT(K6100,4)="LVAX",LEFT(K6100,6)="MV15AX",LEFT(K6100,4)="CTAX",LEFT(K6100,2)="W|"),2*N6100*O6100,0)</f>
        <v/>
      </c>
      <c r="Z6100" s="12" t="inlineStr"/>
      <c r="AA6100" s="12">
        <f>N6100*O6100</f>
        <v/>
      </c>
    </row>
    <row r="6101">
      <c r="A6101" s="12" t="inlineStr">
        <is>
          <t>K-I-0185</t>
        </is>
      </c>
      <c r="B6101" s="12" t="inlineStr">
        <is>
          <t>K</t>
        </is>
      </c>
      <c r="C6101" s="12" t="inlineStr">
        <is>
          <t>Fuel supply (adjacent market)</t>
        </is>
      </c>
      <c r="D6101" s="12" t="inlineStr">
        <is>
          <t>Analog instrument to JB JB-M&amp;R 8: condensate -AI01: 4 x 1 pr (field cables)</t>
        </is>
      </c>
      <c r="E6101" s="12" t="inlineStr"/>
      <c r="F6101" s="12" t="inlineStr">
        <is>
          <t>M&amp;R 8: condensate tank</t>
        </is>
      </c>
      <c r="G6101" s="12" t="inlineStr">
        <is>
          <t>JB-M&amp;R 8: condensate -AI01</t>
        </is>
      </c>
      <c r="H6101" s="12" t="inlineStr">
        <is>
          <t>M&amp;R 8: condensate tank</t>
        </is>
      </c>
      <c r="I6101" s="12" t="inlineStr">
        <is>
          <t>Instrumentation</t>
        </is>
      </c>
      <c r="J6101" s="12" t="inlineStr">
        <is>
          <t>Instrumentation ITC / PLTC, IS, #18 shielded pairs, blue jacket</t>
        </is>
      </c>
      <c r="K6101" s="12" t="inlineStr">
        <is>
          <t>ITC|1 pr|16</t>
        </is>
      </c>
      <c r="L6101" s="12" t="inlineStr">
        <is>
          <t>1 pr</t>
        </is>
      </c>
      <c r="M6101" s="12" t="inlineStr">
        <is>
          <t>16</t>
        </is>
      </c>
      <c r="N6101" s="12" t="n">
        <v>4</v>
      </c>
      <c r="O6101" s="12" t="n">
        <v>1</v>
      </c>
      <c r="P6101" s="12" t="n"/>
      <c r="Q6101" s="12" t="n"/>
      <c r="R6101" s="12" t="n"/>
      <c r="S6101" s="12" t="inlineStr">
        <is>
          <t>Tray / conduit</t>
        </is>
      </c>
      <c r="T6101" s="17" t="n">
        <v>41</v>
      </c>
      <c r="U6101" s="17" t="n">
        <v>10</v>
      </c>
      <c r="V6101" s="17">
        <f>ROUNDUP((T6101+U6101+2*'Read Me'!$B$13)*(1+'Read Me'!$B$12),-1)</f>
        <v/>
      </c>
      <c r="W6101" s="17">
        <f>V6101*N6101*O6101</f>
        <v/>
      </c>
      <c r="X6101" s="12">
        <f>IF(LEFT(I6101,2)="MV",2*N6101*IF(L6101="1/C",O6101,1),0)</f>
        <v/>
      </c>
      <c r="Y6101" s="12">
        <f>IF(OR(LEFT(K6101,4)="LVAX",LEFT(K6101,6)="MV15AX",LEFT(K6101,4)="CTAX",LEFT(K6101,2)="W|"),2*N6101*O6101,0)</f>
        <v/>
      </c>
      <c r="Z6101" s="12" t="inlineStr">
        <is>
          <t>device-to-JB field wiring, one cable per device</t>
        </is>
      </c>
      <c r="AA6101" s="12">
        <f>N6101*O6101</f>
        <v/>
      </c>
    </row>
    <row r="6102">
      <c r="A6102" s="12" t="inlineStr">
        <is>
          <t>K-I-0186</t>
        </is>
      </c>
      <c r="B6102" s="12" t="inlineStr">
        <is>
          <t>K</t>
        </is>
      </c>
      <c r="C6102" s="12" t="inlineStr">
        <is>
          <t>Fuel supply (adjacent market)</t>
        </is>
      </c>
      <c r="D6102" s="12" t="inlineStr">
        <is>
          <t>Home run JB-M&amp;R 8: condensate -AI01 to the control / marshalling room</t>
        </is>
      </c>
      <c r="E6102" s="12" t="inlineStr"/>
      <c r="F6102" s="12" t="inlineStr">
        <is>
          <t>LNG 17: LNG e-house (13.8 kV / 480 V)</t>
        </is>
      </c>
      <c r="G6102" s="12" t="inlineStr">
        <is>
          <t>JB-M&amp;R 8: condensate -AI01</t>
        </is>
      </c>
      <c r="H6102" s="12" t="inlineStr">
        <is>
          <t>M&amp;R 8: condensate tank</t>
        </is>
      </c>
      <c r="I6102" s="12" t="inlineStr">
        <is>
          <t>Instrumentation</t>
        </is>
      </c>
      <c r="J6102" s="12" t="inlineStr">
        <is>
          <t>Instrumentation ITC / PLTC, IS, #18 shielded pairs, blue jacket</t>
        </is>
      </c>
      <c r="K6102" s="12" t="inlineStr">
        <is>
          <t>ITC|24 pr|18</t>
        </is>
      </c>
      <c r="L6102" s="12" t="inlineStr">
        <is>
          <t>24 pr</t>
        </is>
      </c>
      <c r="M6102" s="12" t="inlineStr">
        <is>
          <t>18</t>
        </is>
      </c>
      <c r="N6102" s="12" t="n">
        <v>1</v>
      </c>
      <c r="O6102" s="12" t="n">
        <v>1</v>
      </c>
      <c r="P6102" s="12" t="n"/>
      <c r="Q6102" s="12" t="n"/>
      <c r="R6102" s="12" t="n"/>
      <c r="S6102" s="12" t="inlineStr">
        <is>
          <t>Duct bank</t>
        </is>
      </c>
      <c r="T6102" s="17" t="n">
        <v>530</v>
      </c>
      <c r="U6102" s="17" t="n">
        <v>87</v>
      </c>
      <c r="V6102" s="17">
        <f>ROUNDUP((T6102+U6102+2*'Read Me'!$B$13)*(1+'Read Me'!$B$12),-1)</f>
        <v/>
      </c>
      <c r="W6102" s="17">
        <f>V6102*N6102*O6102</f>
        <v/>
      </c>
      <c r="X6102" s="12">
        <f>IF(LEFT(I6102,2)="MV",2*N6102*IF(L6102="1/C",O6102,1),0)</f>
        <v/>
      </c>
      <c r="Y6102" s="12">
        <f>IF(OR(LEFT(K6102,4)="LVAX",LEFT(K6102,6)="MV15AX",LEFT(K6102,4)="CTAX",LEFT(K6102,2)="W|"),2*N6102*O6102,0)</f>
        <v/>
      </c>
      <c r="Z6102" s="12" t="inlineStr"/>
      <c r="AA6102" s="12">
        <f>N6102*O6102</f>
        <v/>
      </c>
    </row>
    <row r="6103">
      <c r="A6103" s="12" t="inlineStr">
        <is>
          <t>K-I-0187</t>
        </is>
      </c>
      <c r="B6103" s="12" t="inlineStr">
        <is>
          <t>K</t>
        </is>
      </c>
      <c r="C6103" s="12" t="inlineStr">
        <is>
          <t>Fuel supply (adjacent market)</t>
        </is>
      </c>
      <c r="D6103" s="12" t="inlineStr">
        <is>
          <t>Discrete device to JB JB-M&amp;R 8: condensate -DI01: 4 x 1 pr (field cables)</t>
        </is>
      </c>
      <c r="E6103" s="12" t="inlineStr"/>
      <c r="F6103" s="12" t="inlineStr">
        <is>
          <t>M&amp;R 8: condensate tank</t>
        </is>
      </c>
      <c r="G6103" s="12" t="inlineStr">
        <is>
          <t>JB-M&amp;R 8: condensate -DI01</t>
        </is>
      </c>
      <c r="H6103" s="12" t="inlineStr">
        <is>
          <t>M&amp;R 8: condensate tank</t>
        </is>
      </c>
      <c r="I6103" s="12" t="inlineStr">
        <is>
          <t>Instrumentation</t>
        </is>
      </c>
      <c r="J6103" s="12" t="inlineStr">
        <is>
          <t>Instrumentation ITC / PLTC, IS, #18 shielded pairs, blue jacket</t>
        </is>
      </c>
      <c r="K6103" s="12" t="inlineStr">
        <is>
          <t>ITC|1 pr|16</t>
        </is>
      </c>
      <c r="L6103" s="12" t="inlineStr">
        <is>
          <t>1 pr</t>
        </is>
      </c>
      <c r="M6103" s="12" t="inlineStr">
        <is>
          <t>16</t>
        </is>
      </c>
      <c r="N6103" s="12" t="n">
        <v>4</v>
      </c>
      <c r="O6103" s="12" t="n">
        <v>1</v>
      </c>
      <c r="P6103" s="12" t="n"/>
      <c r="Q6103" s="12" t="n"/>
      <c r="R6103" s="12" t="n"/>
      <c r="S6103" s="12" t="inlineStr">
        <is>
          <t>Tray / conduit</t>
        </is>
      </c>
      <c r="T6103" s="17" t="n">
        <v>41</v>
      </c>
      <c r="U6103" s="17" t="n">
        <v>10</v>
      </c>
      <c r="V6103" s="17">
        <f>ROUNDUP((T6103+U6103+2*'Read Me'!$B$13)*(1+'Read Me'!$B$12),-1)</f>
        <v/>
      </c>
      <c r="W6103" s="17">
        <f>V6103*N6103*O6103</f>
        <v/>
      </c>
      <c r="X6103" s="12">
        <f>IF(LEFT(I6103,2)="MV",2*N6103*IF(L6103="1/C",O6103,1),0)</f>
        <v/>
      </c>
      <c r="Y6103" s="12">
        <f>IF(OR(LEFT(K6103,4)="LVAX",LEFT(K6103,6)="MV15AX",LEFT(K6103,4)="CTAX",LEFT(K6103,2)="W|"),2*N6103*O6103,0)</f>
        <v/>
      </c>
      <c r="Z6103" s="12" t="inlineStr">
        <is>
          <t>device-to-JB field wiring, one cable per device</t>
        </is>
      </c>
      <c r="AA6103" s="12">
        <f>N6103*O6103</f>
        <v/>
      </c>
    </row>
    <row r="6104">
      <c r="A6104" s="12" t="inlineStr">
        <is>
          <t>K-I-0188</t>
        </is>
      </c>
      <c r="B6104" s="12" t="inlineStr">
        <is>
          <t>K</t>
        </is>
      </c>
      <c r="C6104" s="12" t="inlineStr">
        <is>
          <t>Fuel supply (adjacent market)</t>
        </is>
      </c>
      <c r="D6104" s="12" t="inlineStr">
        <is>
          <t>Home run JB-M&amp;R 8: condensate -DI01 to the control / marshalling room</t>
        </is>
      </c>
      <c r="E6104" s="12" t="inlineStr"/>
      <c r="F6104" s="12" t="inlineStr">
        <is>
          <t>LNG 17: LNG e-house (13.8 kV / 480 V)</t>
        </is>
      </c>
      <c r="G6104" s="12" t="inlineStr">
        <is>
          <t>JB-M&amp;R 8: condensate -DI01</t>
        </is>
      </c>
      <c r="H6104" s="12" t="inlineStr">
        <is>
          <t>M&amp;R 8: condensate tank</t>
        </is>
      </c>
      <c r="I6104" s="12" t="inlineStr">
        <is>
          <t>Instrumentation</t>
        </is>
      </c>
      <c r="J6104" s="12" t="inlineStr">
        <is>
          <t>Instrumentation ITC / PLTC, IS, #18 shielded pairs, blue jacket</t>
        </is>
      </c>
      <c r="K6104" s="12" t="inlineStr">
        <is>
          <t>ITC|24 pr|18</t>
        </is>
      </c>
      <c r="L6104" s="12" t="inlineStr">
        <is>
          <t>24 pr</t>
        </is>
      </c>
      <c r="M6104" s="12" t="inlineStr">
        <is>
          <t>18</t>
        </is>
      </c>
      <c r="N6104" s="12" t="n">
        <v>1</v>
      </c>
      <c r="O6104" s="12" t="n">
        <v>1</v>
      </c>
      <c r="P6104" s="12" t="n"/>
      <c r="Q6104" s="12" t="n"/>
      <c r="R6104" s="12" t="n"/>
      <c r="S6104" s="12" t="inlineStr">
        <is>
          <t>Duct bank</t>
        </is>
      </c>
      <c r="T6104" s="17" t="n">
        <v>530</v>
      </c>
      <c r="U6104" s="17" t="n">
        <v>87</v>
      </c>
      <c r="V6104" s="17">
        <f>ROUNDUP((T6104+U6104+2*'Read Me'!$B$13)*(1+'Read Me'!$B$12),-1)</f>
        <v/>
      </c>
      <c r="W6104" s="17">
        <f>V6104*N6104*O6104</f>
        <v/>
      </c>
      <c r="X6104" s="12">
        <f>IF(LEFT(I6104,2)="MV",2*N6104*IF(L6104="1/C",O6104,1),0)</f>
        <v/>
      </c>
      <c r="Y6104" s="12">
        <f>IF(OR(LEFT(K6104,4)="LVAX",LEFT(K6104,6)="MV15AX",LEFT(K6104,4)="CTAX",LEFT(K6104,2)="W|"),2*N6104*O6104,0)</f>
        <v/>
      </c>
      <c r="Z6104" s="12" t="inlineStr"/>
      <c r="AA6104" s="12">
        <f>N6104*O6104</f>
        <v/>
      </c>
    </row>
    <row r="6105">
      <c r="A6105" s="12" t="inlineStr">
        <is>
          <t>K-I-0189</t>
        </is>
      </c>
      <c r="B6105" s="12" t="inlineStr">
        <is>
          <t>K</t>
        </is>
      </c>
      <c r="C6105" s="12" t="inlineStr">
        <is>
          <t>Fuel supply (adjacent market)</t>
        </is>
      </c>
      <c r="D6105" s="12" t="inlineStr">
        <is>
          <t>Instrumentation</t>
        </is>
      </c>
      <c r="E6105" s="12" t="inlineStr"/>
      <c r="F6105" s="12" t="inlineStr">
        <is>
          <t>LNG 17: LNG e-house (13.8 kV / 480 V)</t>
        </is>
      </c>
      <c r="G6105" s="12" t="inlineStr"/>
      <c r="H6105" s="12" t="inlineStr">
        <is>
          <t>M&amp;R CP test station (as drawn)</t>
        </is>
      </c>
      <c r="I6105" s="12" t="inlineStr">
        <is>
          <t>Instrumentation</t>
        </is>
      </c>
      <c r="J6105" s="12" t="inlineStr">
        <is>
          <t>Instrumentation ITC / PLTC, IS, #18 shielded pairs, blue jacket</t>
        </is>
      </c>
      <c r="K6105" s="12" t="inlineStr">
        <is>
          <t>ITC|4 pr|18</t>
        </is>
      </c>
      <c r="L6105" s="12" t="inlineStr">
        <is>
          <t>4 pr</t>
        </is>
      </c>
      <c r="M6105" s="12" t="inlineStr">
        <is>
          <t>18</t>
        </is>
      </c>
      <c r="N6105" s="12" t="n">
        <v>1</v>
      </c>
      <c r="O6105" s="12" t="n">
        <v>1</v>
      </c>
      <c r="P6105" s="12" t="n"/>
      <c r="Q6105" s="12" t="n"/>
      <c r="R6105" s="12" t="n"/>
      <c r="S6105" s="12" t="inlineStr">
        <is>
          <t>Duct bank</t>
        </is>
      </c>
      <c r="T6105" s="17" t="n">
        <v>441</v>
      </c>
      <c r="U6105" s="17" t="n">
        <v>42</v>
      </c>
      <c r="V6105" s="17">
        <f>ROUNDUP((T6105+U6105+2*'Read Me'!$B$13)*(1+'Read Me'!$B$12),-1)</f>
        <v/>
      </c>
      <c r="W6105" s="17">
        <f>V6105*N6105*O6105</f>
        <v/>
      </c>
      <c r="X6105" s="12">
        <f>IF(LEFT(I6105,2)="MV",2*N6105*IF(L6105="1/C",O6105,1),0)</f>
        <v/>
      </c>
      <c r="Y6105" s="12">
        <f>IF(OR(LEFT(K6105,4)="LVAX",LEFT(K6105,6)="MV15AX",LEFT(K6105,4)="CTAX",LEFT(K6105,2)="W|"),2*N6105*O6105,0)</f>
        <v/>
      </c>
      <c r="Z6105" s="12" t="inlineStr"/>
      <c r="AA6105" s="12">
        <f>N6105*O6105</f>
        <v/>
      </c>
    </row>
    <row r="6106">
      <c r="A6106" s="12" t="inlineStr">
        <is>
          <t>K-I-0190</t>
        </is>
      </c>
      <c r="B6106" s="12" t="inlineStr">
        <is>
          <t>K</t>
        </is>
      </c>
      <c r="C6106" s="12" t="inlineStr">
        <is>
          <t>Fuel supply (adjacent market)</t>
        </is>
      </c>
      <c r="D6106" s="12" t="inlineStr">
        <is>
          <t>Instrumentation</t>
        </is>
      </c>
      <c r="E6106" s="12" t="inlineStr"/>
      <c r="F6106" s="12" t="inlineStr">
        <is>
          <t>H2 20: 13.8 kV e-house</t>
        </is>
      </c>
      <c r="G6106" s="12" t="inlineStr"/>
      <c r="H6106" s="12" t="inlineStr">
        <is>
          <t>PEM electrolyzer 1 (HyLYZER-1000)</t>
        </is>
      </c>
      <c r="I6106" s="12" t="inlineStr">
        <is>
          <t>Instrumentation</t>
        </is>
      </c>
      <c r="J6106" s="12" t="inlineStr">
        <is>
          <t>Instrumentation ITC / PLTC, IS, #18 shielded pairs, blue jacket</t>
        </is>
      </c>
      <c r="K6106" s="12" t="inlineStr">
        <is>
          <t>ITC|4 pr|18</t>
        </is>
      </c>
      <c r="L6106" s="12" t="inlineStr">
        <is>
          <t>4 pr</t>
        </is>
      </c>
      <c r="M6106" s="12" t="inlineStr">
        <is>
          <t>18</t>
        </is>
      </c>
      <c r="N6106" s="12" t="n">
        <v>1</v>
      </c>
      <c r="O6106" s="12" t="n">
        <v>1</v>
      </c>
      <c r="P6106" s="12" t="n"/>
      <c r="Q6106" s="12" t="n"/>
      <c r="R6106" s="12" t="n"/>
      <c r="S6106" s="12" t="inlineStr">
        <is>
          <t>Duct bank</t>
        </is>
      </c>
      <c r="T6106" s="17" t="n">
        <v>358</v>
      </c>
      <c r="U6106" s="17" t="n">
        <v>32</v>
      </c>
      <c r="V6106" s="17">
        <f>ROUNDUP((T6106+U6106+2*'Read Me'!$B$13)*(1+'Read Me'!$B$12),-1)</f>
        <v/>
      </c>
      <c r="W6106" s="17">
        <f>V6106*N6106*O6106</f>
        <v/>
      </c>
      <c r="X6106" s="12">
        <f>IF(LEFT(I6106,2)="MV",2*N6106*IF(L6106="1/C",O6106,1),0)</f>
        <v/>
      </c>
      <c r="Y6106" s="12">
        <f>IF(OR(LEFT(K6106,4)="LVAX",LEFT(K6106,6)="MV15AX",LEFT(K6106,4)="CTAX",LEFT(K6106,2)="W|"),2*N6106*O6106,0)</f>
        <v/>
      </c>
      <c r="Z6106" s="12" t="inlineStr"/>
      <c r="AA6106" s="12">
        <f>N6106*O6106</f>
        <v/>
      </c>
    </row>
    <row r="6107">
      <c r="A6107" s="12" t="inlineStr">
        <is>
          <t>K-I-0191</t>
        </is>
      </c>
      <c r="B6107" s="12" t="inlineStr">
        <is>
          <t>K</t>
        </is>
      </c>
      <c r="C6107" s="12" t="inlineStr">
        <is>
          <t>Fuel supply (adjacent market)</t>
        </is>
      </c>
      <c r="D6107" s="12" t="inlineStr">
        <is>
          <t>Instrumentation</t>
        </is>
      </c>
      <c r="E6107" s="12" t="inlineStr"/>
      <c r="F6107" s="12" t="inlineStr">
        <is>
          <t>H2 20: 13.8 kV e-house</t>
        </is>
      </c>
      <c r="G6107" s="12" t="inlineStr"/>
      <c r="H6107" s="12" t="inlineStr">
        <is>
          <t>PEM electrolyzer 2 (HyLYZER-1000)</t>
        </is>
      </c>
      <c r="I6107" s="12" t="inlineStr">
        <is>
          <t>Instrumentation</t>
        </is>
      </c>
      <c r="J6107" s="12" t="inlineStr">
        <is>
          <t>Instrumentation ITC / PLTC, IS, #18 shielded pairs, blue jacket</t>
        </is>
      </c>
      <c r="K6107" s="12" t="inlineStr">
        <is>
          <t>ITC|4 pr|18</t>
        </is>
      </c>
      <c r="L6107" s="12" t="inlineStr">
        <is>
          <t>4 pr</t>
        </is>
      </c>
      <c r="M6107" s="12" t="inlineStr">
        <is>
          <t>18</t>
        </is>
      </c>
      <c r="N6107" s="12" t="n">
        <v>1</v>
      </c>
      <c r="O6107" s="12" t="n">
        <v>1</v>
      </c>
      <c r="P6107" s="12" t="n"/>
      <c r="Q6107" s="12" t="n"/>
      <c r="R6107" s="12" t="n"/>
      <c r="S6107" s="12" t="inlineStr">
        <is>
          <t>Duct bank</t>
        </is>
      </c>
      <c r="T6107" s="17" t="n">
        <v>358</v>
      </c>
      <c r="U6107" s="17" t="n">
        <v>48</v>
      </c>
      <c r="V6107" s="17">
        <f>ROUNDUP((T6107+U6107+2*'Read Me'!$B$13)*(1+'Read Me'!$B$12),-1)</f>
        <v/>
      </c>
      <c r="W6107" s="17">
        <f>V6107*N6107*O6107</f>
        <v/>
      </c>
      <c r="X6107" s="12">
        <f>IF(LEFT(I6107,2)="MV",2*N6107*IF(L6107="1/C",O6107,1),0)</f>
        <v/>
      </c>
      <c r="Y6107" s="12">
        <f>IF(OR(LEFT(K6107,4)="LVAX",LEFT(K6107,6)="MV15AX",LEFT(K6107,4)="CTAX",LEFT(K6107,2)="W|"),2*N6107*O6107,0)</f>
        <v/>
      </c>
      <c r="Z6107" s="12" t="inlineStr"/>
      <c r="AA6107" s="12">
        <f>N6107*O6107</f>
        <v/>
      </c>
    </row>
    <row r="6108">
      <c r="A6108" s="12" t="inlineStr">
        <is>
          <t>K-I-0192</t>
        </is>
      </c>
      <c r="B6108" s="12" t="inlineStr">
        <is>
          <t>K</t>
        </is>
      </c>
      <c r="C6108" s="12" t="inlineStr">
        <is>
          <t>Fuel supply (adjacent market)</t>
        </is>
      </c>
      <c r="D6108" s="12" t="inlineStr">
        <is>
          <t>Instrumentation</t>
        </is>
      </c>
      <c r="E6108" s="12" t="inlineStr"/>
      <c r="F6108" s="12" t="inlineStr">
        <is>
          <t>H2 20: 13.8 kV e-house</t>
        </is>
      </c>
      <c r="G6108" s="12" t="inlineStr"/>
      <c r="H6108" s="12" t="inlineStr">
        <is>
          <t>PEM electrolyzer 3 (HyLYZER-1000)</t>
        </is>
      </c>
      <c r="I6108" s="12" t="inlineStr">
        <is>
          <t>Instrumentation</t>
        </is>
      </c>
      <c r="J6108" s="12" t="inlineStr">
        <is>
          <t>Instrumentation ITC / PLTC, IS, #18 shielded pairs, blue jacket</t>
        </is>
      </c>
      <c r="K6108" s="12" t="inlineStr">
        <is>
          <t>ITC|4 pr|18</t>
        </is>
      </c>
      <c r="L6108" s="12" t="inlineStr">
        <is>
          <t>4 pr</t>
        </is>
      </c>
      <c r="M6108" s="12" t="inlineStr">
        <is>
          <t>18</t>
        </is>
      </c>
      <c r="N6108" s="12" t="n">
        <v>1</v>
      </c>
      <c r="O6108" s="12" t="n">
        <v>1</v>
      </c>
      <c r="P6108" s="12" t="n"/>
      <c r="Q6108" s="12" t="n"/>
      <c r="R6108" s="12" t="n"/>
      <c r="S6108" s="12" t="inlineStr">
        <is>
          <t>Duct bank</t>
        </is>
      </c>
      <c r="T6108" s="17" t="n">
        <v>348</v>
      </c>
      <c r="U6108" s="17" t="n">
        <v>49</v>
      </c>
      <c r="V6108" s="17">
        <f>ROUNDUP((T6108+U6108+2*'Read Me'!$B$13)*(1+'Read Me'!$B$12),-1)</f>
        <v/>
      </c>
      <c r="W6108" s="17">
        <f>V6108*N6108*O6108</f>
        <v/>
      </c>
      <c r="X6108" s="12">
        <f>IF(LEFT(I6108,2)="MV",2*N6108*IF(L6108="1/C",O6108,1),0)</f>
        <v/>
      </c>
      <c r="Y6108" s="12">
        <f>IF(OR(LEFT(K6108,4)="LVAX",LEFT(K6108,6)="MV15AX",LEFT(K6108,4)="CTAX",LEFT(K6108,2)="W|"),2*N6108*O6108,0)</f>
        <v/>
      </c>
      <c r="Z6108" s="12" t="inlineStr"/>
      <c r="AA6108" s="12">
        <f>N6108*O6108</f>
        <v/>
      </c>
    </row>
    <row r="6109">
      <c r="A6109" s="12" t="inlineStr">
        <is>
          <t>K-I-0193</t>
        </is>
      </c>
      <c r="B6109" s="12" t="inlineStr">
        <is>
          <t>K</t>
        </is>
      </c>
      <c r="C6109" s="12" t="inlineStr">
        <is>
          <t>Fuel supply (adjacent market)</t>
        </is>
      </c>
      <c r="D6109" s="12" t="inlineStr">
        <is>
          <t>Instrumentation</t>
        </is>
      </c>
      <c r="E6109" s="12" t="inlineStr"/>
      <c r="F6109" s="12" t="inlineStr">
        <is>
          <t>H2 20: 13.8 kV e-house</t>
        </is>
      </c>
      <c r="G6109" s="12" t="inlineStr"/>
      <c r="H6109" s="12" t="inlineStr">
        <is>
          <t>PEM electrolyzer 4 (HyLYZER-1000)</t>
        </is>
      </c>
      <c r="I6109" s="12" t="inlineStr">
        <is>
          <t>Instrumentation</t>
        </is>
      </c>
      <c r="J6109" s="12" t="inlineStr">
        <is>
          <t>Instrumentation ITC / PLTC, IS, #18 shielded pairs, blue jacket</t>
        </is>
      </c>
      <c r="K6109" s="12" t="inlineStr">
        <is>
          <t>ITC|4 pr|18</t>
        </is>
      </c>
      <c r="L6109" s="12" t="inlineStr">
        <is>
          <t>4 pr</t>
        </is>
      </c>
      <c r="M6109" s="12" t="inlineStr">
        <is>
          <t>18</t>
        </is>
      </c>
      <c r="N6109" s="12" t="n">
        <v>1</v>
      </c>
      <c r="O6109" s="12" t="n">
        <v>1</v>
      </c>
      <c r="P6109" s="12" t="n"/>
      <c r="Q6109" s="12" t="n"/>
      <c r="R6109" s="12" t="n"/>
      <c r="S6109" s="12" t="inlineStr">
        <is>
          <t>Duct bank</t>
        </is>
      </c>
      <c r="T6109" s="17" t="n">
        <v>328</v>
      </c>
      <c r="U6109" s="17" t="n">
        <v>49</v>
      </c>
      <c r="V6109" s="17">
        <f>ROUNDUP((T6109+U6109+2*'Read Me'!$B$13)*(1+'Read Me'!$B$12),-1)</f>
        <v/>
      </c>
      <c r="W6109" s="17">
        <f>V6109*N6109*O6109</f>
        <v/>
      </c>
      <c r="X6109" s="12">
        <f>IF(LEFT(I6109,2)="MV",2*N6109*IF(L6109="1/C",O6109,1),0)</f>
        <v/>
      </c>
      <c r="Y6109" s="12">
        <f>IF(OR(LEFT(K6109,4)="LVAX",LEFT(K6109,6)="MV15AX",LEFT(K6109,4)="CTAX",LEFT(K6109,2)="W|"),2*N6109*O6109,0)</f>
        <v/>
      </c>
      <c r="Z6109" s="12" t="inlineStr"/>
      <c r="AA6109" s="12">
        <f>N6109*O6109</f>
        <v/>
      </c>
    </row>
    <row r="6110">
      <c r="A6110" s="12" t="inlineStr">
        <is>
          <t>K-I-0194</t>
        </is>
      </c>
      <c r="B6110" s="12" t="inlineStr">
        <is>
          <t>K</t>
        </is>
      </c>
      <c r="C6110" s="12" t="inlineStr">
        <is>
          <t>Fuel supply (adjacent market)</t>
        </is>
      </c>
      <c r="D6110" s="12" t="inlineStr">
        <is>
          <t>Instrumentation</t>
        </is>
      </c>
      <c r="E6110" s="12" t="inlineStr"/>
      <c r="F6110" s="12" t="inlineStr">
        <is>
          <t>H2 20: 13.8 kV e-house</t>
        </is>
      </c>
      <c r="G6110" s="12" t="inlineStr"/>
      <c r="H6110" s="12" t="inlineStr">
        <is>
          <t>PEM electrolyzer 5 (HyLYZER-1000)</t>
        </is>
      </c>
      <c r="I6110" s="12" t="inlineStr">
        <is>
          <t>Instrumentation</t>
        </is>
      </c>
      <c r="J6110" s="12" t="inlineStr">
        <is>
          <t>Instrumentation ITC / PLTC, IS, #18 shielded pairs, blue jacket</t>
        </is>
      </c>
      <c r="K6110" s="12" t="inlineStr">
        <is>
          <t>ITC|4 pr|18</t>
        </is>
      </c>
      <c r="L6110" s="12" t="inlineStr">
        <is>
          <t>4 pr</t>
        </is>
      </c>
      <c r="M6110" s="12" t="inlineStr">
        <is>
          <t>18</t>
        </is>
      </c>
      <c r="N6110" s="12" t="n">
        <v>1</v>
      </c>
      <c r="O6110" s="12" t="n">
        <v>1</v>
      </c>
      <c r="P6110" s="12" t="n"/>
      <c r="Q6110" s="12" t="n"/>
      <c r="R6110" s="12" t="n"/>
      <c r="S6110" s="12" t="inlineStr">
        <is>
          <t>Duct bank</t>
        </is>
      </c>
      <c r="T6110" s="17" t="n">
        <v>328</v>
      </c>
      <c r="U6110" s="17" t="n">
        <v>32</v>
      </c>
      <c r="V6110" s="17">
        <f>ROUNDUP((T6110+U6110+2*'Read Me'!$B$13)*(1+'Read Me'!$B$12),-1)</f>
        <v/>
      </c>
      <c r="W6110" s="17">
        <f>V6110*N6110*O6110</f>
        <v/>
      </c>
      <c r="X6110" s="12">
        <f>IF(LEFT(I6110,2)="MV",2*N6110*IF(L6110="1/C",O6110,1),0)</f>
        <v/>
      </c>
      <c r="Y6110" s="12">
        <f>IF(OR(LEFT(K6110,4)="LVAX",LEFT(K6110,6)="MV15AX",LEFT(K6110,4)="CTAX",LEFT(K6110,2)="W|"),2*N6110*O6110,0)</f>
        <v/>
      </c>
      <c r="Z6110" s="12" t="inlineStr"/>
      <c r="AA6110" s="12">
        <f>N6110*O6110</f>
        <v/>
      </c>
    </row>
    <row r="6111">
      <c r="A6111" s="12" t="inlineStr">
        <is>
          <t>K-P-0001</t>
        </is>
      </c>
      <c r="B6111" s="12" t="inlineStr">
        <is>
          <t>K</t>
        </is>
      </c>
      <c r="C6111" s="12" t="inlineStr">
        <is>
          <t>Fuel supply (adjacent market)</t>
        </is>
      </c>
      <c r="D6111" s="12" t="inlineStr">
        <is>
          <t>Motor 1 of 1, 15 kW</t>
        </is>
      </c>
      <c r="E6111" s="12" t="inlineStr"/>
      <c r="F6111" s="12" t="inlineStr">
        <is>
          <t>H2 20: 13.8 kV e-house</t>
        </is>
      </c>
      <c r="G6111" s="12" t="inlineStr">
        <is>
          <t>T-H2</t>
        </is>
      </c>
      <c r="H6111" s="12" t="inlineStr">
        <is>
          <t>H2 19: T-H2 230/13.8 kV (about 40 MVA)</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15</v>
      </c>
      <c r="R6111" s="12" t="n">
        <v>21.2</v>
      </c>
      <c r="S6111" s="12" t="inlineStr">
        <is>
          <t>Duct bank</t>
        </is>
      </c>
      <c r="T6111" s="17" t="n">
        <v>35</v>
      </c>
      <c r="U6111" s="17" t="n">
        <v>32</v>
      </c>
      <c r="V6111" s="17">
        <f>ROUNDUP((T6111+U6111+2*'Read Me'!$B$13)*(1+'Read Me'!$B$12),-1)</f>
        <v/>
      </c>
      <c r="W6111" s="17">
        <f>V6111*N6111*O6111</f>
        <v/>
      </c>
      <c r="X6111" s="12">
        <f>IF(LEFT(I6111,2)="MV",2*N6111*IF(L6111="1/C",O6111,1),0)</f>
        <v/>
      </c>
      <c r="Y6111" s="12">
        <f>IF(OR(LEFT(K6111,4)="LVAX",LEFT(K6111,6)="MV15AX",LEFT(K6111,4)="CTAX",LEFT(K6111,2)="W|"),2*N6111*O6111,0)</f>
        <v/>
      </c>
      <c r="Z6111" s="12" t="inlineStr">
        <is>
          <t>VD 0.7 %</t>
        </is>
      </c>
      <c r="AA6111" s="12">
        <f>N6111*O6111</f>
        <v/>
      </c>
    </row>
    <row r="6112">
      <c r="A6112" s="12" t="inlineStr">
        <is>
          <t>K-P-0002</t>
        </is>
      </c>
      <c r="B6112" s="12" t="inlineStr">
        <is>
          <t>K</t>
        </is>
      </c>
      <c r="C6112" s="12" t="inlineStr">
        <is>
          <t>Fuel supply (adjacent market)</t>
        </is>
      </c>
      <c r="D6112" s="12" t="inlineStr">
        <is>
          <t>Motor 1 of 1, 15 kW</t>
        </is>
      </c>
      <c r="E6112" s="12" t="inlineStr"/>
      <c r="F6112" s="12" t="inlineStr">
        <is>
          <t>H2 20: 13.8 kV e-house</t>
        </is>
      </c>
      <c r="G6112" s="12" t="inlineStr"/>
      <c r="H6112" s="12" t="inlineStr">
        <is>
          <t>H2 20: 13.8 kV e-house</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Tray</t>
        </is>
      </c>
      <c r="T6112" s="17" t="n">
        <v>0</v>
      </c>
      <c r="U6112" s="17" t="n">
        <v>32</v>
      </c>
      <c r="V6112" s="17">
        <f>ROUNDUP((T6112+U6112+2*'Read Me'!$B$13)*(1+'Read Me'!$B$12),-1)</f>
        <v/>
      </c>
      <c r="W6112" s="17">
        <f>V6112*N6112*O6112</f>
        <v/>
      </c>
      <c r="X6112" s="12">
        <f>IF(LEFT(I6112,2)="MV",2*N6112*IF(L6112="1/C",O6112,1),0)</f>
        <v/>
      </c>
      <c r="Y6112" s="12">
        <f>IF(OR(LEFT(K6112,4)="LVAX",LEFT(K6112,6)="MV15AX",LEFT(K6112,4)="CTAX",LEFT(K6112,2)="W|"),2*N6112*O6112,0)</f>
        <v/>
      </c>
      <c r="Z6112" s="12" t="inlineStr">
        <is>
          <t>VD 0.3 %</t>
        </is>
      </c>
      <c r="AA6112" s="12">
        <f>N6112*O6112</f>
        <v/>
      </c>
    </row>
    <row r="6113">
      <c r="A6113" s="12" t="inlineStr">
        <is>
          <t>K-P-0003</t>
        </is>
      </c>
      <c r="B6113" s="12" t="inlineStr">
        <is>
          <t>K</t>
        </is>
      </c>
      <c r="C6113" s="12" t="inlineStr">
        <is>
          <t>Fuel supply (adjacent market)</t>
        </is>
      </c>
      <c r="D6113" s="12" t="inlineStr">
        <is>
          <t>Motor 1 of 1, 15 kW</t>
        </is>
      </c>
      <c r="E6113" s="12" t="inlineStr"/>
      <c r="F6113" s="12" t="inlineStr">
        <is>
          <t>H2 20: 13.8 kV e-house</t>
        </is>
      </c>
      <c r="G6113" s="12" t="inlineStr"/>
      <c r="H6113" s="12" t="inlineStr">
        <is>
          <t>H2 21: rectifier transformer 1 (7 MVA)</t>
        </is>
      </c>
      <c r="I6113" s="12" t="inlineStr">
        <is>
          <t>LV 600 V</t>
        </is>
      </c>
      <c r="J6113" s="12" t="inlineStr">
        <is>
          <t>ARMOR-X MC-HL 600 V 3/C Cu XHHW-2 + ground, CWA, black PVC (Class I Div 2)</t>
        </is>
      </c>
      <c r="K6113" s="12" t="inlineStr">
        <is>
          <t>LVAX|3/C+G|8</t>
        </is>
      </c>
      <c r="L6113" s="12" t="inlineStr">
        <is>
          <t>3/C+G</t>
        </is>
      </c>
      <c r="M6113" s="12" t="inlineStr">
        <is>
          <t>8</t>
        </is>
      </c>
      <c r="N6113" s="12" t="n">
        <v>1</v>
      </c>
      <c r="O6113" s="12" t="n">
        <v>1</v>
      </c>
      <c r="P6113" s="12" t="n">
        <v>480</v>
      </c>
      <c r="Q6113" s="12" t="n">
        <v>15</v>
      </c>
      <c r="R6113" s="12" t="n">
        <v>21.2</v>
      </c>
      <c r="S6113" s="12" t="inlineStr">
        <is>
          <t>Duct bank</t>
        </is>
      </c>
      <c r="T6113" s="17" t="n">
        <v>356</v>
      </c>
      <c r="U6113" s="17" t="n">
        <v>48</v>
      </c>
      <c r="V6113" s="17">
        <f>ROUNDUP((T6113+U6113+2*'Read Me'!$B$13)*(1+'Read Me'!$B$12),-1)</f>
        <v/>
      </c>
      <c r="W6113" s="17">
        <f>V6113*N6113*O6113</f>
        <v/>
      </c>
      <c r="X6113" s="12">
        <f>IF(LEFT(I6113,2)="MV",2*N6113*IF(L6113="1/C",O6113,1),0)</f>
        <v/>
      </c>
      <c r="Y6113" s="12">
        <f>IF(OR(LEFT(K6113,4)="LVAX",LEFT(K6113,6)="MV15AX",LEFT(K6113,4)="CTAX",LEFT(K6113,2)="W|"),2*N6113*O6113,0)</f>
        <v/>
      </c>
      <c r="Z6113" s="12" t="inlineStr">
        <is>
          <t>VD 2.6 %</t>
        </is>
      </c>
      <c r="AA6113" s="12">
        <f>N6113*O6113</f>
        <v/>
      </c>
    </row>
    <row r="6114">
      <c r="A6114" s="12" t="inlineStr">
        <is>
          <t>K-P-0004</t>
        </is>
      </c>
      <c r="B6114" s="12" t="inlineStr">
        <is>
          <t>K</t>
        </is>
      </c>
      <c r="C6114" s="12" t="inlineStr">
        <is>
          <t>Fuel supply (adjacent market)</t>
        </is>
      </c>
      <c r="D6114" s="12" t="inlineStr">
        <is>
          <t>Motor 1 of 1, 15 kW</t>
        </is>
      </c>
      <c r="E6114" s="12" t="inlineStr"/>
      <c r="F6114" s="12" t="inlineStr">
        <is>
          <t>H2 20: 13.8 kV e-house</t>
        </is>
      </c>
      <c r="G6114" s="12" t="inlineStr"/>
      <c r="H6114" s="12" t="inlineStr">
        <is>
          <t>H2 21: rectifier transformer 2 (7 MVA)</t>
        </is>
      </c>
      <c r="I6114" s="12" t="inlineStr">
        <is>
          <t>LV 600 V</t>
        </is>
      </c>
      <c r="J6114" s="12" t="inlineStr">
        <is>
          <t>ARMOR-X MC-HL 600 V 3/C Cu XHHW-2 + ground, CWA, black PVC (Class I Div 2)</t>
        </is>
      </c>
      <c r="K6114" s="12" t="inlineStr">
        <is>
          <t>LVAX|3/C+G|8</t>
        </is>
      </c>
      <c r="L6114" s="12" t="inlineStr">
        <is>
          <t>3/C+G</t>
        </is>
      </c>
      <c r="M6114" s="12" t="inlineStr">
        <is>
          <t>8</t>
        </is>
      </c>
      <c r="N6114" s="12" t="n">
        <v>1</v>
      </c>
      <c r="O6114" s="12" t="n">
        <v>1</v>
      </c>
      <c r="P6114" s="12" t="n">
        <v>480</v>
      </c>
      <c r="Q6114" s="12" t="n">
        <v>15</v>
      </c>
      <c r="R6114" s="12" t="n">
        <v>21.2</v>
      </c>
      <c r="S6114" s="12" t="inlineStr">
        <is>
          <t>Duct bank</t>
        </is>
      </c>
      <c r="T6114" s="17" t="n">
        <v>356</v>
      </c>
      <c r="U6114" s="17" t="n">
        <v>32</v>
      </c>
      <c r="V6114" s="17">
        <f>ROUNDUP((T6114+U6114+2*'Read Me'!$B$13)*(1+'Read Me'!$B$12),-1)</f>
        <v/>
      </c>
      <c r="W6114" s="17">
        <f>V6114*N6114*O6114</f>
        <v/>
      </c>
      <c r="X6114" s="12">
        <f>IF(LEFT(I6114,2)="MV",2*N6114*IF(L6114="1/C",O6114,1),0)</f>
        <v/>
      </c>
      <c r="Y6114" s="12">
        <f>IF(OR(LEFT(K6114,4)="LVAX",LEFT(K6114,6)="MV15AX",LEFT(K6114,4)="CTAX",LEFT(K6114,2)="W|"),2*N6114*O6114,0)</f>
        <v/>
      </c>
      <c r="Z6114" s="12" t="inlineStr">
        <is>
          <t>VD 2.5 %</t>
        </is>
      </c>
      <c r="AA6114" s="12">
        <f>N6114*O6114</f>
        <v/>
      </c>
    </row>
    <row r="6115">
      <c r="A6115" s="12" t="inlineStr">
        <is>
          <t>K-P-0005</t>
        </is>
      </c>
      <c r="B6115" s="12" t="inlineStr">
        <is>
          <t>K</t>
        </is>
      </c>
      <c r="C6115" s="12" t="inlineStr">
        <is>
          <t>Fuel supply (adjacent market)</t>
        </is>
      </c>
      <c r="D6115" s="12" t="inlineStr">
        <is>
          <t>Motor 1 of 1, 15 kW</t>
        </is>
      </c>
      <c r="E6115" s="12" t="inlineStr"/>
      <c r="F6115" s="12" t="inlineStr">
        <is>
          <t>H2 20: 13.8 kV e-house</t>
        </is>
      </c>
      <c r="G6115" s="12" t="inlineStr"/>
      <c r="H6115" s="12" t="inlineStr">
        <is>
          <t>H2 21: rectifier transformer 3 (7 MVA)</t>
        </is>
      </c>
      <c r="I6115" s="12" t="inlineStr">
        <is>
          <t>LV 600 V</t>
        </is>
      </c>
      <c r="J6115" s="12" t="inlineStr">
        <is>
          <t>ARMOR-X MC-HL 600 V 3/C Cu XHHW-2 + ground, CWA, black PVC (Class I Div 2)</t>
        </is>
      </c>
      <c r="K6115" s="12" t="inlineStr">
        <is>
          <t>LVAX|3/C+G|8</t>
        </is>
      </c>
      <c r="L6115" s="12" t="inlineStr">
        <is>
          <t>3/C+G</t>
        </is>
      </c>
      <c r="M6115" s="12" t="inlineStr">
        <is>
          <t>8</t>
        </is>
      </c>
      <c r="N6115" s="12" t="n">
        <v>1</v>
      </c>
      <c r="O6115" s="12" t="n">
        <v>1</v>
      </c>
      <c r="P6115" s="12" t="n">
        <v>480</v>
      </c>
      <c r="Q6115" s="12" t="n">
        <v>15</v>
      </c>
      <c r="R6115" s="12" t="n">
        <v>21.2</v>
      </c>
      <c r="S6115" s="12" t="inlineStr">
        <is>
          <t>Duct bank</t>
        </is>
      </c>
      <c r="T6115" s="17" t="n">
        <v>334</v>
      </c>
      <c r="U6115" s="17" t="n">
        <v>32</v>
      </c>
      <c r="V6115" s="17">
        <f>ROUNDUP((T6115+U6115+2*'Read Me'!$B$13)*(1+'Read Me'!$B$12),-1)</f>
        <v/>
      </c>
      <c r="W6115" s="17">
        <f>V6115*N6115*O6115</f>
        <v/>
      </c>
      <c r="X6115" s="12">
        <f>IF(LEFT(I6115,2)="MV",2*N6115*IF(L6115="1/C",O6115,1),0)</f>
        <v/>
      </c>
      <c r="Y6115" s="12">
        <f>IF(OR(LEFT(K6115,4)="LVAX",LEFT(K6115,6)="MV15AX",LEFT(K6115,4)="CTAX",LEFT(K6115,2)="W|"),2*N6115*O6115,0)</f>
        <v/>
      </c>
      <c r="Z6115" s="12" t="inlineStr">
        <is>
          <t>VD 2.4 %</t>
        </is>
      </c>
      <c r="AA6115" s="12">
        <f>N6115*O6115</f>
        <v/>
      </c>
    </row>
    <row r="6116">
      <c r="A6116" s="12" t="inlineStr">
        <is>
          <t>K-P-0006</t>
        </is>
      </c>
      <c r="B6116" s="12" t="inlineStr">
        <is>
          <t>K</t>
        </is>
      </c>
      <c r="C6116" s="12" t="inlineStr">
        <is>
          <t>Fuel supply (adjacent market)</t>
        </is>
      </c>
      <c r="D6116" s="12" t="inlineStr">
        <is>
          <t>Motor 1 of 1, 15 kW</t>
        </is>
      </c>
      <c r="E6116" s="12" t="inlineStr"/>
      <c r="F6116" s="12" t="inlineStr">
        <is>
          <t>H2 20: 13.8 kV e-house</t>
        </is>
      </c>
      <c r="G6116" s="12" t="inlineStr"/>
      <c r="H6116" s="12" t="inlineStr">
        <is>
          <t>H2 21: rectifier transformer 4 (7 MVA)</t>
        </is>
      </c>
      <c r="I6116" s="12" t="inlineStr">
        <is>
          <t>LV 600 V</t>
        </is>
      </c>
      <c r="J6116" s="12" t="inlineStr">
        <is>
          <t>ARMOR-X MC-HL 600 V 3/C Cu XHHW-2 + ground, CWA, black PVC (Class I Div 2)</t>
        </is>
      </c>
      <c r="K6116" s="12" t="inlineStr">
        <is>
          <t>LVAX|3/C+G|8</t>
        </is>
      </c>
      <c r="L6116" s="12" t="inlineStr">
        <is>
          <t>3/C+G</t>
        </is>
      </c>
      <c r="M6116" s="12" t="inlineStr">
        <is>
          <t>8</t>
        </is>
      </c>
      <c r="N6116" s="12" t="n">
        <v>1</v>
      </c>
      <c r="O6116" s="12" t="n">
        <v>1</v>
      </c>
      <c r="P6116" s="12" t="n">
        <v>480</v>
      </c>
      <c r="Q6116" s="12" t="n">
        <v>15</v>
      </c>
      <c r="R6116" s="12" t="n">
        <v>21.2</v>
      </c>
      <c r="S6116" s="12" t="inlineStr">
        <is>
          <t>Duct bank</t>
        </is>
      </c>
      <c r="T6116" s="17" t="n">
        <v>312</v>
      </c>
      <c r="U6116" s="17" t="n">
        <v>32</v>
      </c>
      <c r="V6116" s="17">
        <f>ROUNDUP((T6116+U6116+2*'Read Me'!$B$13)*(1+'Read Me'!$B$12),-1)</f>
        <v/>
      </c>
      <c r="W6116" s="17">
        <f>V6116*N6116*O6116</f>
        <v/>
      </c>
      <c r="X6116" s="12">
        <f>IF(LEFT(I6116,2)="MV",2*N6116*IF(L6116="1/C",O6116,1),0)</f>
        <v/>
      </c>
      <c r="Y6116" s="12">
        <f>IF(OR(LEFT(K6116,4)="LVAX",LEFT(K6116,6)="MV15AX",LEFT(K6116,4)="CTAX",LEFT(K6116,2)="W|"),2*N6116*O6116,0)</f>
        <v/>
      </c>
      <c r="Z6116" s="12" t="inlineStr">
        <is>
          <t>VD 2.2 %</t>
        </is>
      </c>
      <c r="AA6116" s="12">
        <f>N6116*O6116</f>
        <v/>
      </c>
    </row>
    <row r="6117">
      <c r="A6117" s="12" t="inlineStr">
        <is>
          <t>K-P-0007</t>
        </is>
      </c>
      <c r="B6117" s="12" t="inlineStr">
        <is>
          <t>K</t>
        </is>
      </c>
      <c r="C6117" s="12" t="inlineStr">
        <is>
          <t>Fuel supply (adjacent market)</t>
        </is>
      </c>
      <c r="D6117" s="12" t="inlineStr">
        <is>
          <t>Motor 1 of 1, 15 kW</t>
        </is>
      </c>
      <c r="E6117" s="12" t="inlineStr"/>
      <c r="F6117" s="12" t="inlineStr">
        <is>
          <t>H2 20: 13.8 kV e-house</t>
        </is>
      </c>
      <c r="G6117" s="12" t="inlineStr"/>
      <c r="H6117" s="12" t="inlineStr">
        <is>
          <t>H2 21: rectifier transformer 5 (7 MVA)</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7" t="n">
        <v>254</v>
      </c>
      <c r="U6117" s="17" t="n">
        <v>32</v>
      </c>
      <c r="V6117" s="17">
        <f>ROUNDUP((T6117+U6117+2*'Read Me'!$B$13)*(1+'Read Me'!$B$12),-1)</f>
        <v/>
      </c>
      <c r="W6117" s="17">
        <f>V6117*N6117*O6117</f>
        <v/>
      </c>
      <c r="X6117" s="12">
        <f>IF(LEFT(I6117,2)="MV",2*N6117*IF(L6117="1/C",O6117,1),0)</f>
        <v/>
      </c>
      <c r="Y6117" s="12">
        <f>IF(OR(LEFT(K6117,4)="LVAX",LEFT(K6117,6)="MV15AX",LEFT(K6117,4)="CTAX",LEFT(K6117,2)="W|"),2*N6117*O6117,0)</f>
        <v/>
      </c>
      <c r="Z6117" s="12" t="inlineStr">
        <is>
          <t>VD 2.9 %</t>
        </is>
      </c>
      <c r="AA6117" s="12">
        <f>N6117*O6117</f>
        <v/>
      </c>
    </row>
    <row r="6118">
      <c r="A6118" s="12" t="inlineStr">
        <is>
          <t>K-P-0008</t>
        </is>
      </c>
      <c r="B6118" s="12" t="inlineStr">
        <is>
          <t>K</t>
        </is>
      </c>
      <c r="C6118" s="12" t="inlineStr">
        <is>
          <t>Fuel supply (adjacent market)</t>
        </is>
      </c>
      <c r="D6118" s="12" t="inlineStr">
        <is>
          <t>Motor 1 of 1, 15 kW</t>
        </is>
      </c>
      <c r="E6118" s="12" t="inlineStr"/>
      <c r="F6118" s="12" t="inlineStr">
        <is>
          <t>H2 20: 13.8 kV e-house</t>
        </is>
      </c>
      <c r="G6118" s="12" t="inlineStr">
        <is>
          <t>H2-EL</t>
        </is>
      </c>
      <c r="H6118" s="12" t="inlineStr">
        <is>
          <t>H2 22: electrolyzer building (5 x HyLYZER-1000 + 5 rectifiers)</t>
        </is>
      </c>
      <c r="I6118" s="12" t="inlineStr">
        <is>
          <t>LV 600 V</t>
        </is>
      </c>
      <c r="J6118" s="12" t="inlineStr">
        <is>
          <t>ARMOR-X MC-HL 600 V 3/C Cu XHHW-2 + ground, CWA, black PVC (Class I Div 2)</t>
        </is>
      </c>
      <c r="K6118" s="12" t="inlineStr">
        <is>
          <t>LVAX|3/C+G|8</t>
        </is>
      </c>
      <c r="L6118" s="12" t="inlineStr">
        <is>
          <t>3/C+G</t>
        </is>
      </c>
      <c r="M6118" s="12" t="inlineStr">
        <is>
          <t>8</t>
        </is>
      </c>
      <c r="N6118" s="12" t="n">
        <v>1</v>
      </c>
      <c r="O6118" s="12" t="n">
        <v>1</v>
      </c>
      <c r="P6118" s="12" t="n">
        <v>480</v>
      </c>
      <c r="Q6118" s="12" t="n">
        <v>15</v>
      </c>
      <c r="R6118" s="12" t="n">
        <v>21.2</v>
      </c>
      <c r="S6118" s="12" t="inlineStr">
        <is>
          <t>Duct bank</t>
        </is>
      </c>
      <c r="T6118" s="17" t="n">
        <v>346</v>
      </c>
      <c r="U6118" s="17" t="n">
        <v>32</v>
      </c>
      <c r="V6118" s="17">
        <f>ROUNDUP((T6118+U6118+2*'Read Me'!$B$13)*(1+'Read Me'!$B$12),-1)</f>
        <v/>
      </c>
      <c r="W6118" s="17">
        <f>V6118*N6118*O6118</f>
        <v/>
      </c>
      <c r="X6118" s="12">
        <f>IF(LEFT(I6118,2)="MV",2*N6118*IF(L6118="1/C",O6118,1),0)</f>
        <v/>
      </c>
      <c r="Y6118" s="12">
        <f>IF(OR(LEFT(K6118,4)="LVAX",LEFT(K6118,6)="MV15AX",LEFT(K6118,4)="CTAX",LEFT(K6118,2)="W|"),2*N6118*O6118,0)</f>
        <v/>
      </c>
      <c r="Z6118" s="12" t="inlineStr">
        <is>
          <t>VD 2.4 %</t>
        </is>
      </c>
      <c r="AA6118" s="12">
        <f>N6118*O6118</f>
        <v/>
      </c>
    </row>
    <row r="6119">
      <c r="A6119" s="12" t="inlineStr">
        <is>
          <t>K-P-0009</t>
        </is>
      </c>
      <c r="B6119" s="12" t="inlineStr">
        <is>
          <t>K</t>
        </is>
      </c>
      <c r="C6119" s="12" t="inlineStr">
        <is>
          <t>Fuel supply (adjacent market)</t>
        </is>
      </c>
      <c r="D6119" s="12" t="inlineStr">
        <is>
          <t>Motor 1 of 1, 15 kW</t>
        </is>
      </c>
      <c r="E6119" s="12" t="inlineStr"/>
      <c r="F6119" s="12" t="inlineStr">
        <is>
          <t>H2 20: 13.8 kV e-house</t>
        </is>
      </c>
      <c r="G6119" s="12" t="inlineStr"/>
      <c r="H6119" s="12" t="inlineStr">
        <is>
          <t>H2 23: dry coolers</t>
        </is>
      </c>
      <c r="I6119" s="12" t="inlineStr">
        <is>
          <t>LV 600 V</t>
        </is>
      </c>
      <c r="J6119" s="12" t="inlineStr">
        <is>
          <t>ARMOR-X MC-HL 600 V 3/C Cu XHHW-2 + ground, CWA, black PVC (Class I Div 2)</t>
        </is>
      </c>
      <c r="K6119" s="12" t="inlineStr">
        <is>
          <t>LVAX|3/C+G|10</t>
        </is>
      </c>
      <c r="L6119" s="12" t="inlineStr">
        <is>
          <t>3/C+G</t>
        </is>
      </c>
      <c r="M6119" s="12" t="inlineStr">
        <is>
          <t>10</t>
        </is>
      </c>
      <c r="N6119" s="12" t="n">
        <v>1</v>
      </c>
      <c r="O6119" s="12" t="n">
        <v>1</v>
      </c>
      <c r="P6119" s="12" t="n">
        <v>480</v>
      </c>
      <c r="Q6119" s="12" t="n">
        <v>15</v>
      </c>
      <c r="R6119" s="12" t="n">
        <v>21.2</v>
      </c>
      <c r="S6119" s="12" t="inlineStr">
        <is>
          <t>Duct bank</t>
        </is>
      </c>
      <c r="T6119" s="17" t="n">
        <v>100</v>
      </c>
      <c r="U6119" s="17" t="n">
        <v>32</v>
      </c>
      <c r="V6119" s="17">
        <f>ROUNDUP((T6119+U6119+2*'Read Me'!$B$13)*(1+'Read Me'!$B$12),-1)</f>
        <v/>
      </c>
      <c r="W6119" s="17">
        <f>V6119*N6119*O6119</f>
        <v/>
      </c>
      <c r="X6119" s="12">
        <f>IF(LEFT(I6119,2)="MV",2*N6119*IF(L6119="1/C",O6119,1),0)</f>
        <v/>
      </c>
      <c r="Y6119" s="12">
        <f>IF(OR(LEFT(K6119,4)="LVAX",LEFT(K6119,6)="MV15AX",LEFT(K6119,4)="CTAX",LEFT(K6119,2)="W|"),2*N6119*O6119,0)</f>
        <v/>
      </c>
      <c r="Z6119" s="12" t="inlineStr">
        <is>
          <t>VD 1.3 %</t>
        </is>
      </c>
      <c r="AA6119" s="12">
        <f>N6119*O6119</f>
        <v/>
      </c>
    </row>
    <row r="6120">
      <c r="A6120" s="12" t="inlineStr">
        <is>
          <t>K-P-0010</t>
        </is>
      </c>
      <c r="B6120" s="12" t="inlineStr">
        <is>
          <t>K</t>
        </is>
      </c>
      <c r="C6120" s="12" t="inlineStr">
        <is>
          <t>Fuel supply (adjacent market)</t>
        </is>
      </c>
      <c r="D6120" s="12" t="inlineStr">
        <is>
          <t>Motor 1 of 1, 15 kW</t>
        </is>
      </c>
      <c r="E6120" s="12" t="inlineStr"/>
      <c r="F6120" s="12" t="inlineStr">
        <is>
          <t>H2 20: 13.8 kV e-house</t>
        </is>
      </c>
      <c r="G6120" s="12" t="inlineStr"/>
      <c r="H6120" s="12" t="inlineStr">
        <is>
          <t>H2 24: water purification (RO / EDI)</t>
        </is>
      </c>
      <c r="I6120" s="12" t="inlineStr">
        <is>
          <t>LV 600 V</t>
        </is>
      </c>
      <c r="J6120" s="12" t="inlineStr">
        <is>
          <t>ARMOR-X MC-HL 600 V 3/C Cu XHHW-2 + ground, CWA, black PVC (Class I Div 2)</t>
        </is>
      </c>
      <c r="K6120" s="12" t="inlineStr">
        <is>
          <t>LVAX|3/C+G|10</t>
        </is>
      </c>
      <c r="L6120" s="12" t="inlineStr">
        <is>
          <t>3/C+G</t>
        </is>
      </c>
      <c r="M6120" s="12" t="inlineStr">
        <is>
          <t>10</t>
        </is>
      </c>
      <c r="N6120" s="12" t="n">
        <v>1</v>
      </c>
      <c r="O6120" s="12" t="n">
        <v>1</v>
      </c>
      <c r="P6120" s="12" t="n">
        <v>480</v>
      </c>
      <c r="Q6120" s="12" t="n">
        <v>15</v>
      </c>
      <c r="R6120" s="12" t="n">
        <v>21.2</v>
      </c>
      <c r="S6120" s="12" t="inlineStr">
        <is>
          <t>Duct bank</t>
        </is>
      </c>
      <c r="T6120" s="17" t="n">
        <v>146</v>
      </c>
      <c r="U6120" s="17" t="n">
        <v>32</v>
      </c>
      <c r="V6120" s="17">
        <f>ROUNDUP((T6120+U6120+2*'Read Me'!$B$13)*(1+'Read Me'!$B$12),-1)</f>
        <v/>
      </c>
      <c r="W6120" s="17">
        <f>V6120*N6120*O6120</f>
        <v/>
      </c>
      <c r="X6120" s="12">
        <f>IF(LEFT(I6120,2)="MV",2*N6120*IF(L6120="1/C",O6120,1),0)</f>
        <v/>
      </c>
      <c r="Y6120" s="12">
        <f>IF(OR(LEFT(K6120,4)="LVAX",LEFT(K6120,6)="MV15AX",LEFT(K6120,4)="CTAX",LEFT(K6120,2)="W|"),2*N6120*O6120,0)</f>
        <v/>
      </c>
      <c r="Z6120" s="12" t="inlineStr">
        <is>
          <t>VD 1.8 %</t>
        </is>
      </c>
      <c r="AA6120" s="12">
        <f>N6120*O6120</f>
        <v/>
      </c>
    </row>
    <row r="6121">
      <c r="A6121" s="12" t="inlineStr">
        <is>
          <t>K-P-0011</t>
        </is>
      </c>
      <c r="B6121" s="12" t="inlineStr">
        <is>
          <t>K</t>
        </is>
      </c>
      <c r="C6121" s="12" t="inlineStr">
        <is>
          <t>Fuel supply (adjacent market)</t>
        </is>
      </c>
      <c r="D6121" s="12" t="inlineStr">
        <is>
          <t>Motor 1 of 1, 15 kW</t>
        </is>
      </c>
      <c r="E6121" s="12" t="inlineStr"/>
      <c r="F6121" s="12" t="inlineStr">
        <is>
          <t>H2 20: 13.8 kV e-house</t>
        </is>
      </c>
      <c r="G6121" s="12" t="inlineStr"/>
      <c r="H6121" s="12" t="inlineStr">
        <is>
          <t>H2 25: H2 dryer / purification</t>
        </is>
      </c>
      <c r="I6121" s="12" t="inlineStr">
        <is>
          <t>LV 600 V</t>
        </is>
      </c>
      <c r="J6121" s="12" t="inlineStr">
        <is>
          <t>ARMOR-X MC-HL 600 V 3/C Cu XHHW-2 + ground, CWA, black PVC (Class I Div 2)</t>
        </is>
      </c>
      <c r="K6121" s="12" t="inlineStr">
        <is>
          <t>LVAX|3/C+G|10</t>
        </is>
      </c>
      <c r="L6121" s="12" t="inlineStr">
        <is>
          <t>3/C+G</t>
        </is>
      </c>
      <c r="M6121" s="12" t="inlineStr">
        <is>
          <t>10</t>
        </is>
      </c>
      <c r="N6121" s="12" t="n">
        <v>1</v>
      </c>
      <c r="O6121" s="12" t="n">
        <v>1</v>
      </c>
      <c r="P6121" s="12" t="n">
        <v>480</v>
      </c>
      <c r="Q6121" s="12" t="n">
        <v>15</v>
      </c>
      <c r="R6121" s="12" t="n">
        <v>21.2</v>
      </c>
      <c r="S6121" s="12" t="inlineStr">
        <is>
          <t>Duct bank</t>
        </is>
      </c>
      <c r="T6121" s="17" t="n">
        <v>0</v>
      </c>
      <c r="U6121" s="17" t="n">
        <v>49</v>
      </c>
      <c r="V6121" s="17">
        <f>ROUNDUP((T6121+U6121+2*'Read Me'!$B$13)*(1+'Read Me'!$B$12),-1)</f>
        <v/>
      </c>
      <c r="W6121" s="17">
        <f>V6121*N6121*O6121</f>
        <v/>
      </c>
      <c r="X6121" s="12">
        <f>IF(LEFT(I6121,2)="MV",2*N6121*IF(L6121="1/C",O6121,1),0)</f>
        <v/>
      </c>
      <c r="Y6121" s="12">
        <f>IF(OR(LEFT(K6121,4)="LVAX",LEFT(K6121,6)="MV15AX",LEFT(K6121,4)="CTAX",LEFT(K6121,2)="W|"),2*N6121*O6121,0)</f>
        <v/>
      </c>
      <c r="Z6121" s="12" t="inlineStr">
        <is>
          <t>VD 0.5 %</t>
        </is>
      </c>
      <c r="AA6121" s="12">
        <f>N6121*O6121</f>
        <v/>
      </c>
    </row>
    <row r="6122">
      <c r="A6122" s="12" t="inlineStr">
        <is>
          <t>K-P-0012</t>
        </is>
      </c>
      <c r="B6122" s="12" t="inlineStr">
        <is>
          <t>K</t>
        </is>
      </c>
      <c r="C6122" s="12" t="inlineStr">
        <is>
          <t>Fuel supply (adjacent market)</t>
        </is>
      </c>
      <c r="D6122" s="12" t="inlineStr">
        <is>
          <t>Motor 1 of 1, 15 kW</t>
        </is>
      </c>
      <c r="E6122" s="12" t="inlineStr"/>
      <c r="F6122" s="12" t="inlineStr">
        <is>
          <t>H2 20: 13.8 kV e-house</t>
        </is>
      </c>
      <c r="G6122" s="12" t="inlineStr"/>
      <c r="H6122" s="12" t="inlineStr">
        <is>
          <t>H2 26: H2 compressor 1 (40 ft ISO)</t>
        </is>
      </c>
      <c r="I6122" s="12" t="inlineStr">
        <is>
          <t>LV 600 V</t>
        </is>
      </c>
      <c r="J6122" s="12" t="inlineStr">
        <is>
          <t>ARMOR-X MC-HL 600 V 3/C Cu XHHW-2 + ground, CWA, black PVC (Class I Div 2)</t>
        </is>
      </c>
      <c r="K6122" s="12" t="inlineStr">
        <is>
          <t>LVAX|3/C+G|10</t>
        </is>
      </c>
      <c r="L6122" s="12" t="inlineStr">
        <is>
          <t>3/C+G</t>
        </is>
      </c>
      <c r="M6122" s="12" t="inlineStr">
        <is>
          <t>10</t>
        </is>
      </c>
      <c r="N6122" s="12" t="n">
        <v>1</v>
      </c>
      <c r="O6122" s="12" t="n">
        <v>1</v>
      </c>
      <c r="P6122" s="12" t="n">
        <v>480</v>
      </c>
      <c r="Q6122" s="12" t="n">
        <v>15</v>
      </c>
      <c r="R6122" s="12" t="n">
        <v>21.2</v>
      </c>
      <c r="S6122" s="12" t="inlineStr">
        <is>
          <t>Duct bank</t>
        </is>
      </c>
      <c r="T6122" s="17" t="n">
        <v>50</v>
      </c>
      <c r="U6122" s="17" t="n">
        <v>32</v>
      </c>
      <c r="V6122" s="17">
        <f>ROUNDUP((T6122+U6122+2*'Read Me'!$B$13)*(1+'Read Me'!$B$12),-1)</f>
        <v/>
      </c>
      <c r="W6122" s="17">
        <f>V6122*N6122*O6122</f>
        <v/>
      </c>
      <c r="X6122" s="12">
        <f>IF(LEFT(I6122,2)="MV",2*N6122*IF(L6122="1/C",O6122,1),0)</f>
        <v/>
      </c>
      <c r="Y6122" s="12">
        <f>IF(OR(LEFT(K6122,4)="LVAX",LEFT(K6122,6)="MV15AX",LEFT(K6122,4)="CTAX",LEFT(K6122,2)="W|"),2*N6122*O6122,0)</f>
        <v/>
      </c>
      <c r="Z6122" s="12" t="inlineStr">
        <is>
          <t>VD 0.8 %</t>
        </is>
      </c>
      <c r="AA6122" s="12">
        <f>N6122*O6122</f>
        <v/>
      </c>
    </row>
    <row r="6123">
      <c r="A6123" s="12" t="inlineStr">
        <is>
          <t>K-P-0013</t>
        </is>
      </c>
      <c r="B6123" s="12" t="inlineStr">
        <is>
          <t>K</t>
        </is>
      </c>
      <c r="C6123" s="12" t="inlineStr">
        <is>
          <t>Fuel supply (adjacent market)</t>
        </is>
      </c>
      <c r="D6123" s="12" t="inlineStr">
        <is>
          <t>Motor 1 of 1, 15 kW</t>
        </is>
      </c>
      <c r="E6123" s="12" t="inlineStr"/>
      <c r="F6123" s="12" t="inlineStr">
        <is>
          <t>H2 20: 13.8 kV e-house</t>
        </is>
      </c>
      <c r="G6123" s="12" t="inlineStr"/>
      <c r="H6123" s="12" t="inlineStr">
        <is>
          <t>H2 26: H2 compressor 2 (40 ft ISO)</t>
        </is>
      </c>
      <c r="I6123" s="12" t="inlineStr">
        <is>
          <t>LV 600 V</t>
        </is>
      </c>
      <c r="J6123" s="12" t="inlineStr">
        <is>
          <t>ARMOR-X MC-HL 600 V 3/C Cu XHHW-2 + ground, CWA, black PVC (Class I Div 2)</t>
        </is>
      </c>
      <c r="K6123" s="12" t="inlineStr">
        <is>
          <t>LVAX|3/C+G|10</t>
        </is>
      </c>
      <c r="L6123" s="12" t="inlineStr">
        <is>
          <t>3/C+G</t>
        </is>
      </c>
      <c r="M6123" s="12" t="inlineStr">
        <is>
          <t>10</t>
        </is>
      </c>
      <c r="N6123" s="12" t="n">
        <v>1</v>
      </c>
      <c r="O6123" s="12" t="n">
        <v>1</v>
      </c>
      <c r="P6123" s="12" t="n">
        <v>480</v>
      </c>
      <c r="Q6123" s="12" t="n">
        <v>15</v>
      </c>
      <c r="R6123" s="12" t="n">
        <v>21.2</v>
      </c>
      <c r="S6123" s="12" t="inlineStr">
        <is>
          <t>Duct bank</t>
        </is>
      </c>
      <c r="T6123" s="17" t="n">
        <v>50</v>
      </c>
      <c r="U6123" s="17" t="n">
        <v>47</v>
      </c>
      <c r="V6123" s="17">
        <f>ROUNDUP((T6123+U6123+2*'Read Me'!$B$13)*(1+'Read Me'!$B$12),-1)</f>
        <v/>
      </c>
      <c r="W6123" s="17">
        <f>V6123*N6123*O6123</f>
        <v/>
      </c>
      <c r="X6123" s="12">
        <f>IF(LEFT(I6123,2)="MV",2*N6123*IF(L6123="1/C",O6123,1),0)</f>
        <v/>
      </c>
      <c r="Y6123" s="12">
        <f>IF(OR(LEFT(K6123,4)="LVAX",LEFT(K6123,6)="MV15AX",LEFT(K6123,4)="CTAX",LEFT(K6123,2)="W|"),2*N6123*O6123,0)</f>
        <v/>
      </c>
      <c r="Z6123" s="12" t="inlineStr">
        <is>
          <t>VD 1.0 %</t>
        </is>
      </c>
      <c r="AA6123" s="12">
        <f>N6123*O6123</f>
        <v/>
      </c>
    </row>
    <row r="6124">
      <c r="A6124" s="12" t="inlineStr">
        <is>
          <t>K-P-0014</t>
        </is>
      </c>
      <c r="B6124" s="12" t="inlineStr">
        <is>
          <t>K</t>
        </is>
      </c>
      <c r="C6124" s="12" t="inlineStr">
        <is>
          <t>Fuel supply (adjacent market)</t>
        </is>
      </c>
      <c r="D6124" s="12" t="inlineStr">
        <is>
          <t>Motor 1 of 1, 15 kW</t>
        </is>
      </c>
      <c r="E6124" s="12" t="inlineStr"/>
      <c r="F6124" s="12" t="inlineStr">
        <is>
          <t>H2 20: 13.8 kV e-house</t>
        </is>
      </c>
      <c r="G6124" s="12" t="inlineStr"/>
      <c r="H6124" s="12" t="inlineStr">
        <is>
          <t>H2 27: storage tube bank (~40 ft tubes)</t>
        </is>
      </c>
      <c r="I6124" s="12" t="inlineStr">
        <is>
          <t>LV 600 V</t>
        </is>
      </c>
      <c r="J6124" s="12" t="inlineStr">
        <is>
          <t>ARMOR-X MC-HL 600 V 3/C Cu XHHW-2 + ground, CWA, black PVC (Class I Div 2)</t>
        </is>
      </c>
      <c r="K6124" s="12" t="inlineStr">
        <is>
          <t>LVAX|3/C+G|10</t>
        </is>
      </c>
      <c r="L6124" s="12" t="inlineStr">
        <is>
          <t>3/C+G</t>
        </is>
      </c>
      <c r="M6124" s="12" t="inlineStr">
        <is>
          <t>10</t>
        </is>
      </c>
      <c r="N6124" s="12" t="n">
        <v>1</v>
      </c>
      <c r="O6124" s="12" t="n">
        <v>1</v>
      </c>
      <c r="P6124" s="12" t="n">
        <v>480</v>
      </c>
      <c r="Q6124" s="12" t="n">
        <v>15</v>
      </c>
      <c r="R6124" s="12" t="n">
        <v>21.2</v>
      </c>
      <c r="S6124" s="12" t="inlineStr">
        <is>
          <t>Duct bank</t>
        </is>
      </c>
      <c r="T6124" s="17" t="n">
        <v>50</v>
      </c>
      <c r="U6124" s="17" t="n">
        <v>97</v>
      </c>
      <c r="V6124" s="17">
        <f>ROUNDUP((T6124+U6124+2*'Read Me'!$B$13)*(1+'Read Me'!$B$12),-1)</f>
        <v/>
      </c>
      <c r="W6124" s="17">
        <f>V6124*N6124*O6124</f>
        <v/>
      </c>
      <c r="X6124" s="12">
        <f>IF(LEFT(I6124,2)="MV",2*N6124*IF(L6124="1/C",O6124,1),0)</f>
        <v/>
      </c>
      <c r="Y6124" s="12">
        <f>IF(OR(LEFT(K6124,4)="LVAX",LEFT(K6124,6)="MV15AX",LEFT(K6124,4)="CTAX",LEFT(K6124,2)="W|"),2*N6124*O6124,0)</f>
        <v/>
      </c>
      <c r="Z6124" s="12" t="inlineStr">
        <is>
          <t>VD 1.5 %</t>
        </is>
      </c>
      <c r="AA6124" s="12">
        <f>N6124*O6124</f>
        <v/>
      </c>
    </row>
    <row r="6125">
      <c r="A6125" s="12" t="inlineStr">
        <is>
          <t>K-P-0015</t>
        </is>
      </c>
      <c r="B6125" s="12" t="inlineStr">
        <is>
          <t>K</t>
        </is>
      </c>
      <c r="C6125" s="12" t="inlineStr">
        <is>
          <t>Fuel supply (adjacent market)</t>
        </is>
      </c>
      <c r="D6125" s="12" t="inlineStr">
        <is>
          <t>Motor 1 of 1, 15 kW</t>
        </is>
      </c>
      <c r="E6125" s="12" t="inlineStr"/>
      <c r="F6125" s="12" t="inlineStr">
        <is>
          <t>H2 20: 13.8 kV e-house</t>
        </is>
      </c>
      <c r="G6125" s="12" t="inlineStr"/>
      <c r="H6125" s="12" t="inlineStr">
        <is>
          <t>H2 27: storage tube bank (~40 ft tubes)</t>
        </is>
      </c>
      <c r="I6125" s="12" t="inlineStr">
        <is>
          <t>LV 600 V</t>
        </is>
      </c>
      <c r="J6125" s="12" t="inlineStr">
        <is>
          <t>ARMOR-X MC-HL 600 V 3/C Cu XHHW-2 + ground, CWA, black PVC (Class I Div 2)</t>
        </is>
      </c>
      <c r="K6125" s="12" t="inlineStr">
        <is>
          <t>LVAX|3/C+G|10</t>
        </is>
      </c>
      <c r="L6125" s="12" t="inlineStr">
        <is>
          <t>3/C+G</t>
        </is>
      </c>
      <c r="M6125" s="12" t="inlineStr">
        <is>
          <t>10</t>
        </is>
      </c>
      <c r="N6125" s="12" t="n">
        <v>1</v>
      </c>
      <c r="O6125" s="12" t="n">
        <v>1</v>
      </c>
      <c r="P6125" s="12" t="n">
        <v>480</v>
      </c>
      <c r="Q6125" s="12" t="n">
        <v>15</v>
      </c>
      <c r="R6125" s="12" t="n">
        <v>21.2</v>
      </c>
      <c r="S6125" s="12" t="inlineStr">
        <is>
          <t>Duct bank</t>
        </is>
      </c>
      <c r="T6125" s="17" t="n">
        <v>50</v>
      </c>
      <c r="U6125" s="17" t="n">
        <v>117</v>
      </c>
      <c r="V6125" s="17">
        <f>ROUNDUP((T6125+U6125+2*'Read Me'!$B$13)*(1+'Read Me'!$B$12),-1)</f>
        <v/>
      </c>
      <c r="W6125" s="17">
        <f>V6125*N6125*O6125</f>
        <v/>
      </c>
      <c r="X6125" s="12">
        <f>IF(LEFT(I6125,2)="MV",2*N6125*IF(L6125="1/C",O6125,1),0)</f>
        <v/>
      </c>
      <c r="Y6125" s="12">
        <f>IF(OR(LEFT(K6125,4)="LVAX",LEFT(K6125,6)="MV15AX",LEFT(K6125,4)="CTAX",LEFT(K6125,2)="W|"),2*N6125*O6125,0)</f>
        <v/>
      </c>
      <c r="Z6125" s="12" t="inlineStr">
        <is>
          <t>VD 1.7 %</t>
        </is>
      </c>
      <c r="AA6125" s="12">
        <f>N6125*O6125</f>
        <v/>
      </c>
    </row>
    <row r="6126">
      <c r="A6126" s="12" t="inlineStr">
        <is>
          <t>K-P-0016</t>
        </is>
      </c>
      <c r="B6126" s="12" t="inlineStr">
        <is>
          <t>K</t>
        </is>
      </c>
      <c r="C6126" s="12" t="inlineStr">
        <is>
          <t>Fuel supply (adjacent market)</t>
        </is>
      </c>
      <c r="D6126" s="12" t="inlineStr">
        <is>
          <t>Motor 1 of 1, 15 kW</t>
        </is>
      </c>
      <c r="E6126" s="12" t="inlineStr"/>
      <c r="F6126" s="12" t="inlineStr">
        <is>
          <t>H2 20: 13.8 kV e-house</t>
        </is>
      </c>
      <c r="G6126" s="12" t="inlineStr"/>
      <c r="H6126" s="12" t="inlineStr">
        <is>
          <t>H2 27: storage tube bank (~40 ft tubes)</t>
        </is>
      </c>
      <c r="I6126" s="12" t="inlineStr">
        <is>
          <t>LV 600 V</t>
        </is>
      </c>
      <c r="J6126" s="12" t="inlineStr">
        <is>
          <t>ARMOR-X MC-HL 600 V 3/C Cu XHHW-2 + ground, CWA, black PVC (Class I Div 2)</t>
        </is>
      </c>
      <c r="K6126" s="12" t="inlineStr">
        <is>
          <t>LVAX|3/C+G|10</t>
        </is>
      </c>
      <c r="L6126" s="12" t="inlineStr">
        <is>
          <t>3/C+G</t>
        </is>
      </c>
      <c r="M6126" s="12" t="inlineStr">
        <is>
          <t>10</t>
        </is>
      </c>
      <c r="N6126" s="12" t="n">
        <v>1</v>
      </c>
      <c r="O6126" s="12" t="n">
        <v>1</v>
      </c>
      <c r="P6126" s="12" t="n">
        <v>480</v>
      </c>
      <c r="Q6126" s="12" t="n">
        <v>15</v>
      </c>
      <c r="R6126" s="12" t="n">
        <v>21.2</v>
      </c>
      <c r="S6126" s="12" t="inlineStr">
        <is>
          <t>Duct bank</t>
        </is>
      </c>
      <c r="T6126" s="17" t="n">
        <v>50</v>
      </c>
      <c r="U6126" s="17" t="n">
        <v>97</v>
      </c>
      <c r="V6126" s="17">
        <f>ROUNDUP((T6126+U6126+2*'Read Me'!$B$13)*(1+'Read Me'!$B$12),-1)</f>
        <v/>
      </c>
      <c r="W6126" s="17">
        <f>V6126*N6126*O6126</f>
        <v/>
      </c>
      <c r="X6126" s="12">
        <f>IF(LEFT(I6126,2)="MV",2*N6126*IF(L6126="1/C",O6126,1),0)</f>
        <v/>
      </c>
      <c r="Y6126" s="12">
        <f>IF(OR(LEFT(K6126,4)="LVAX",LEFT(K6126,6)="MV15AX",LEFT(K6126,4)="CTAX",LEFT(K6126,2)="W|"),2*N6126*O6126,0)</f>
        <v/>
      </c>
      <c r="Z6126" s="12" t="inlineStr">
        <is>
          <t>VD 1.5 %</t>
        </is>
      </c>
      <c r="AA6126" s="12">
        <f>N6126*O6126</f>
        <v/>
      </c>
    </row>
    <row r="6127">
      <c r="A6127" s="12" t="inlineStr">
        <is>
          <t>K-P-0017</t>
        </is>
      </c>
      <c r="B6127" s="12" t="inlineStr">
        <is>
          <t>K</t>
        </is>
      </c>
      <c r="C6127" s="12" t="inlineStr">
        <is>
          <t>Fuel supply (adjacent market)</t>
        </is>
      </c>
      <c r="D6127" s="12" t="inlineStr">
        <is>
          <t>Motor 1 of 1, 15 kW</t>
        </is>
      </c>
      <c r="E6127" s="12" t="inlineStr"/>
      <c r="F6127" s="12" t="inlineStr">
        <is>
          <t>H2 20: 13.8 kV e-house</t>
        </is>
      </c>
      <c r="G6127" s="12" t="inlineStr"/>
      <c r="H6127" s="12" t="inlineStr">
        <is>
          <t>H2 27: storage tube bank (~40 ft tubes)</t>
        </is>
      </c>
      <c r="I6127" s="12" t="inlineStr">
        <is>
          <t>LV 600 V</t>
        </is>
      </c>
      <c r="J6127" s="12" t="inlineStr">
        <is>
          <t>ARMOR-X MC-HL 600 V 3/C Cu XHHW-2 + ground, CWA, black PVC (Class I Div 2)</t>
        </is>
      </c>
      <c r="K6127" s="12" t="inlineStr">
        <is>
          <t>LVAX|3/C+G|10</t>
        </is>
      </c>
      <c r="L6127" s="12" t="inlineStr">
        <is>
          <t>3/C+G</t>
        </is>
      </c>
      <c r="M6127" s="12" t="inlineStr">
        <is>
          <t>10</t>
        </is>
      </c>
      <c r="N6127" s="12" t="n">
        <v>1</v>
      </c>
      <c r="O6127" s="12" t="n">
        <v>1</v>
      </c>
      <c r="P6127" s="12" t="n">
        <v>480</v>
      </c>
      <c r="Q6127" s="12" t="n">
        <v>15</v>
      </c>
      <c r="R6127" s="12" t="n">
        <v>21.2</v>
      </c>
      <c r="S6127" s="12" t="inlineStr">
        <is>
          <t>Duct bank</t>
        </is>
      </c>
      <c r="T6127" s="17" t="n">
        <v>50</v>
      </c>
      <c r="U6127" s="17" t="n">
        <v>117</v>
      </c>
      <c r="V6127" s="17">
        <f>ROUNDUP((T6127+U6127+2*'Read Me'!$B$13)*(1+'Read Me'!$B$12),-1)</f>
        <v/>
      </c>
      <c r="W6127" s="17">
        <f>V6127*N6127*O6127</f>
        <v/>
      </c>
      <c r="X6127" s="12">
        <f>IF(LEFT(I6127,2)="MV",2*N6127*IF(L6127="1/C",O6127,1),0)</f>
        <v/>
      </c>
      <c r="Y6127" s="12">
        <f>IF(OR(LEFT(K6127,4)="LVAX",LEFT(K6127,6)="MV15AX",LEFT(K6127,4)="CTAX",LEFT(K6127,2)="W|"),2*N6127*O6127,0)</f>
        <v/>
      </c>
      <c r="Z6127" s="12" t="inlineStr">
        <is>
          <t>VD 1.7 %</t>
        </is>
      </c>
      <c r="AA6127" s="12">
        <f>N6127*O6127</f>
        <v/>
      </c>
    </row>
    <row r="6128">
      <c r="A6128" s="12" t="inlineStr">
        <is>
          <t>K-P-0018</t>
        </is>
      </c>
      <c r="B6128" s="12" t="inlineStr">
        <is>
          <t>K</t>
        </is>
      </c>
      <c r="C6128" s="12" t="inlineStr">
        <is>
          <t>Fuel supply (adjacent market)</t>
        </is>
      </c>
      <c r="D6128" s="12" t="inlineStr">
        <is>
          <t>Motor 1 of 1, 15 kW</t>
        </is>
      </c>
      <c r="E6128" s="12" t="inlineStr"/>
      <c r="F6128" s="12" t="inlineStr">
        <is>
          <t>H2 20: 13.8 kV e-house</t>
        </is>
      </c>
      <c r="G6128" s="12" t="inlineStr"/>
      <c r="H6128" s="12" t="inlineStr">
        <is>
          <t>H2 28: N2 purge supply</t>
        </is>
      </c>
      <c r="I6128" s="12" t="inlineStr">
        <is>
          <t>LV 600 V</t>
        </is>
      </c>
      <c r="J6128" s="12" t="inlineStr">
        <is>
          <t>ARMOR-X MC-HL 600 V 3/C Cu XHHW-2 + ground, CWA, black PVC (Class I Div 2)</t>
        </is>
      </c>
      <c r="K6128" s="12" t="inlineStr">
        <is>
          <t>LVAX|3/C+G|10</t>
        </is>
      </c>
      <c r="L6128" s="12" t="inlineStr">
        <is>
          <t>3/C+G</t>
        </is>
      </c>
      <c r="M6128" s="12" t="inlineStr">
        <is>
          <t>10</t>
        </is>
      </c>
      <c r="N6128" s="12" t="n">
        <v>1</v>
      </c>
      <c r="O6128" s="12" t="n">
        <v>1</v>
      </c>
      <c r="P6128" s="12" t="n">
        <v>480</v>
      </c>
      <c r="Q6128" s="12" t="n">
        <v>15</v>
      </c>
      <c r="R6128" s="12" t="n">
        <v>21.2</v>
      </c>
      <c r="S6128" s="12" t="inlineStr">
        <is>
          <t>Duct bank</t>
        </is>
      </c>
      <c r="T6128" s="17" t="n">
        <v>53</v>
      </c>
      <c r="U6128" s="17" t="n">
        <v>36</v>
      </c>
      <c r="V6128" s="17">
        <f>ROUNDUP((T6128+U6128+2*'Read Me'!$B$13)*(1+'Read Me'!$B$12),-1)</f>
        <v/>
      </c>
      <c r="W6128" s="17">
        <f>V6128*N6128*O6128</f>
        <v/>
      </c>
      <c r="X6128" s="12">
        <f>IF(LEFT(I6128,2)="MV",2*N6128*IF(L6128="1/C",O6128,1),0)</f>
        <v/>
      </c>
      <c r="Y6128" s="12">
        <f>IF(OR(LEFT(K6128,4)="LVAX",LEFT(K6128,6)="MV15AX",LEFT(K6128,4)="CTAX",LEFT(K6128,2)="W|"),2*N6128*O6128,0)</f>
        <v/>
      </c>
      <c r="Z6128" s="12" t="inlineStr">
        <is>
          <t>VD 0.9 %</t>
        </is>
      </c>
      <c r="AA6128" s="12">
        <f>N6128*O6128</f>
        <v/>
      </c>
    </row>
    <row r="6129">
      <c r="A6129" s="12" t="inlineStr">
        <is>
          <t>K-P-0019</t>
        </is>
      </c>
      <c r="B6129" s="12" t="inlineStr">
        <is>
          <t>K</t>
        </is>
      </c>
      <c r="C6129" s="12" t="inlineStr">
        <is>
          <t>Fuel supply (adjacent market)</t>
        </is>
      </c>
      <c r="D6129" s="12" t="inlineStr">
        <is>
          <t>Motor 1 of 1, 15 kW</t>
        </is>
      </c>
      <c r="E6129" s="12" t="inlineStr"/>
      <c r="F6129" s="12" t="inlineStr">
        <is>
          <t>H2 20: 13.8 kV e-house</t>
        </is>
      </c>
      <c r="G6129" s="12" t="inlineStr"/>
      <c r="H6129" s="12" t="inlineStr">
        <is>
          <t>H2 29: vent stack</t>
        </is>
      </c>
      <c r="I6129" s="12" t="inlineStr">
        <is>
          <t>LV 600 V</t>
        </is>
      </c>
      <c r="J6129" s="12" t="inlineStr">
        <is>
          <t>ARMOR-X MC-HL 600 V 3/C Cu XHHW-2 + ground, CWA, black PVC (Class I Div 2)</t>
        </is>
      </c>
      <c r="K6129" s="12" t="inlineStr">
        <is>
          <t>LVAX|3/C+G|10</t>
        </is>
      </c>
      <c r="L6129" s="12" t="inlineStr">
        <is>
          <t>3/C+G</t>
        </is>
      </c>
      <c r="M6129" s="12" t="inlineStr">
        <is>
          <t>10</t>
        </is>
      </c>
      <c r="N6129" s="12" t="n">
        <v>1</v>
      </c>
      <c r="O6129" s="12" t="n">
        <v>1</v>
      </c>
      <c r="P6129" s="12" t="n">
        <v>480</v>
      </c>
      <c r="Q6129" s="12" t="n">
        <v>15</v>
      </c>
      <c r="R6129" s="12" t="n">
        <v>21.2</v>
      </c>
      <c r="S6129" s="12" t="inlineStr">
        <is>
          <t>Duct bank</t>
        </is>
      </c>
      <c r="T6129" s="17" t="n">
        <v>55</v>
      </c>
      <c r="U6129" s="17" t="n">
        <v>205</v>
      </c>
      <c r="V6129" s="17">
        <f>ROUNDUP((T6129+U6129+2*'Read Me'!$B$13)*(1+'Read Me'!$B$12),-1)</f>
        <v/>
      </c>
      <c r="W6129" s="17">
        <f>V6129*N6129*O6129</f>
        <v/>
      </c>
      <c r="X6129" s="12">
        <f>IF(LEFT(I6129,2)="MV",2*N6129*IF(L6129="1/C",O6129,1),0)</f>
        <v/>
      </c>
      <c r="Y6129" s="12">
        <f>IF(OR(LEFT(K6129,4)="LVAX",LEFT(K6129,6)="MV15AX",LEFT(K6129,4)="CTAX",LEFT(K6129,2)="W|"),2*N6129*O6129,0)</f>
        <v/>
      </c>
      <c r="Z6129" s="12" t="inlineStr">
        <is>
          <t>VD 2.7 %</t>
        </is>
      </c>
      <c r="AA6129" s="12">
        <f>N6129*O6129</f>
        <v/>
      </c>
    </row>
    <row r="6130">
      <c r="A6130" s="12" t="inlineStr">
        <is>
          <t>K-P-0020</t>
        </is>
      </c>
      <c r="B6130" s="12" t="inlineStr">
        <is>
          <t>K</t>
        </is>
      </c>
      <c r="C6130" s="12" t="inlineStr">
        <is>
          <t>Fuel supply (adjacent market)</t>
        </is>
      </c>
      <c r="D6130" s="12" t="inlineStr">
        <is>
          <t>Motor 1 of 1, 15 kW</t>
        </is>
      </c>
      <c r="E6130" s="12" t="inlineStr"/>
      <c r="F6130" s="12" t="inlineStr">
        <is>
          <t>LNG 17: LNG e-house (13.8 kV / 480 V)</t>
        </is>
      </c>
      <c r="G6130" s="12" t="inlineStr"/>
      <c r="H6130" s="12" t="inlineStr">
        <is>
          <t>H2 30: H2 / gas blending station (plant gas yard)</t>
        </is>
      </c>
      <c r="I6130" s="12" t="inlineStr">
        <is>
          <t>LV 600 V</t>
        </is>
      </c>
      <c r="J6130" s="12" t="inlineStr">
        <is>
          <t>ARMOR-X MC-HL 600 V 3/C Cu XHHW-2 + ground, CWA, black PVC (Class I Div 2)</t>
        </is>
      </c>
      <c r="K6130" s="12" t="inlineStr">
        <is>
          <t>LVAX|3/C+G|4</t>
        </is>
      </c>
      <c r="L6130" s="12" t="inlineStr">
        <is>
          <t>3/C+G</t>
        </is>
      </c>
      <c r="M6130" s="12" t="inlineStr">
        <is>
          <t>4</t>
        </is>
      </c>
      <c r="N6130" s="12" t="n">
        <v>1</v>
      </c>
      <c r="O6130" s="12" t="n">
        <v>1</v>
      </c>
      <c r="P6130" s="12" t="n">
        <v>480</v>
      </c>
      <c r="Q6130" s="12" t="n">
        <v>15</v>
      </c>
      <c r="R6130" s="12" t="n">
        <v>21.2</v>
      </c>
      <c r="S6130" s="12" t="inlineStr">
        <is>
          <t>Duct bank</t>
        </is>
      </c>
      <c r="T6130" s="17" t="n">
        <v>994</v>
      </c>
      <c r="U6130" s="17" t="n">
        <v>114</v>
      </c>
      <c r="V6130" s="17">
        <f>ROUNDUP((T6130+U6130+2*'Read Me'!$B$13)*(1+'Read Me'!$B$12),-1)</f>
        <v/>
      </c>
      <c r="W6130" s="17">
        <f>V6130*N6130*O6130</f>
        <v/>
      </c>
      <c r="X6130" s="12">
        <f>IF(LEFT(I6130,2)="MV",2*N6130*IF(L6130="1/C",O6130,1),0)</f>
        <v/>
      </c>
      <c r="Y6130" s="12">
        <f>IF(OR(LEFT(K6130,4)="LVAX",LEFT(K6130,6)="MV15AX",LEFT(K6130,4)="CTAX",LEFT(K6130,2)="W|"),2*N6130*O6130,0)</f>
        <v/>
      </c>
      <c r="Z6130" s="12" t="inlineStr">
        <is>
          <t>VD 2.9 %</t>
        </is>
      </c>
      <c r="AA6130" s="12">
        <f>N6130*O6130</f>
        <v/>
      </c>
    </row>
    <row r="6131">
      <c r="A6131" s="12" t="inlineStr">
        <is>
          <t>K-P-0021</t>
        </is>
      </c>
      <c r="B6131" s="12" t="inlineStr">
        <is>
          <t>K</t>
        </is>
      </c>
      <c r="C6131" s="12" t="inlineStr">
        <is>
          <t>Fuel supply (adjacent market)</t>
        </is>
      </c>
      <c r="D6131" s="12" t="inlineStr">
        <is>
          <t>Motor 1 of 2, 250 kW</t>
        </is>
      </c>
      <c r="E6131" s="12" t="inlineStr"/>
      <c r="F6131" s="12" t="inlineStr">
        <is>
          <t>H2 20: 13.8 kV e-house</t>
        </is>
      </c>
      <c r="G6131" s="12" t="inlineStr"/>
      <c r="H6131" s="12" t="inlineStr">
        <is>
          <t>H2 pipe track and cable trench, hall -&gt; dryer / compressors (N2, instr</t>
        </is>
      </c>
      <c r="I6131" s="12" t="inlineStr">
        <is>
          <t>LV 600 V</t>
        </is>
      </c>
      <c r="J6131" s="12" t="inlineStr">
        <is>
          <t>ARMOR-X MC-HL 600 V 3/C Cu XHHW-2 + ground, CWA, black PVC (Class I Div 2)</t>
        </is>
      </c>
      <c r="K6131" s="12" t="inlineStr">
        <is>
          <t>LVAX|3/C+G|4/0</t>
        </is>
      </c>
      <c r="L6131" s="12" t="inlineStr">
        <is>
          <t>3/C+G</t>
        </is>
      </c>
      <c r="M6131" s="12" t="inlineStr">
        <is>
          <t>4/0</t>
        </is>
      </c>
      <c r="N6131" s="12" t="n">
        <v>2</v>
      </c>
      <c r="O6131" s="12" t="n">
        <v>1</v>
      </c>
      <c r="P6131" s="12" t="n">
        <v>480</v>
      </c>
      <c r="Q6131" s="12" t="n">
        <v>250</v>
      </c>
      <c r="R6131" s="12" t="n">
        <v>353.8</v>
      </c>
      <c r="S6131" s="12" t="inlineStr">
        <is>
          <t>Duct bank</t>
        </is>
      </c>
      <c r="T6131" s="17" t="n">
        <v>53</v>
      </c>
      <c r="U6131" s="17" t="n">
        <v>62</v>
      </c>
      <c r="V6131" s="17">
        <f>ROUNDUP((T6131+U6131+2*'Read Me'!$B$13)*(1+'Read Me'!$B$12),-1)</f>
        <v/>
      </c>
      <c r="W6131" s="17">
        <f>V6131*N6131*O6131</f>
        <v/>
      </c>
      <c r="X6131" s="12">
        <f>IF(LEFT(I6131,2)="MV",2*N6131*IF(L6131="1/C",O6131,1),0)</f>
        <v/>
      </c>
      <c r="Y6131" s="12">
        <f>IF(OR(LEFT(K6131,4)="LVAX",LEFT(K6131,6)="MV15AX",LEFT(K6131,4)="CTAX",LEFT(K6131,2)="W|"),2*N6131*O6131,0)</f>
        <v/>
      </c>
      <c r="Z6131" s="12" t="inlineStr">
        <is>
          <t>VD 0.5 %</t>
        </is>
      </c>
      <c r="AA6131" s="12">
        <f>N6131*O6131</f>
        <v/>
      </c>
    </row>
    <row r="6132">
      <c r="A6132" s="12" t="inlineStr">
        <is>
          <t>K-P-0022</t>
        </is>
      </c>
      <c r="B6132" s="12" t="inlineStr">
        <is>
          <t>K</t>
        </is>
      </c>
      <c r="C6132" s="12" t="inlineStr">
        <is>
          <t>Fuel supply (adjacent market)</t>
        </is>
      </c>
      <c r="D6132" s="12" t="inlineStr">
        <is>
          <t>Motor 2 of 2, 250 kW</t>
        </is>
      </c>
      <c r="E6132" s="12" t="inlineStr"/>
      <c r="F6132" s="12" t="inlineStr">
        <is>
          <t>H2 20: 13.8 kV e-house</t>
        </is>
      </c>
      <c r="G6132" s="12" t="inlineStr"/>
      <c r="H6132" s="12" t="inlineStr">
        <is>
          <t>H2 pipe track and cable trench, hall -&gt; dryer / compressors (N2, instr</t>
        </is>
      </c>
      <c r="I6132" s="12" t="inlineStr">
        <is>
          <t>LV 600 V</t>
        </is>
      </c>
      <c r="J6132" s="12" t="inlineStr">
        <is>
          <t>ARMOR-X MC-HL 600 V 3/C Cu XHHW-2 + ground, CWA, black PVC (Class I Div 2)</t>
        </is>
      </c>
      <c r="K6132" s="12" t="inlineStr">
        <is>
          <t>LVAX|3/C+G|4/0</t>
        </is>
      </c>
      <c r="L6132" s="12" t="inlineStr">
        <is>
          <t>3/C+G</t>
        </is>
      </c>
      <c r="M6132" s="12" t="inlineStr">
        <is>
          <t>4/0</t>
        </is>
      </c>
      <c r="N6132" s="12" t="n">
        <v>2</v>
      </c>
      <c r="O6132" s="12" t="n">
        <v>1</v>
      </c>
      <c r="P6132" s="12" t="n">
        <v>480</v>
      </c>
      <c r="Q6132" s="12" t="n">
        <v>250</v>
      </c>
      <c r="R6132" s="12" t="n">
        <v>353.8</v>
      </c>
      <c r="S6132" s="12" t="inlineStr">
        <is>
          <t>Duct bank</t>
        </is>
      </c>
      <c r="T6132" s="17" t="n">
        <v>53</v>
      </c>
      <c r="U6132" s="17" t="n">
        <v>62</v>
      </c>
      <c r="V6132" s="17">
        <f>ROUNDUP((T6132+U6132+2*'Read Me'!$B$13)*(1+'Read Me'!$B$12),-1)</f>
        <v/>
      </c>
      <c r="W6132" s="17">
        <f>V6132*N6132*O6132</f>
        <v/>
      </c>
      <c r="X6132" s="12">
        <f>IF(LEFT(I6132,2)="MV",2*N6132*IF(L6132="1/C",O6132,1),0)</f>
        <v/>
      </c>
      <c r="Y6132" s="12">
        <f>IF(OR(LEFT(K6132,4)="LVAX",LEFT(K6132,6)="MV15AX",LEFT(K6132,4)="CTAX",LEFT(K6132,2)="W|"),2*N6132*O6132,0)</f>
        <v/>
      </c>
      <c r="Z6132" s="12" t="inlineStr">
        <is>
          <t>VD 0.5 %</t>
        </is>
      </c>
      <c r="AA6132" s="12">
        <f>N6132*O6132</f>
        <v/>
      </c>
    </row>
    <row r="6133">
      <c r="A6133" s="12" t="inlineStr">
        <is>
          <t>K-P-0023</t>
        </is>
      </c>
      <c r="B6133" s="12" t="inlineStr">
        <is>
          <t>K</t>
        </is>
      </c>
      <c r="C6133" s="12" t="inlineStr">
        <is>
          <t>Fuel supply (adjacent market)</t>
        </is>
      </c>
      <c r="D6133" s="12" t="inlineStr">
        <is>
          <t>LV power feeder</t>
        </is>
      </c>
      <c r="E6133" s="12" t="inlineStr"/>
      <c r="F6133" s="12" t="inlineStr">
        <is>
          <t>H2 20: 13.8 kV e-house</t>
        </is>
      </c>
      <c r="G6133" s="12" t="inlineStr">
        <is>
          <t>H2-ST</t>
        </is>
      </c>
      <c r="H6133" s="12" t="inlineStr">
        <is>
          <t>H2 storage tube banks x4</t>
        </is>
      </c>
      <c r="I6133" s="12" t="inlineStr">
        <is>
          <t>LV 600 V</t>
        </is>
      </c>
      <c r="J6133" s="12" t="inlineStr">
        <is>
          <t>ARMOR-X MC-HL 600 V 3/C Cu XHHW-2 + ground, CWA, black PVC (Class I Div 2)</t>
        </is>
      </c>
      <c r="K6133" s="12" t="inlineStr">
        <is>
          <t>LVAX|3/C+G|10</t>
        </is>
      </c>
      <c r="L6133" s="12" t="inlineStr">
        <is>
          <t>3/C+G</t>
        </is>
      </c>
      <c r="M6133" s="12" t="inlineStr">
        <is>
          <t>10</t>
        </is>
      </c>
      <c r="N6133" s="12" t="n">
        <v>1</v>
      </c>
      <c r="O6133" s="12" t="n">
        <v>1</v>
      </c>
      <c r="P6133" s="12" t="n">
        <v>480</v>
      </c>
      <c r="Q6133" s="12" t="n">
        <v>15</v>
      </c>
      <c r="R6133" s="12" t="n">
        <v>21.2</v>
      </c>
      <c r="S6133" s="12" t="inlineStr">
        <is>
          <t>Duct bank</t>
        </is>
      </c>
      <c r="T6133" s="17" t="n">
        <v>50</v>
      </c>
      <c r="U6133" s="17" t="n">
        <v>92</v>
      </c>
      <c r="V6133" s="17">
        <f>ROUNDUP((T6133+U6133+2*'Read Me'!$B$13)*(1+'Read Me'!$B$12),-1)</f>
        <v/>
      </c>
      <c r="W6133" s="17">
        <f>V6133*N6133*O6133</f>
        <v/>
      </c>
      <c r="X6133" s="12">
        <f>IF(LEFT(I6133,2)="MV",2*N6133*IF(L6133="1/C",O6133,1),0)</f>
        <v/>
      </c>
      <c r="Y6133" s="12">
        <f>IF(OR(LEFT(K6133,4)="LVAX",LEFT(K6133,6)="MV15AX",LEFT(K6133,4)="CTAX",LEFT(K6133,2)="W|"),2*N6133*O6133,0)</f>
        <v/>
      </c>
      <c r="Z6133" s="12" t="inlineStr">
        <is>
          <t>VD 1.4 %</t>
        </is>
      </c>
      <c r="AA6133" s="12">
        <f>N6133*O6133</f>
        <v/>
      </c>
    </row>
    <row r="6134">
      <c r="A6134" s="12" t="inlineStr">
        <is>
          <t>K-P-0024</t>
        </is>
      </c>
      <c r="B6134" s="12" t="inlineStr">
        <is>
          <t>K</t>
        </is>
      </c>
      <c r="C6134" s="12" t="inlineStr">
        <is>
          <t>Fuel supply (adjacent market)</t>
        </is>
      </c>
      <c r="D6134" s="12" t="inlineStr">
        <is>
          <t>LV power feeder</t>
        </is>
      </c>
      <c r="E6134" s="12" t="inlineStr"/>
      <c r="F6134" s="12" t="inlineStr">
        <is>
          <t>H2 20: 13.8 kV e-house</t>
        </is>
      </c>
      <c r="G6134" s="12" t="inlineStr">
        <is>
          <t>H2R</t>
        </is>
      </c>
      <c r="H6134" s="12" t="inlineStr">
        <is>
          <t>H2R: hydrogen pipeline receiving station (pig receiver, filters, meter</t>
        </is>
      </c>
      <c r="I6134" s="12" t="inlineStr">
        <is>
          <t>LV 600 V</t>
        </is>
      </c>
      <c r="J6134" s="12" t="inlineStr">
        <is>
          <t>ARMOR-X MC-HL 600 V 3/C Cu XHHW-2 + ground, CWA, black PVC (Class I Div 2)</t>
        </is>
      </c>
      <c r="K6134" s="12" t="inlineStr">
        <is>
          <t>LVAX|3/C+G|10</t>
        </is>
      </c>
      <c r="L6134" s="12" t="inlineStr">
        <is>
          <t>3/C+G</t>
        </is>
      </c>
      <c r="M6134" s="12" t="inlineStr">
        <is>
          <t>10</t>
        </is>
      </c>
      <c r="N6134" s="12" t="n">
        <v>1</v>
      </c>
      <c r="O6134" s="12" t="n">
        <v>1</v>
      </c>
      <c r="P6134" s="12" t="n">
        <v>480</v>
      </c>
      <c r="Q6134" s="12" t="n">
        <v>15</v>
      </c>
      <c r="R6134" s="12" t="n">
        <v>21.2</v>
      </c>
      <c r="S6134" s="12" t="inlineStr">
        <is>
          <t>Duct bank</t>
        </is>
      </c>
      <c r="T6134" s="17" t="n">
        <v>40</v>
      </c>
      <c r="U6134" s="17" t="n">
        <v>32</v>
      </c>
      <c r="V6134" s="17">
        <f>ROUNDUP((T6134+U6134+2*'Read Me'!$B$13)*(1+'Read Me'!$B$12),-1)</f>
        <v/>
      </c>
      <c r="W6134" s="17">
        <f>V6134*N6134*O6134</f>
        <v/>
      </c>
      <c r="X6134" s="12">
        <f>IF(LEFT(I6134,2)="MV",2*N6134*IF(L6134="1/C",O6134,1),0)</f>
        <v/>
      </c>
      <c r="Y6134" s="12">
        <f>IF(OR(LEFT(K6134,4)="LVAX",LEFT(K6134,6)="MV15AX",LEFT(K6134,4)="CTAX",LEFT(K6134,2)="W|"),2*N6134*O6134,0)</f>
        <v/>
      </c>
      <c r="Z6134" s="12" t="inlineStr">
        <is>
          <t>VD 0.7 %</t>
        </is>
      </c>
      <c r="AA6134" s="12">
        <f>N6134*O6134</f>
        <v/>
      </c>
    </row>
    <row r="6135">
      <c r="A6135" s="12" t="inlineStr">
        <is>
          <t>K-P-0025</t>
        </is>
      </c>
      <c r="B6135" s="12" t="inlineStr">
        <is>
          <t>K</t>
        </is>
      </c>
      <c r="C6135" s="12" t="inlineStr">
        <is>
          <t>Fuel supply (adjacent market)</t>
        </is>
      </c>
      <c r="D6135" s="12" t="inlineStr">
        <is>
          <t>Motor 1 of 1, 15 kW</t>
        </is>
      </c>
      <c r="E6135" s="12" t="inlineStr"/>
      <c r="F6135" s="12" t="inlineStr">
        <is>
          <t>LNG 17: LNG e-house (13.8 kV / 480 V)</t>
        </is>
      </c>
      <c r="G6135" s="12" t="inlineStr"/>
      <c r="H6135" s="12" t="inlineStr">
        <is>
          <t>LNG 10: truck unloading bay 1</t>
        </is>
      </c>
      <c r="I6135" s="12" t="inlineStr">
        <is>
          <t>LV 600 V</t>
        </is>
      </c>
      <c r="J6135" s="12" t="inlineStr">
        <is>
          <t>ARMOR-X MC-HL 600 V 3/C Cu XHHW-2 + ground, CWA, black PVC (Class I Div 2)</t>
        </is>
      </c>
      <c r="K6135" s="12" t="inlineStr">
        <is>
          <t>LVAX|3/C+G|8</t>
        </is>
      </c>
      <c r="L6135" s="12" t="inlineStr">
        <is>
          <t>3/C+G</t>
        </is>
      </c>
      <c r="M6135" s="12" t="inlineStr">
        <is>
          <t>8</t>
        </is>
      </c>
      <c r="N6135" s="12" t="n">
        <v>1</v>
      </c>
      <c r="O6135" s="12" t="n">
        <v>1</v>
      </c>
      <c r="P6135" s="12" t="n">
        <v>480</v>
      </c>
      <c r="Q6135" s="12" t="n">
        <v>15</v>
      </c>
      <c r="R6135" s="12" t="n">
        <v>21.2</v>
      </c>
      <c r="S6135" s="12" t="inlineStr">
        <is>
          <t>Duct bank</t>
        </is>
      </c>
      <c r="T6135" s="17" t="n">
        <v>237</v>
      </c>
      <c r="U6135" s="17" t="n">
        <v>61</v>
      </c>
      <c r="V6135" s="17">
        <f>ROUNDUP((T6135+U6135+2*'Read Me'!$B$13)*(1+'Read Me'!$B$12),-1)</f>
        <v/>
      </c>
      <c r="W6135" s="17">
        <f>V6135*N6135*O6135</f>
        <v/>
      </c>
      <c r="X6135" s="12">
        <f>IF(LEFT(I6135,2)="MV",2*N6135*IF(L6135="1/C",O6135,1),0)</f>
        <v/>
      </c>
      <c r="Y6135" s="12">
        <f>IF(OR(LEFT(K6135,4)="LVAX",LEFT(K6135,6)="MV15AX",LEFT(K6135,4)="CTAX",LEFT(K6135,2)="W|"),2*N6135*O6135,0)</f>
        <v/>
      </c>
      <c r="Z6135" s="12" t="inlineStr">
        <is>
          <t>VD 1.9 %</t>
        </is>
      </c>
      <c r="AA6135" s="12">
        <f>N6135*O6135</f>
        <v/>
      </c>
    </row>
    <row r="6136">
      <c r="A6136" s="12" t="inlineStr">
        <is>
          <t>K-P-0026</t>
        </is>
      </c>
      <c r="B6136" s="12" t="inlineStr">
        <is>
          <t>K</t>
        </is>
      </c>
      <c r="C6136" s="12" t="inlineStr">
        <is>
          <t>Fuel supply (adjacent market)</t>
        </is>
      </c>
      <c r="D6136" s="12" t="inlineStr">
        <is>
          <t>Motor 1 of 1, 15 kW</t>
        </is>
      </c>
      <c r="E6136" s="12" t="inlineStr"/>
      <c r="F6136" s="12" t="inlineStr">
        <is>
          <t>LNG 17: LNG e-house (13.8 kV / 480 V)</t>
        </is>
      </c>
      <c r="G6136" s="12" t="inlineStr"/>
      <c r="H6136" s="12" t="inlineStr">
        <is>
          <t>LNG 10: truck unloading bay 2</t>
        </is>
      </c>
      <c r="I6136" s="12" t="inlineStr">
        <is>
          <t>LV 600 V</t>
        </is>
      </c>
      <c r="J6136" s="12" t="inlineStr">
        <is>
          <t>ARMOR-X MC-HL 600 V 3/C Cu XHHW-2 + ground, CWA, black PVC (Class I Div 2)</t>
        </is>
      </c>
      <c r="K6136" s="12" t="inlineStr">
        <is>
          <t>LVAX|3/C+G|10</t>
        </is>
      </c>
      <c r="L6136" s="12" t="inlineStr">
        <is>
          <t>3/C+G</t>
        </is>
      </c>
      <c r="M6136" s="12" t="inlineStr">
        <is>
          <t>10</t>
        </is>
      </c>
      <c r="N6136" s="12" t="n">
        <v>1</v>
      </c>
      <c r="O6136" s="12" t="n">
        <v>1</v>
      </c>
      <c r="P6136" s="12" t="n">
        <v>480</v>
      </c>
      <c r="Q6136" s="12" t="n">
        <v>15</v>
      </c>
      <c r="R6136" s="12" t="n">
        <v>21.2</v>
      </c>
      <c r="S6136" s="12" t="inlineStr">
        <is>
          <t>Duct bank</t>
        </is>
      </c>
      <c r="T6136" s="17" t="n">
        <v>147</v>
      </c>
      <c r="U6136" s="17" t="n">
        <v>66</v>
      </c>
      <c r="V6136" s="17">
        <f>ROUNDUP((T6136+U6136+2*'Read Me'!$B$13)*(1+'Read Me'!$B$12),-1)</f>
        <v/>
      </c>
      <c r="W6136" s="17">
        <f>V6136*N6136*O6136</f>
        <v/>
      </c>
      <c r="X6136" s="12">
        <f>IF(LEFT(I6136,2)="MV",2*N6136*IF(L6136="1/C",O6136,1),0)</f>
        <v/>
      </c>
      <c r="Y6136" s="12">
        <f>IF(OR(LEFT(K6136,4)="LVAX",LEFT(K6136,6)="MV15AX",LEFT(K6136,4)="CTAX",LEFT(K6136,2)="W|"),2*N6136*O6136,0)</f>
        <v/>
      </c>
      <c r="Z6136" s="12" t="inlineStr">
        <is>
          <t>VD 2.2 %</t>
        </is>
      </c>
      <c r="AA6136" s="12">
        <f>N6136*O6136</f>
        <v/>
      </c>
    </row>
    <row r="6137">
      <c r="A6137" s="12" t="inlineStr">
        <is>
          <t>K-P-0027</t>
        </is>
      </c>
      <c r="B6137" s="12" t="inlineStr">
        <is>
          <t>K</t>
        </is>
      </c>
      <c r="C6137" s="12" t="inlineStr">
        <is>
          <t>Fuel supply (adjacent market)</t>
        </is>
      </c>
      <c r="D6137" s="12" t="inlineStr">
        <is>
          <t>Motor 1 of 1, 15 kW</t>
        </is>
      </c>
      <c r="E6137" s="12" t="inlineStr"/>
      <c r="F6137" s="12" t="inlineStr">
        <is>
          <t>LNG 17: LNG e-house (13.8 kV / 480 V)</t>
        </is>
      </c>
      <c r="G6137" s="12" t="inlineStr"/>
      <c r="H6137" s="12" t="inlineStr">
        <is>
          <t>LNG 10: unloading skid</t>
        </is>
      </c>
      <c r="I6137" s="12" t="inlineStr">
        <is>
          <t>LV 600 V</t>
        </is>
      </c>
      <c r="J6137" s="12" t="inlineStr">
        <is>
          <t>ARMOR-X MC-HL 600 V 3/C Cu XHHW-2 + ground, CWA, black PVC (Class I Div 2)</t>
        </is>
      </c>
      <c r="K6137" s="12" t="inlineStr">
        <is>
          <t>LVAX|3/C+G|10</t>
        </is>
      </c>
      <c r="L6137" s="12" t="inlineStr">
        <is>
          <t>3/C+G</t>
        </is>
      </c>
      <c r="M6137" s="12" t="inlineStr">
        <is>
          <t>10</t>
        </is>
      </c>
      <c r="N6137" s="12" t="n">
        <v>1</v>
      </c>
      <c r="O6137" s="12" t="n">
        <v>1</v>
      </c>
      <c r="P6137" s="12" t="n">
        <v>480</v>
      </c>
      <c r="Q6137" s="12" t="n">
        <v>15</v>
      </c>
      <c r="R6137" s="12" t="n">
        <v>21.2</v>
      </c>
      <c r="S6137" s="12" t="inlineStr">
        <is>
          <t>Duct bank</t>
        </is>
      </c>
      <c r="T6137" s="17" t="n">
        <v>237</v>
      </c>
      <c r="U6137" s="17" t="n">
        <v>32</v>
      </c>
      <c r="V6137" s="17">
        <f>ROUNDUP((T6137+U6137+2*'Read Me'!$B$13)*(1+'Read Me'!$B$12),-1)</f>
        <v/>
      </c>
      <c r="W6137" s="17">
        <f>V6137*N6137*O6137</f>
        <v/>
      </c>
      <c r="X6137" s="12">
        <f>IF(LEFT(I6137,2)="MV",2*N6137*IF(L6137="1/C",O6137,1),0)</f>
        <v/>
      </c>
      <c r="Y6137" s="12">
        <f>IF(OR(LEFT(K6137,4)="LVAX",LEFT(K6137,6)="MV15AX",LEFT(K6137,4)="CTAX",LEFT(K6137,2)="W|"),2*N6137*O6137,0)</f>
        <v/>
      </c>
      <c r="Z6137" s="12" t="inlineStr">
        <is>
          <t>VD 2.7 %</t>
        </is>
      </c>
      <c r="AA6137" s="12">
        <f>N6137*O6137</f>
        <v/>
      </c>
    </row>
    <row r="6138">
      <c r="A6138" s="12" t="inlineStr">
        <is>
          <t>K-P-0028</t>
        </is>
      </c>
      <c r="B6138" s="12" t="inlineStr">
        <is>
          <t>K</t>
        </is>
      </c>
      <c r="C6138" s="12" t="inlineStr">
        <is>
          <t>Fuel supply (adjacent market)</t>
        </is>
      </c>
      <c r="D6138" s="12" t="inlineStr">
        <is>
          <t>LV power feeder</t>
        </is>
      </c>
      <c r="E6138" s="12" t="inlineStr"/>
      <c r="F6138" s="12" t="inlineStr">
        <is>
          <t>LNG 17: LNG e-house (13.8 kV / 480 V)</t>
        </is>
      </c>
      <c r="G6138" s="12" t="inlineStr">
        <is>
          <t>LNG-T1</t>
        </is>
      </c>
      <c r="H6138" s="12" t="inlineStr">
        <is>
          <t>LNG 11: tank 1, Chart HS 50000 (51,780 gal)</t>
        </is>
      </c>
      <c r="I6138" s="12" t="inlineStr">
        <is>
          <t>LV 600 V</t>
        </is>
      </c>
      <c r="J6138" s="12" t="inlineStr">
        <is>
          <t>ARMOR-X MC-HL 600 V 3/C Cu XHHW-2 + ground, CWA, black PVC (Class I Div 2)</t>
        </is>
      </c>
      <c r="K6138" s="12" t="inlineStr">
        <is>
          <t>LVAX|3/C+G|10</t>
        </is>
      </c>
      <c r="L6138" s="12" t="inlineStr">
        <is>
          <t>3/C+G</t>
        </is>
      </c>
      <c r="M6138" s="12" t="inlineStr">
        <is>
          <t>10</t>
        </is>
      </c>
      <c r="N6138" s="12" t="n">
        <v>1</v>
      </c>
      <c r="O6138" s="12" t="n">
        <v>1</v>
      </c>
      <c r="P6138" s="12" t="n">
        <v>480</v>
      </c>
      <c r="Q6138" s="12" t="n">
        <v>10</v>
      </c>
      <c r="R6138" s="12" t="n">
        <v>14.2</v>
      </c>
      <c r="S6138" s="12" t="inlineStr">
        <is>
          <t>Duct bank</t>
        </is>
      </c>
      <c r="T6138" s="17" t="n">
        <v>210</v>
      </c>
      <c r="U6138" s="17" t="n">
        <v>32</v>
      </c>
      <c r="V6138" s="17">
        <f>ROUNDUP((T6138+U6138+2*'Read Me'!$B$13)*(1+'Read Me'!$B$12),-1)</f>
        <v/>
      </c>
      <c r="W6138" s="17">
        <f>V6138*N6138*O6138</f>
        <v/>
      </c>
      <c r="X6138" s="12">
        <f>IF(LEFT(I6138,2)="MV",2*N6138*IF(L6138="1/C",O6138,1),0)</f>
        <v/>
      </c>
      <c r="Y6138" s="12">
        <f>IF(OR(LEFT(K6138,4)="LVAX",LEFT(K6138,6)="MV15AX",LEFT(K6138,4)="CTAX",LEFT(K6138,2)="W|"),2*N6138*O6138,0)</f>
        <v/>
      </c>
      <c r="Z6138" s="12" t="inlineStr">
        <is>
          <t>VD 1.6 %</t>
        </is>
      </c>
      <c r="AA6138" s="12">
        <f>N6138*O6138</f>
        <v/>
      </c>
    </row>
    <row r="6139">
      <c r="A6139" s="12" t="inlineStr">
        <is>
          <t>K-P-0029</t>
        </is>
      </c>
      <c r="B6139" s="12" t="inlineStr">
        <is>
          <t>K</t>
        </is>
      </c>
      <c r="C6139" s="12" t="inlineStr">
        <is>
          <t>Fuel supply (adjacent market)</t>
        </is>
      </c>
      <c r="D6139" s="12" t="inlineStr">
        <is>
          <t>LV power feeder</t>
        </is>
      </c>
      <c r="E6139" s="12" t="inlineStr"/>
      <c r="F6139" s="12" t="inlineStr">
        <is>
          <t>LNG 17: LNG e-house (13.8 kV / 480 V)</t>
        </is>
      </c>
      <c r="G6139" s="12" t="inlineStr">
        <is>
          <t>LNG-T2</t>
        </is>
      </c>
      <c r="H6139" s="12" t="inlineStr">
        <is>
          <t>LNG 11: tank 2, Chart HS 50000 (51,780 gal)</t>
        </is>
      </c>
      <c r="I6139" s="12" t="inlineStr">
        <is>
          <t>LV 600 V</t>
        </is>
      </c>
      <c r="J6139" s="12" t="inlineStr">
        <is>
          <t>ARMOR-X MC-HL 600 V 3/C Cu XHHW-2 + ground, CWA, black PVC (Class I Div 2)</t>
        </is>
      </c>
      <c r="K6139" s="12" t="inlineStr">
        <is>
          <t>LVAX|3/C+G|10</t>
        </is>
      </c>
      <c r="L6139" s="12" t="inlineStr">
        <is>
          <t>3/C+G</t>
        </is>
      </c>
      <c r="M6139" s="12" t="inlineStr">
        <is>
          <t>10</t>
        </is>
      </c>
      <c r="N6139" s="12" t="n">
        <v>1</v>
      </c>
      <c r="O6139" s="12" t="n">
        <v>1</v>
      </c>
      <c r="P6139" s="12" t="n">
        <v>480</v>
      </c>
      <c r="Q6139" s="12" t="n">
        <v>10</v>
      </c>
      <c r="R6139" s="12" t="n">
        <v>14.2</v>
      </c>
      <c r="S6139" s="12" t="inlineStr">
        <is>
          <t>Duct bank</t>
        </is>
      </c>
      <c r="T6139" s="17" t="n">
        <v>230</v>
      </c>
      <c r="U6139" s="17" t="n">
        <v>32</v>
      </c>
      <c r="V6139" s="17">
        <f>ROUNDUP((T6139+U6139+2*'Read Me'!$B$13)*(1+'Read Me'!$B$12),-1)</f>
        <v/>
      </c>
      <c r="W6139" s="17">
        <f>V6139*N6139*O6139</f>
        <v/>
      </c>
      <c r="X6139" s="12">
        <f>IF(LEFT(I6139,2)="MV",2*N6139*IF(L6139="1/C",O6139,1),0)</f>
        <v/>
      </c>
      <c r="Y6139" s="12">
        <f>IF(OR(LEFT(K6139,4)="LVAX",LEFT(K6139,6)="MV15AX",LEFT(K6139,4)="CTAX",LEFT(K6139,2)="W|"),2*N6139*O6139,0)</f>
        <v/>
      </c>
      <c r="Z6139" s="12" t="inlineStr">
        <is>
          <t>VD 1.8 %</t>
        </is>
      </c>
      <c r="AA6139" s="12">
        <f>N6139*O6139</f>
        <v/>
      </c>
    </row>
    <row r="6140">
      <c r="A6140" s="12" t="inlineStr">
        <is>
          <t>K-P-0030</t>
        </is>
      </c>
      <c r="B6140" s="12" t="inlineStr">
        <is>
          <t>K</t>
        </is>
      </c>
      <c r="C6140" s="12" t="inlineStr">
        <is>
          <t>Fuel supply (adjacent market)</t>
        </is>
      </c>
      <c r="D6140" s="12" t="inlineStr">
        <is>
          <t>LV power feeder</t>
        </is>
      </c>
      <c r="E6140" s="12" t="inlineStr"/>
      <c r="F6140" s="12" t="inlineStr">
        <is>
          <t>LNG 17: LNG e-house (13.8 kV / 480 V)</t>
        </is>
      </c>
      <c r="G6140" s="12" t="inlineStr">
        <is>
          <t>LNG-T3</t>
        </is>
      </c>
      <c r="H6140" s="12" t="inlineStr">
        <is>
          <t>LNG 11: tank 3, Chart HS 50000 (51,780 gal)</t>
        </is>
      </c>
      <c r="I6140" s="12" t="inlineStr">
        <is>
          <t>LV 600 V</t>
        </is>
      </c>
      <c r="J6140" s="12" t="inlineStr">
        <is>
          <t>ARMOR-X MC-HL 600 V 3/C Cu XHHW-2 + ground, CWA, black PVC (Class I Div 2)</t>
        </is>
      </c>
      <c r="K6140" s="12" t="inlineStr">
        <is>
          <t>LVAX|3/C+G|10</t>
        </is>
      </c>
      <c r="L6140" s="12" t="inlineStr">
        <is>
          <t>3/C+G</t>
        </is>
      </c>
      <c r="M6140" s="12" t="inlineStr">
        <is>
          <t>10</t>
        </is>
      </c>
      <c r="N6140" s="12" t="n">
        <v>1</v>
      </c>
      <c r="O6140" s="12" t="n">
        <v>1</v>
      </c>
      <c r="P6140" s="12" t="n">
        <v>480</v>
      </c>
      <c r="Q6140" s="12" t="n">
        <v>10</v>
      </c>
      <c r="R6140" s="12" t="n">
        <v>14.2</v>
      </c>
      <c r="S6140" s="12" t="inlineStr">
        <is>
          <t>Duct bank</t>
        </is>
      </c>
      <c r="T6140" s="17" t="n">
        <v>250</v>
      </c>
      <c r="U6140" s="17" t="n">
        <v>32</v>
      </c>
      <c r="V6140" s="17">
        <f>ROUNDUP((T6140+U6140+2*'Read Me'!$B$13)*(1+'Read Me'!$B$12),-1)</f>
        <v/>
      </c>
      <c r="W6140" s="17">
        <f>V6140*N6140*O6140</f>
        <v/>
      </c>
      <c r="X6140" s="12">
        <f>IF(LEFT(I6140,2)="MV",2*N6140*IF(L6140="1/C",O6140,1),0)</f>
        <v/>
      </c>
      <c r="Y6140" s="12">
        <f>IF(OR(LEFT(K6140,4)="LVAX",LEFT(K6140,6)="MV15AX",LEFT(K6140,4)="CTAX",LEFT(K6140,2)="W|"),2*N6140*O6140,0)</f>
        <v/>
      </c>
      <c r="Z6140" s="12" t="inlineStr">
        <is>
          <t>VD 1.9 %</t>
        </is>
      </c>
      <c r="AA6140" s="12">
        <f>N6140*O6140</f>
        <v/>
      </c>
    </row>
    <row r="6141">
      <c r="A6141" s="12" t="inlineStr">
        <is>
          <t>K-P-0031</t>
        </is>
      </c>
      <c r="B6141" s="12" t="inlineStr">
        <is>
          <t>K</t>
        </is>
      </c>
      <c r="C6141" s="12" t="inlineStr">
        <is>
          <t>Fuel supply (adjacent market)</t>
        </is>
      </c>
      <c r="D6141" s="12" t="inlineStr">
        <is>
          <t>LV power feeder</t>
        </is>
      </c>
      <c r="E6141" s="12" t="inlineStr"/>
      <c r="F6141" s="12" t="inlineStr">
        <is>
          <t>LNG 17: LNG e-house (13.8 kV / 480 V)</t>
        </is>
      </c>
      <c r="G6141" s="12" t="inlineStr">
        <is>
          <t>LNG-T4</t>
        </is>
      </c>
      <c r="H6141" s="12" t="inlineStr">
        <is>
          <t>LNG 11: tank 4, Chart HS 50000 (51,780 gal)</t>
        </is>
      </c>
      <c r="I6141" s="12" t="inlineStr">
        <is>
          <t>LV 600 V</t>
        </is>
      </c>
      <c r="J6141" s="12" t="inlineStr">
        <is>
          <t>ARMOR-X MC-HL 600 V 3/C Cu XHHW-2 + ground, CWA, black PVC (Class I Div 2)</t>
        </is>
      </c>
      <c r="K6141" s="12" t="inlineStr">
        <is>
          <t>LVAX|3/C+G|10</t>
        </is>
      </c>
      <c r="L6141" s="12" t="inlineStr">
        <is>
          <t>3/C+G</t>
        </is>
      </c>
      <c r="M6141" s="12" t="inlineStr">
        <is>
          <t>10</t>
        </is>
      </c>
      <c r="N6141" s="12" t="n">
        <v>1</v>
      </c>
      <c r="O6141" s="12" t="n">
        <v>1</v>
      </c>
      <c r="P6141" s="12" t="n">
        <v>480</v>
      </c>
      <c r="Q6141" s="12" t="n">
        <v>10</v>
      </c>
      <c r="R6141" s="12" t="n">
        <v>14.2</v>
      </c>
      <c r="S6141" s="12" t="inlineStr">
        <is>
          <t>Duct bank</t>
        </is>
      </c>
      <c r="T6141" s="17" t="n">
        <v>270</v>
      </c>
      <c r="U6141" s="17" t="n">
        <v>32</v>
      </c>
      <c r="V6141" s="17">
        <f>ROUNDUP((T6141+U6141+2*'Read Me'!$B$13)*(1+'Read Me'!$B$12),-1)</f>
        <v/>
      </c>
      <c r="W6141" s="17">
        <f>V6141*N6141*O6141</f>
        <v/>
      </c>
      <c r="X6141" s="12">
        <f>IF(LEFT(I6141,2)="MV",2*N6141*IF(L6141="1/C",O6141,1),0)</f>
        <v/>
      </c>
      <c r="Y6141" s="12">
        <f>IF(OR(LEFT(K6141,4)="LVAX",LEFT(K6141,6)="MV15AX",LEFT(K6141,4)="CTAX",LEFT(K6141,2)="W|"),2*N6141*O6141,0)</f>
        <v/>
      </c>
      <c r="Z6141" s="12" t="inlineStr">
        <is>
          <t>VD 2.1 %</t>
        </is>
      </c>
      <c r="AA6141" s="12">
        <f>N6141*O6141</f>
        <v/>
      </c>
    </row>
    <row r="6142">
      <c r="A6142" s="12" t="inlineStr">
        <is>
          <t>K-P-0032</t>
        </is>
      </c>
      <c r="B6142" s="12" t="inlineStr">
        <is>
          <t>K</t>
        </is>
      </c>
      <c r="C6142" s="12" t="inlineStr">
        <is>
          <t>Fuel supply (adjacent market)</t>
        </is>
      </c>
      <c r="D6142" s="12" t="inlineStr">
        <is>
          <t>LV power feeder</t>
        </is>
      </c>
      <c r="E6142" s="12" t="inlineStr"/>
      <c r="F6142" s="12" t="inlineStr">
        <is>
          <t>LNG 17: LNG e-house (13.8 kV / 480 V)</t>
        </is>
      </c>
      <c r="G6142" s="12" t="inlineStr">
        <is>
          <t>LNG-T5</t>
        </is>
      </c>
      <c r="H6142" s="12" t="inlineStr">
        <is>
          <t>LNG 11: tank 5, Chart HS 50000 (51,780 gal)</t>
        </is>
      </c>
      <c r="I6142" s="12" t="inlineStr">
        <is>
          <t>LV 600 V</t>
        </is>
      </c>
      <c r="J6142" s="12" t="inlineStr">
        <is>
          <t>ARMOR-X MC-HL 600 V 3/C Cu XHHW-2 + ground, CWA, black PVC (Class I Div 2)</t>
        </is>
      </c>
      <c r="K6142" s="12" t="inlineStr">
        <is>
          <t>LVAX|3/C+G|10</t>
        </is>
      </c>
      <c r="L6142" s="12" t="inlineStr">
        <is>
          <t>3/C+G</t>
        </is>
      </c>
      <c r="M6142" s="12" t="inlineStr">
        <is>
          <t>10</t>
        </is>
      </c>
      <c r="N6142" s="12" t="n">
        <v>1</v>
      </c>
      <c r="O6142" s="12" t="n">
        <v>1</v>
      </c>
      <c r="P6142" s="12" t="n">
        <v>480</v>
      </c>
      <c r="Q6142" s="12" t="n">
        <v>10</v>
      </c>
      <c r="R6142" s="12" t="n">
        <v>14.2</v>
      </c>
      <c r="S6142" s="12" t="inlineStr">
        <is>
          <t>Duct bank</t>
        </is>
      </c>
      <c r="T6142" s="17" t="n">
        <v>290</v>
      </c>
      <c r="U6142" s="17" t="n">
        <v>32</v>
      </c>
      <c r="V6142" s="17">
        <f>ROUNDUP((T6142+U6142+2*'Read Me'!$B$13)*(1+'Read Me'!$B$12),-1)</f>
        <v/>
      </c>
      <c r="W6142" s="17">
        <f>V6142*N6142*O6142</f>
        <v/>
      </c>
      <c r="X6142" s="12">
        <f>IF(LEFT(I6142,2)="MV",2*N6142*IF(L6142="1/C",O6142,1),0)</f>
        <v/>
      </c>
      <c r="Y6142" s="12">
        <f>IF(OR(LEFT(K6142,4)="LVAX",LEFT(K6142,6)="MV15AX",LEFT(K6142,4)="CTAX",LEFT(K6142,2)="W|"),2*N6142*O6142,0)</f>
        <v/>
      </c>
      <c r="Z6142" s="12" t="inlineStr">
        <is>
          <t>VD 2.2 %</t>
        </is>
      </c>
      <c r="AA6142" s="12">
        <f>N6142*O6142</f>
        <v/>
      </c>
    </row>
    <row r="6143">
      <c r="A6143" s="12" t="inlineStr">
        <is>
          <t>K-P-0033</t>
        </is>
      </c>
      <c r="B6143" s="12" t="inlineStr">
        <is>
          <t>K</t>
        </is>
      </c>
      <c r="C6143" s="12" t="inlineStr">
        <is>
          <t>Fuel supply (adjacent market)</t>
        </is>
      </c>
      <c r="D6143" s="12" t="inlineStr">
        <is>
          <t>LV power feeder</t>
        </is>
      </c>
      <c r="E6143" s="12" t="inlineStr"/>
      <c r="F6143" s="12" t="inlineStr">
        <is>
          <t>LNG 17: LNG e-house (13.8 kV / 480 V)</t>
        </is>
      </c>
      <c r="G6143" s="12" t="inlineStr">
        <is>
          <t>LNG-T6</t>
        </is>
      </c>
      <c r="H6143" s="12" t="inlineStr">
        <is>
          <t>LNG 11: tank 6, Chart HS 50000 (51,780 gal)</t>
        </is>
      </c>
      <c r="I6143" s="12" t="inlineStr">
        <is>
          <t>LV 600 V</t>
        </is>
      </c>
      <c r="J6143" s="12" t="inlineStr">
        <is>
          <t>ARMOR-X MC-HL 600 V 3/C Cu XHHW-2 + ground, CWA, black PVC (Class I Div 2)</t>
        </is>
      </c>
      <c r="K6143" s="12" t="inlineStr">
        <is>
          <t>LVAX|3/C+G|10</t>
        </is>
      </c>
      <c r="L6143" s="12" t="inlineStr">
        <is>
          <t>3/C+G</t>
        </is>
      </c>
      <c r="M6143" s="12" t="inlineStr">
        <is>
          <t>10</t>
        </is>
      </c>
      <c r="N6143" s="12" t="n">
        <v>1</v>
      </c>
      <c r="O6143" s="12" t="n">
        <v>1</v>
      </c>
      <c r="P6143" s="12" t="n">
        <v>480</v>
      </c>
      <c r="Q6143" s="12" t="n">
        <v>10</v>
      </c>
      <c r="R6143" s="12" t="n">
        <v>14.2</v>
      </c>
      <c r="S6143" s="12" t="inlineStr">
        <is>
          <t>Duct bank</t>
        </is>
      </c>
      <c r="T6143" s="17" t="n">
        <v>310</v>
      </c>
      <c r="U6143" s="17" t="n">
        <v>32</v>
      </c>
      <c r="V6143" s="17">
        <f>ROUNDUP((T6143+U6143+2*'Read Me'!$B$13)*(1+'Read Me'!$B$12),-1)</f>
        <v/>
      </c>
      <c r="W6143" s="17">
        <f>V6143*N6143*O6143</f>
        <v/>
      </c>
      <c r="X6143" s="12">
        <f>IF(LEFT(I6143,2)="MV",2*N6143*IF(L6143="1/C",O6143,1),0)</f>
        <v/>
      </c>
      <c r="Y6143" s="12">
        <f>IF(OR(LEFT(K6143,4)="LVAX",LEFT(K6143,6)="MV15AX",LEFT(K6143,4)="CTAX",LEFT(K6143,2)="W|"),2*N6143*O6143,0)</f>
        <v/>
      </c>
      <c r="Z6143" s="12" t="inlineStr">
        <is>
          <t>VD 2.3 %</t>
        </is>
      </c>
      <c r="AA6143" s="12">
        <f>N6143*O6143</f>
        <v/>
      </c>
    </row>
    <row r="6144">
      <c r="A6144" s="12" t="inlineStr">
        <is>
          <t>K-P-0034</t>
        </is>
      </c>
      <c r="B6144" s="12" t="inlineStr">
        <is>
          <t>K</t>
        </is>
      </c>
      <c r="C6144" s="12" t="inlineStr">
        <is>
          <t>Fuel supply (adjacent market)</t>
        </is>
      </c>
      <c r="D6144" s="12" t="inlineStr">
        <is>
          <t>LV power feeder</t>
        </is>
      </c>
      <c r="E6144" s="12" t="inlineStr"/>
      <c r="F6144" s="12" t="inlineStr">
        <is>
          <t>LNG 17: LNG e-house (13.8 kV / 480 V)</t>
        </is>
      </c>
      <c r="G6144" s="12" t="inlineStr">
        <is>
          <t>LNG-T7</t>
        </is>
      </c>
      <c r="H6144" s="12" t="inlineStr">
        <is>
          <t>LNG 11: tank 7, Chart HS 50000 (51,780 gal)</t>
        </is>
      </c>
      <c r="I6144" s="12" t="inlineStr">
        <is>
          <t>LV 600 V</t>
        </is>
      </c>
      <c r="J6144" s="12" t="inlineStr">
        <is>
          <t>ARMOR-X MC-HL 600 V 3/C Cu XHHW-2 + ground, CWA, black PVC (Class I Div 2)</t>
        </is>
      </c>
      <c r="K6144" s="12" t="inlineStr">
        <is>
          <t>LVAX|3/C+G|10</t>
        </is>
      </c>
      <c r="L6144" s="12" t="inlineStr">
        <is>
          <t>3/C+G</t>
        </is>
      </c>
      <c r="M6144" s="12" t="inlineStr">
        <is>
          <t>10</t>
        </is>
      </c>
      <c r="N6144" s="12" t="n">
        <v>1</v>
      </c>
      <c r="O6144" s="12" t="n">
        <v>1</v>
      </c>
      <c r="P6144" s="12" t="n">
        <v>480</v>
      </c>
      <c r="Q6144" s="12" t="n">
        <v>10</v>
      </c>
      <c r="R6144" s="12" t="n">
        <v>14.2</v>
      </c>
      <c r="S6144" s="12" t="inlineStr">
        <is>
          <t>Duct bank</t>
        </is>
      </c>
      <c r="T6144" s="17" t="n">
        <v>330</v>
      </c>
      <c r="U6144" s="17" t="n">
        <v>32</v>
      </c>
      <c r="V6144" s="17">
        <f>ROUNDUP((T6144+U6144+2*'Read Me'!$B$13)*(1+'Read Me'!$B$12),-1)</f>
        <v/>
      </c>
      <c r="W6144" s="17">
        <f>V6144*N6144*O6144</f>
        <v/>
      </c>
      <c r="X6144" s="12">
        <f>IF(LEFT(I6144,2)="MV",2*N6144*IF(L6144="1/C",O6144,1),0)</f>
        <v/>
      </c>
      <c r="Y6144" s="12">
        <f>IF(OR(LEFT(K6144,4)="LVAX",LEFT(K6144,6)="MV15AX",LEFT(K6144,4)="CTAX",LEFT(K6144,2)="W|"),2*N6144*O6144,0)</f>
        <v/>
      </c>
      <c r="Z6144" s="12" t="inlineStr">
        <is>
          <t>VD 2.5 %</t>
        </is>
      </c>
      <c r="AA6144" s="12">
        <f>N6144*O6144</f>
        <v/>
      </c>
    </row>
    <row r="6145">
      <c r="A6145" s="12" t="inlineStr">
        <is>
          <t>K-P-0035</t>
        </is>
      </c>
      <c r="B6145" s="12" t="inlineStr">
        <is>
          <t>K</t>
        </is>
      </c>
      <c r="C6145" s="12" t="inlineStr">
        <is>
          <t>Fuel supply (adjacent market)</t>
        </is>
      </c>
      <c r="D6145" s="12" t="inlineStr">
        <is>
          <t>LV power feeder</t>
        </is>
      </c>
      <c r="E6145" s="12" t="inlineStr"/>
      <c r="F6145" s="12" t="inlineStr">
        <is>
          <t>LNG 17: LNG e-house (13.8 kV / 480 V)</t>
        </is>
      </c>
      <c r="G6145" s="12" t="inlineStr">
        <is>
          <t>LNG-T8</t>
        </is>
      </c>
      <c r="H6145" s="12" t="inlineStr">
        <is>
          <t>LNG 11: tank 8, Chart HS 50000 (51,780 gal)</t>
        </is>
      </c>
      <c r="I6145" s="12" t="inlineStr">
        <is>
          <t>LV 600 V</t>
        </is>
      </c>
      <c r="J6145" s="12" t="inlineStr">
        <is>
          <t>ARMOR-X MC-HL 600 V 3/C Cu XHHW-2 + ground, CWA, black PVC (Class I Div 2)</t>
        </is>
      </c>
      <c r="K6145" s="12" t="inlineStr">
        <is>
          <t>LVAX|3/C+G|10</t>
        </is>
      </c>
      <c r="L6145" s="12" t="inlineStr">
        <is>
          <t>3/C+G</t>
        </is>
      </c>
      <c r="M6145" s="12" t="inlineStr">
        <is>
          <t>10</t>
        </is>
      </c>
      <c r="N6145" s="12" t="n">
        <v>1</v>
      </c>
      <c r="O6145" s="12" t="n">
        <v>1</v>
      </c>
      <c r="P6145" s="12" t="n">
        <v>480</v>
      </c>
      <c r="Q6145" s="12" t="n">
        <v>10</v>
      </c>
      <c r="R6145" s="12" t="n">
        <v>14.2</v>
      </c>
      <c r="S6145" s="12" t="inlineStr">
        <is>
          <t>Duct bank</t>
        </is>
      </c>
      <c r="T6145" s="17" t="n">
        <v>350</v>
      </c>
      <c r="U6145" s="17" t="n">
        <v>32</v>
      </c>
      <c r="V6145" s="17">
        <f>ROUNDUP((T6145+U6145+2*'Read Me'!$B$13)*(1+'Read Me'!$B$12),-1)</f>
        <v/>
      </c>
      <c r="W6145" s="17">
        <f>V6145*N6145*O6145</f>
        <v/>
      </c>
      <c r="X6145" s="12">
        <f>IF(LEFT(I6145,2)="MV",2*N6145*IF(L6145="1/C",O6145,1),0)</f>
        <v/>
      </c>
      <c r="Y6145" s="12">
        <f>IF(OR(LEFT(K6145,4)="LVAX",LEFT(K6145,6)="MV15AX",LEFT(K6145,4)="CTAX",LEFT(K6145,2)="W|"),2*N6145*O6145,0)</f>
        <v/>
      </c>
      <c r="Z6145" s="12" t="inlineStr">
        <is>
          <t>VD 2.6 %</t>
        </is>
      </c>
      <c r="AA6145" s="12">
        <f>N6145*O6145</f>
        <v/>
      </c>
    </row>
    <row r="6146">
      <c r="A6146" s="12" t="inlineStr">
        <is>
          <t>K-P-0036</t>
        </is>
      </c>
      <c r="B6146" s="12" t="inlineStr">
        <is>
          <t>K</t>
        </is>
      </c>
      <c r="C6146" s="12" t="inlineStr">
        <is>
          <t>Fuel supply (adjacent market)</t>
        </is>
      </c>
      <c r="D6146" s="12" t="inlineStr">
        <is>
          <t>Motor 1 of 1, 15 kW</t>
        </is>
      </c>
      <c r="E6146" s="12" t="inlineStr"/>
      <c r="F6146" s="12" t="inlineStr">
        <is>
          <t>LNG 17: LNG e-house (13.8 kV / 480 V)</t>
        </is>
      </c>
      <c r="G6146" s="12" t="inlineStr"/>
      <c r="H6146" s="12" t="inlineStr">
        <is>
          <t>LNG 12: spill impoundment (NFPA 59A, to verify)</t>
        </is>
      </c>
      <c r="I6146" s="12" t="inlineStr">
        <is>
          <t>LV 600 V</t>
        </is>
      </c>
      <c r="J6146" s="12" t="inlineStr">
        <is>
          <t>ARMOR-X MC-HL 600 V 3/C Cu XHHW-2 + ground, CWA, black PVC (Class I Div 2)</t>
        </is>
      </c>
      <c r="K6146" s="12" t="inlineStr">
        <is>
          <t>LVAX|3/C+G|10</t>
        </is>
      </c>
      <c r="L6146" s="12" t="inlineStr">
        <is>
          <t>3/C+G</t>
        </is>
      </c>
      <c r="M6146" s="12" t="inlineStr">
        <is>
          <t>10</t>
        </is>
      </c>
      <c r="N6146" s="12" t="n">
        <v>1</v>
      </c>
      <c r="O6146" s="12" t="n">
        <v>1</v>
      </c>
      <c r="P6146" s="12" t="n">
        <v>480</v>
      </c>
      <c r="Q6146" s="12" t="n">
        <v>15</v>
      </c>
      <c r="R6146" s="12" t="n">
        <v>21.2</v>
      </c>
      <c r="S6146" s="12" t="inlineStr">
        <is>
          <t>Duct bank</t>
        </is>
      </c>
      <c r="T6146" s="17" t="n">
        <v>230</v>
      </c>
      <c r="U6146" s="17" t="n">
        <v>32</v>
      </c>
      <c r="V6146" s="17">
        <f>ROUNDUP((T6146+U6146+2*'Read Me'!$B$13)*(1+'Read Me'!$B$12),-1)</f>
        <v/>
      </c>
      <c r="W6146" s="17">
        <f>V6146*N6146*O6146</f>
        <v/>
      </c>
      <c r="X6146" s="12">
        <f>IF(LEFT(I6146,2)="MV",2*N6146*IF(L6146="1/C",O6146,1),0)</f>
        <v/>
      </c>
      <c r="Y6146" s="12">
        <f>IF(OR(LEFT(K6146,4)="LVAX",LEFT(K6146,6)="MV15AX",LEFT(K6146,4)="CTAX",LEFT(K6146,2)="W|"),2*N6146*O6146,0)</f>
        <v/>
      </c>
      <c r="Z6146" s="12" t="inlineStr">
        <is>
          <t>VD 2.7 %</t>
        </is>
      </c>
      <c r="AA6146" s="12">
        <f>N6146*O6146</f>
        <v/>
      </c>
    </row>
    <row r="6147">
      <c r="A6147" s="12" t="inlineStr">
        <is>
          <t>K-P-0037</t>
        </is>
      </c>
      <c r="B6147" s="12" t="inlineStr">
        <is>
          <t>K</t>
        </is>
      </c>
      <c r="C6147" s="12" t="inlineStr">
        <is>
          <t>Fuel supply (adjacent market)</t>
        </is>
      </c>
      <c r="D6147" s="12" t="inlineStr">
        <is>
          <t>Motor 1 of 1, 15 kW</t>
        </is>
      </c>
      <c r="E6147" s="12" t="inlineStr"/>
      <c r="F6147" s="12" t="inlineStr">
        <is>
          <t>LNG 17: LNG e-house (13.8 kV / 480 V)</t>
        </is>
      </c>
      <c r="G6147" s="12" t="inlineStr"/>
      <c r="H6147" s="12" t="inlineStr">
        <is>
          <t>LNG 13: send-out pumps 2 x 100%</t>
        </is>
      </c>
      <c r="I6147" s="12" t="inlineStr">
        <is>
          <t>LV 600 V</t>
        </is>
      </c>
      <c r="J6147" s="12" t="inlineStr">
        <is>
          <t>ARMOR-X MC-HL 600 V 3/C Cu XHHW-2 + ground, CWA, black PVC (Class I Div 2)</t>
        </is>
      </c>
      <c r="K6147" s="12" t="inlineStr">
        <is>
          <t>LVAX|3/C+G|10</t>
        </is>
      </c>
      <c r="L6147" s="12" t="inlineStr">
        <is>
          <t>3/C+G</t>
        </is>
      </c>
      <c r="M6147" s="12" t="inlineStr">
        <is>
          <t>10</t>
        </is>
      </c>
      <c r="N6147" s="12" t="n">
        <v>1</v>
      </c>
      <c r="O6147" s="12" t="n">
        <v>1</v>
      </c>
      <c r="P6147" s="12" t="n">
        <v>480</v>
      </c>
      <c r="Q6147" s="12" t="n">
        <v>15</v>
      </c>
      <c r="R6147" s="12" t="n">
        <v>21.2</v>
      </c>
      <c r="S6147" s="12" t="inlineStr">
        <is>
          <t>Duct bank</t>
        </is>
      </c>
      <c r="T6147" s="17" t="n">
        <v>110</v>
      </c>
      <c r="U6147" s="17" t="n">
        <v>32</v>
      </c>
      <c r="V6147" s="17">
        <f>ROUNDUP((T6147+U6147+2*'Read Me'!$B$13)*(1+'Read Me'!$B$12),-1)</f>
        <v/>
      </c>
      <c r="W6147" s="17">
        <f>V6147*N6147*O6147</f>
        <v/>
      </c>
      <c r="X6147" s="12">
        <f>IF(LEFT(I6147,2)="MV",2*N6147*IF(L6147="1/C",O6147,1),0)</f>
        <v/>
      </c>
      <c r="Y6147" s="12">
        <f>IF(OR(LEFT(K6147,4)="LVAX",LEFT(K6147,6)="MV15AX",LEFT(K6147,4)="CTAX",LEFT(K6147,2)="W|"),2*N6147*O6147,0)</f>
        <v/>
      </c>
      <c r="Z6147" s="12" t="inlineStr">
        <is>
          <t>VD 1.4 %</t>
        </is>
      </c>
      <c r="AA6147" s="12">
        <f>N6147*O6147</f>
        <v/>
      </c>
    </row>
    <row r="6148">
      <c r="A6148" s="12" t="inlineStr">
        <is>
          <t>K-P-0038</t>
        </is>
      </c>
      <c r="B6148" s="12" t="inlineStr">
        <is>
          <t>K</t>
        </is>
      </c>
      <c r="C6148" s="12" t="inlineStr">
        <is>
          <t>Fuel supply (adjacent market)</t>
        </is>
      </c>
      <c r="D6148" s="12" t="inlineStr">
        <is>
          <t>Motor 1 of 1, 15 kW</t>
        </is>
      </c>
      <c r="E6148" s="12" t="inlineStr"/>
      <c r="F6148" s="12" t="inlineStr">
        <is>
          <t>LNG 17: LNG e-house (13.8 kV / 480 V)</t>
        </is>
      </c>
      <c r="G6148" s="12" t="inlineStr"/>
      <c r="H6148" s="12" t="inlineStr">
        <is>
          <t>LNG 14: vaporizers + glycol heater</t>
        </is>
      </c>
      <c r="I6148" s="12" t="inlineStr">
        <is>
          <t>LV 600 V</t>
        </is>
      </c>
      <c r="J6148" s="12" t="inlineStr">
        <is>
          <t>ARMOR-X MC-HL 600 V 3/C Cu XHHW-2 + ground, CWA, black PVC (Class I Div 2)</t>
        </is>
      </c>
      <c r="K6148" s="12" t="inlineStr">
        <is>
          <t>LVAX|3/C+G|10</t>
        </is>
      </c>
      <c r="L6148" s="12" t="inlineStr">
        <is>
          <t>3/C+G</t>
        </is>
      </c>
      <c r="M6148" s="12" t="inlineStr">
        <is>
          <t>10</t>
        </is>
      </c>
      <c r="N6148" s="12" t="n">
        <v>1</v>
      </c>
      <c r="O6148" s="12" t="n">
        <v>1</v>
      </c>
      <c r="P6148" s="12" t="n">
        <v>480</v>
      </c>
      <c r="Q6148" s="12" t="n">
        <v>15</v>
      </c>
      <c r="R6148" s="12" t="n">
        <v>21.2</v>
      </c>
      <c r="S6148" s="12" t="inlineStr">
        <is>
          <t>Duct bank</t>
        </is>
      </c>
      <c r="T6148" s="17" t="n">
        <v>259</v>
      </c>
      <c r="U6148" s="17" t="n">
        <v>32</v>
      </c>
      <c r="V6148" s="17">
        <f>ROUNDUP((T6148+U6148+2*'Read Me'!$B$13)*(1+'Read Me'!$B$12),-1)</f>
        <v/>
      </c>
      <c r="W6148" s="17">
        <f>V6148*N6148*O6148</f>
        <v/>
      </c>
      <c r="X6148" s="12">
        <f>IF(LEFT(I6148,2)="MV",2*N6148*IF(L6148="1/C",O6148,1),0)</f>
        <v/>
      </c>
      <c r="Y6148" s="12">
        <f>IF(OR(LEFT(K6148,4)="LVAX",LEFT(K6148,6)="MV15AX",LEFT(K6148,4)="CTAX",LEFT(K6148,2)="W|"),2*N6148*O6148,0)</f>
        <v/>
      </c>
      <c r="Z6148" s="12" t="inlineStr">
        <is>
          <t>VD 3.0 %</t>
        </is>
      </c>
      <c r="AA6148" s="12">
        <f>N6148*O6148</f>
        <v/>
      </c>
    </row>
    <row r="6149">
      <c r="A6149" s="12" t="inlineStr">
        <is>
          <t>K-P-0039</t>
        </is>
      </c>
      <c r="B6149" s="12" t="inlineStr">
        <is>
          <t>K</t>
        </is>
      </c>
      <c r="C6149" s="12" t="inlineStr">
        <is>
          <t>Fuel supply (adjacent market)</t>
        </is>
      </c>
      <c r="D6149" s="12" t="inlineStr">
        <is>
          <t>Motor 1 of 1, 15 kW</t>
        </is>
      </c>
      <c r="E6149" s="12" t="inlineStr"/>
      <c r="F6149" s="12" t="inlineStr">
        <is>
          <t>LNG 17: LNG e-house (13.8 kV / 480 V)</t>
        </is>
      </c>
      <c r="G6149" s="12" t="inlineStr"/>
      <c r="H6149" s="12" t="inlineStr">
        <is>
          <t>LNG 15: boil-off gas compressor</t>
        </is>
      </c>
      <c r="I6149" s="12" t="inlineStr">
        <is>
          <t>LV 600 V</t>
        </is>
      </c>
      <c r="J6149" s="12" t="inlineStr">
        <is>
          <t>ARMOR-X MC-HL 600 V 3/C Cu XHHW-2 + ground, CWA, black PVC (Class I Div 2)</t>
        </is>
      </c>
      <c r="K6149" s="12" t="inlineStr">
        <is>
          <t>LVAX|3/C+G|10</t>
        </is>
      </c>
      <c r="L6149" s="12" t="inlineStr">
        <is>
          <t>3/C+G</t>
        </is>
      </c>
      <c r="M6149" s="12" t="inlineStr">
        <is>
          <t>10</t>
        </is>
      </c>
      <c r="N6149" s="12" t="n">
        <v>1</v>
      </c>
      <c r="O6149" s="12" t="n">
        <v>1</v>
      </c>
      <c r="P6149" s="12" t="n">
        <v>480</v>
      </c>
      <c r="Q6149" s="12" t="n">
        <v>15</v>
      </c>
      <c r="R6149" s="12" t="n">
        <v>21.2</v>
      </c>
      <c r="S6149" s="12" t="inlineStr">
        <is>
          <t>Duct bank</t>
        </is>
      </c>
      <c r="T6149" s="17" t="n">
        <v>25</v>
      </c>
      <c r="U6149" s="17" t="n">
        <v>54</v>
      </c>
      <c r="V6149" s="17">
        <f>ROUNDUP((T6149+U6149+2*'Read Me'!$B$13)*(1+'Read Me'!$B$12),-1)</f>
        <v/>
      </c>
      <c r="W6149" s="17">
        <f>V6149*N6149*O6149</f>
        <v/>
      </c>
      <c r="X6149" s="12">
        <f>IF(LEFT(I6149,2)="MV",2*N6149*IF(L6149="1/C",O6149,1),0)</f>
        <v/>
      </c>
      <c r="Y6149" s="12">
        <f>IF(OR(LEFT(K6149,4)="LVAX",LEFT(K6149,6)="MV15AX",LEFT(K6149,4)="CTAX",LEFT(K6149,2)="W|"),2*N6149*O6149,0)</f>
        <v/>
      </c>
      <c r="Z6149" s="12" t="inlineStr">
        <is>
          <t>VD 0.8 %</t>
        </is>
      </c>
      <c r="AA6149" s="12">
        <f>N6149*O6149</f>
        <v/>
      </c>
    </row>
    <row r="6150">
      <c r="A6150" s="12" t="inlineStr">
        <is>
          <t>K-P-0040</t>
        </is>
      </c>
      <c r="B6150" s="12" t="inlineStr">
        <is>
          <t>K</t>
        </is>
      </c>
      <c r="C6150" s="12" t="inlineStr">
        <is>
          <t>Fuel supply (adjacent market)</t>
        </is>
      </c>
      <c r="D6150" s="12" t="inlineStr">
        <is>
          <t>Motor 1 of 1, 15 kW</t>
        </is>
      </c>
      <c r="E6150" s="12" t="inlineStr"/>
      <c r="F6150" s="12" t="inlineStr">
        <is>
          <t>LNG 17: LNG e-house (13.8 kV / 480 V)</t>
        </is>
      </c>
      <c r="G6150" s="12" t="inlineStr"/>
      <c r="H6150" s="12" t="inlineStr">
        <is>
          <t>LNG 16: send-out metering + pressure control</t>
        </is>
      </c>
      <c r="I6150" s="12" t="inlineStr">
        <is>
          <t>LV 600 V</t>
        </is>
      </c>
      <c r="J6150" s="12" t="inlineStr">
        <is>
          <t>ARMOR-X MC-HL 600 V 3/C Cu XHHW-2 + ground, CWA, black PVC (Class I Div 2)</t>
        </is>
      </c>
      <c r="K6150" s="12" t="inlineStr">
        <is>
          <t>LVAX|3/C+G|10</t>
        </is>
      </c>
      <c r="L6150" s="12" t="inlineStr">
        <is>
          <t>3/C+G</t>
        </is>
      </c>
      <c r="M6150" s="12" t="inlineStr">
        <is>
          <t>10</t>
        </is>
      </c>
      <c r="N6150" s="12" t="n">
        <v>1</v>
      </c>
      <c r="O6150" s="12" t="n">
        <v>1</v>
      </c>
      <c r="P6150" s="12" t="n">
        <v>480</v>
      </c>
      <c r="Q6150" s="12" t="n">
        <v>15</v>
      </c>
      <c r="R6150" s="12" t="n">
        <v>21.2</v>
      </c>
      <c r="S6150" s="12" t="inlineStr">
        <is>
          <t>Duct bank</t>
        </is>
      </c>
      <c r="T6150" s="17" t="n">
        <v>20</v>
      </c>
      <c r="U6150" s="17" t="n">
        <v>32</v>
      </c>
      <c r="V6150" s="17">
        <f>ROUNDUP((T6150+U6150+2*'Read Me'!$B$13)*(1+'Read Me'!$B$12),-1)</f>
        <v/>
      </c>
      <c r="W6150" s="17">
        <f>V6150*N6150*O6150</f>
        <v/>
      </c>
      <c r="X6150" s="12">
        <f>IF(LEFT(I6150,2)="MV",2*N6150*IF(L6150="1/C",O6150,1),0)</f>
        <v/>
      </c>
      <c r="Y6150" s="12">
        <f>IF(OR(LEFT(K6150,4)="LVAX",LEFT(K6150,6)="MV15AX",LEFT(K6150,4)="CTAX",LEFT(K6150,2)="W|"),2*N6150*O6150,0)</f>
        <v/>
      </c>
      <c r="Z6150" s="12" t="inlineStr">
        <is>
          <t>VD 0.5 %</t>
        </is>
      </c>
      <c r="AA6150" s="12">
        <f>N6150*O6150</f>
        <v/>
      </c>
    </row>
    <row r="6151">
      <c r="A6151" s="12" t="inlineStr">
        <is>
          <t>K-P-0041</t>
        </is>
      </c>
      <c r="B6151" s="12" t="inlineStr">
        <is>
          <t>K</t>
        </is>
      </c>
      <c r="C6151" s="12" t="inlineStr">
        <is>
          <t>Fuel supply (adjacent market)</t>
        </is>
      </c>
      <c r="D6151" s="12" t="inlineStr">
        <is>
          <t>Motor 1 of 1, 15 kW</t>
        </is>
      </c>
      <c r="E6151" s="12" t="inlineStr"/>
      <c r="F6151" s="12" t="inlineStr">
        <is>
          <t>LNG 17: LNG e-house (13.8 kV / 480 V)</t>
        </is>
      </c>
      <c r="G6151" s="12" t="inlineStr"/>
      <c r="H6151" s="12" t="inlineStr">
        <is>
          <t>LNG 17: LNG e-house (13.8 kV / 480 V)</t>
        </is>
      </c>
      <c r="I6151" s="12" t="inlineStr">
        <is>
          <t>LV 600 V</t>
        </is>
      </c>
      <c r="J6151" s="12" t="inlineStr">
        <is>
          <t>ARMOR-X MC-HL 600 V 3/C Cu XHHW-2 + ground, CWA, black PVC (Class I Div 2)</t>
        </is>
      </c>
      <c r="K6151" s="12" t="inlineStr">
        <is>
          <t>LVAX|3/C+G|10</t>
        </is>
      </c>
      <c r="L6151" s="12" t="inlineStr">
        <is>
          <t>3/C+G</t>
        </is>
      </c>
      <c r="M6151" s="12" t="inlineStr">
        <is>
          <t>10</t>
        </is>
      </c>
      <c r="N6151" s="12" t="n">
        <v>1</v>
      </c>
      <c r="O6151" s="12" t="n">
        <v>1</v>
      </c>
      <c r="P6151" s="12" t="n">
        <v>480</v>
      </c>
      <c r="Q6151" s="12" t="n">
        <v>15</v>
      </c>
      <c r="R6151" s="12" t="n">
        <v>21.2</v>
      </c>
      <c r="S6151" s="12" t="inlineStr">
        <is>
          <t>Tray</t>
        </is>
      </c>
      <c r="T6151" s="17" t="n">
        <v>0</v>
      </c>
      <c r="U6151" s="17" t="n">
        <v>32</v>
      </c>
      <c r="V6151" s="17">
        <f>ROUNDUP((T6151+U6151+2*'Read Me'!$B$13)*(1+'Read Me'!$B$12),-1)</f>
        <v/>
      </c>
      <c r="W6151" s="17">
        <f>V6151*N6151*O6151</f>
        <v/>
      </c>
      <c r="X6151" s="12">
        <f>IF(LEFT(I6151,2)="MV",2*N6151*IF(L6151="1/C",O6151,1),0)</f>
        <v/>
      </c>
      <c r="Y6151" s="12">
        <f>IF(OR(LEFT(K6151,4)="LVAX",LEFT(K6151,6)="MV15AX",LEFT(K6151,4)="CTAX",LEFT(K6151,2)="W|"),2*N6151*O6151,0)</f>
        <v/>
      </c>
      <c r="Z6151" s="12" t="inlineStr">
        <is>
          <t>VD 0.3 %</t>
        </is>
      </c>
      <c r="AA6151" s="12">
        <f>N6151*O6151</f>
        <v/>
      </c>
    </row>
    <row r="6152">
      <c r="A6152" s="12" t="inlineStr">
        <is>
          <t>K-P-0042</t>
        </is>
      </c>
      <c r="B6152" s="12" t="inlineStr">
        <is>
          <t>K</t>
        </is>
      </c>
      <c r="C6152" s="12" t="inlineStr">
        <is>
          <t>Fuel supply (adjacent market)</t>
        </is>
      </c>
      <c r="D6152" s="12" t="inlineStr">
        <is>
          <t>Motor 1 of 1, 15 kW</t>
        </is>
      </c>
      <c r="E6152" s="12" t="inlineStr"/>
      <c r="F6152" s="12" t="inlineStr">
        <is>
          <t>LNG 17: LNG e-house (13.8 kV / 480 V)</t>
        </is>
      </c>
      <c r="G6152" s="12" t="inlineStr"/>
      <c r="H6152" s="12" t="inlineStr">
        <is>
          <t>LNG 18: vent stack</t>
        </is>
      </c>
      <c r="I6152" s="12" t="inlineStr">
        <is>
          <t>LV 600 V</t>
        </is>
      </c>
      <c r="J6152" s="12" t="inlineStr">
        <is>
          <t>ARMOR-X MC-HL 600 V 3/C Cu XHHW-2 + ground, CWA, black PVC (Class I Div 2)</t>
        </is>
      </c>
      <c r="K6152" s="12" t="inlineStr">
        <is>
          <t>LVAX|3/C+G|10</t>
        </is>
      </c>
      <c r="L6152" s="12" t="inlineStr">
        <is>
          <t>3/C+G</t>
        </is>
      </c>
      <c r="M6152" s="12" t="inlineStr">
        <is>
          <t>10</t>
        </is>
      </c>
      <c r="N6152" s="12" t="n">
        <v>1</v>
      </c>
      <c r="O6152" s="12" t="n">
        <v>1</v>
      </c>
      <c r="P6152" s="12" t="n">
        <v>480</v>
      </c>
      <c r="Q6152" s="12" t="n">
        <v>15</v>
      </c>
      <c r="R6152" s="12" t="n">
        <v>21.2</v>
      </c>
      <c r="S6152" s="12" t="inlineStr">
        <is>
          <t>Duct bank</t>
        </is>
      </c>
      <c r="T6152" s="17" t="n">
        <v>25</v>
      </c>
      <c r="U6152" s="17" t="n">
        <v>117</v>
      </c>
      <c r="V6152" s="17">
        <f>ROUNDUP((T6152+U6152+2*'Read Me'!$B$13)*(1+'Read Me'!$B$12),-1)</f>
        <v/>
      </c>
      <c r="W6152" s="17">
        <f>V6152*N6152*O6152</f>
        <v/>
      </c>
      <c r="X6152" s="12">
        <f>IF(LEFT(I6152,2)="MV",2*N6152*IF(L6152="1/C",O6152,1),0)</f>
        <v/>
      </c>
      <c r="Y6152" s="12">
        <f>IF(OR(LEFT(K6152,4)="LVAX",LEFT(K6152,6)="MV15AX",LEFT(K6152,4)="CTAX",LEFT(K6152,2)="W|"),2*N6152*O6152,0)</f>
        <v/>
      </c>
      <c r="Z6152" s="12" t="inlineStr">
        <is>
          <t>VD 1.4 %</t>
        </is>
      </c>
      <c r="AA6152" s="12">
        <f>N6152*O6152</f>
        <v/>
      </c>
    </row>
    <row r="6153">
      <c r="A6153" s="12" t="inlineStr">
        <is>
          <t>K-P-0043</t>
        </is>
      </c>
      <c r="B6153" s="12" t="inlineStr">
        <is>
          <t>K</t>
        </is>
      </c>
      <c r="C6153" s="12" t="inlineStr">
        <is>
          <t>Fuel supply (adjacent market)</t>
        </is>
      </c>
      <c r="D6153" s="12" t="inlineStr">
        <is>
          <t>LV power feeder</t>
        </is>
      </c>
      <c r="E6153" s="12" t="inlineStr"/>
      <c r="F6153" s="12" t="inlineStr">
        <is>
          <t>LNG 17: LNG e-house (13.8 kV / 480 V)</t>
        </is>
      </c>
      <c r="G6153" s="12" t="inlineStr"/>
      <c r="H6153" s="12" t="inlineStr">
        <is>
          <t>LNG impoundment sump pump</t>
        </is>
      </c>
      <c r="I6153" s="12" t="inlineStr">
        <is>
          <t>LV 600 V</t>
        </is>
      </c>
      <c r="J6153" s="12" t="inlineStr">
        <is>
          <t>ARMOR-X MC-HL 600 V 3/C Cu XHHW-2 + ground, CWA, black PVC (Class I Div 2)</t>
        </is>
      </c>
      <c r="K6153" s="12" t="inlineStr">
        <is>
          <t>LVAX|3/C+G|8</t>
        </is>
      </c>
      <c r="L6153" s="12" t="inlineStr">
        <is>
          <t>3/C+G</t>
        </is>
      </c>
      <c r="M6153" s="12" t="inlineStr">
        <is>
          <t>8</t>
        </is>
      </c>
      <c r="N6153" s="12" t="n">
        <v>1</v>
      </c>
      <c r="O6153" s="12" t="n">
        <v>1</v>
      </c>
      <c r="P6153" s="12" t="n">
        <v>480</v>
      </c>
      <c r="Q6153" s="12" t="n">
        <v>15</v>
      </c>
      <c r="R6153" s="12" t="n">
        <v>21.2</v>
      </c>
      <c r="S6153" s="12" t="inlineStr">
        <is>
          <t>Duct bank</t>
        </is>
      </c>
      <c r="T6153" s="17" t="n">
        <v>334</v>
      </c>
      <c r="U6153" s="17" t="n">
        <v>32</v>
      </c>
      <c r="V6153" s="17">
        <f>ROUNDUP((T6153+U6153+2*'Read Me'!$B$13)*(1+'Read Me'!$B$12),-1)</f>
        <v/>
      </c>
      <c r="W6153" s="17">
        <f>V6153*N6153*O6153</f>
        <v/>
      </c>
      <c r="X6153" s="12">
        <f>IF(LEFT(I6153,2)="MV",2*N6153*IF(L6153="1/C",O6153,1),0)</f>
        <v/>
      </c>
      <c r="Y6153" s="12">
        <f>IF(OR(LEFT(K6153,4)="LVAX",LEFT(K6153,6)="MV15AX",LEFT(K6153,4)="CTAX",LEFT(K6153,2)="W|"),2*N6153*O6153,0)</f>
        <v/>
      </c>
      <c r="Z6153" s="12" t="inlineStr">
        <is>
          <t>VD 2.4 %</t>
        </is>
      </c>
      <c r="AA6153" s="12">
        <f>N6153*O6153</f>
        <v/>
      </c>
    </row>
    <row r="6154">
      <c r="A6154" s="12" t="inlineStr">
        <is>
          <t>K-P-0044</t>
        </is>
      </c>
      <c r="B6154" s="12" t="inlineStr">
        <is>
          <t>K</t>
        </is>
      </c>
      <c r="C6154" s="12" t="inlineStr">
        <is>
          <t>Fuel supply (adjacent market)</t>
        </is>
      </c>
      <c r="D6154" s="12" t="inlineStr">
        <is>
          <t>LV power feeder</t>
        </is>
      </c>
      <c r="E6154" s="12" t="inlineStr"/>
      <c r="F6154" s="12" t="inlineStr">
        <is>
          <t>LNG 17: LNG e-house (13.8 kV / 480 V)</t>
        </is>
      </c>
      <c r="G6154" s="12" t="inlineStr"/>
      <c r="H6154" s="12" t="inlineStr">
        <is>
          <t>M&amp;R 2: insulating joint + ESD valve</t>
        </is>
      </c>
      <c r="I6154" s="12" t="inlineStr">
        <is>
          <t>LV 600 V</t>
        </is>
      </c>
      <c r="J6154" s="12" t="inlineStr">
        <is>
          <t>ARMOR-X MC-HL 600 V 3/C Cu XHHW-2 + ground, CWA, black PVC (Class I Div 2)</t>
        </is>
      </c>
      <c r="K6154" s="12" t="inlineStr">
        <is>
          <t>LVAX|3/C+G|6</t>
        </is>
      </c>
      <c r="L6154" s="12" t="inlineStr">
        <is>
          <t>3/C+G</t>
        </is>
      </c>
      <c r="M6154" s="12" t="inlineStr">
        <is>
          <t>6</t>
        </is>
      </c>
      <c r="N6154" s="12" t="n">
        <v>1</v>
      </c>
      <c r="O6154" s="12" t="n">
        <v>1</v>
      </c>
      <c r="P6154" s="12" t="n">
        <v>480</v>
      </c>
      <c r="Q6154" s="12" t="n">
        <v>10</v>
      </c>
      <c r="R6154" s="12" t="n">
        <v>14.2</v>
      </c>
      <c r="S6154" s="12" t="inlineStr">
        <is>
          <t>Duct bank</t>
        </is>
      </c>
      <c r="T6154" s="17" t="n">
        <v>758</v>
      </c>
      <c r="U6154" s="17" t="n">
        <v>32</v>
      </c>
      <c r="V6154" s="17">
        <f>ROUNDUP((T6154+U6154+2*'Read Me'!$B$13)*(1+'Read Me'!$B$12),-1)</f>
        <v/>
      </c>
      <c r="W6154" s="17">
        <f>V6154*N6154*O6154</f>
        <v/>
      </c>
      <c r="X6154" s="12">
        <f>IF(LEFT(I6154,2)="MV",2*N6154*IF(L6154="1/C",O6154,1),0)</f>
        <v/>
      </c>
      <c r="Y6154" s="12">
        <f>IF(OR(LEFT(K6154,4)="LVAX",LEFT(K6154,6)="MV15AX",LEFT(K6154,4)="CTAX",LEFT(K6154,2)="W|"),2*N6154*O6154,0)</f>
        <v/>
      </c>
      <c r="Z6154" s="12" t="inlineStr">
        <is>
          <t>VD 2.2 %</t>
        </is>
      </c>
      <c r="AA6154" s="12">
        <f>N6154*O6154</f>
        <v/>
      </c>
    </row>
    <row r="6155">
      <c r="A6155" s="12" t="inlineStr">
        <is>
          <t>K-P-0045</t>
        </is>
      </c>
      <c r="B6155" s="12" t="inlineStr">
        <is>
          <t>K</t>
        </is>
      </c>
      <c r="C6155" s="12" t="inlineStr">
        <is>
          <t>Fuel supply (adjacent market)</t>
        </is>
      </c>
      <c r="D6155" s="12" t="inlineStr">
        <is>
          <t>LV power feeder</t>
        </is>
      </c>
      <c r="E6155" s="12" t="inlineStr"/>
      <c r="F6155" s="12" t="inlineStr">
        <is>
          <t>LNG 17: LNG e-house (13.8 kV / 480 V)</t>
        </is>
      </c>
      <c r="G6155" s="12" t="inlineStr"/>
      <c r="H6155" s="12" t="inlineStr">
        <is>
          <t>M&amp;R 3: horizontal filter-separator</t>
        </is>
      </c>
      <c r="I6155" s="12" t="inlineStr">
        <is>
          <t>LV 600 V</t>
        </is>
      </c>
      <c r="J6155" s="12" t="inlineStr">
        <is>
          <t>ARMOR-X MC-HL 600 V 3/C Cu XHHW-2 + ground, CWA, black PVC (Class I Div 2)</t>
        </is>
      </c>
      <c r="K6155" s="12" t="inlineStr">
        <is>
          <t>LVAX|3/C+G|4</t>
        </is>
      </c>
      <c r="L6155" s="12" t="inlineStr">
        <is>
          <t>3/C+G</t>
        </is>
      </c>
      <c r="M6155" s="12" t="inlineStr">
        <is>
          <t>4</t>
        </is>
      </c>
      <c r="N6155" s="12" t="n">
        <v>1</v>
      </c>
      <c r="O6155" s="12" t="n">
        <v>1</v>
      </c>
      <c r="P6155" s="12" t="n">
        <v>480</v>
      </c>
      <c r="Q6155" s="12" t="n">
        <v>15</v>
      </c>
      <c r="R6155" s="12" t="n">
        <v>21.2</v>
      </c>
      <c r="S6155" s="12" t="inlineStr">
        <is>
          <t>Duct bank</t>
        </is>
      </c>
      <c r="T6155" s="17" t="n">
        <v>797</v>
      </c>
      <c r="U6155" s="17" t="n">
        <v>32</v>
      </c>
      <c r="V6155" s="17">
        <f>ROUNDUP((T6155+U6155+2*'Read Me'!$B$13)*(1+'Read Me'!$B$12),-1)</f>
        <v/>
      </c>
      <c r="W6155" s="17">
        <f>V6155*N6155*O6155</f>
        <v/>
      </c>
      <c r="X6155" s="12">
        <f>IF(LEFT(I6155,2)="MV",2*N6155*IF(L6155="1/C",O6155,1),0)</f>
        <v/>
      </c>
      <c r="Y6155" s="12">
        <f>IF(OR(LEFT(K6155,4)="LVAX",LEFT(K6155,6)="MV15AX",LEFT(K6155,4)="CTAX",LEFT(K6155,2)="W|"),2*N6155*O6155,0)</f>
        <v/>
      </c>
      <c r="Z6155" s="12" t="inlineStr">
        <is>
          <t>VD 2.2 %</t>
        </is>
      </c>
      <c r="AA6155" s="12">
        <f>N6155*O6155</f>
        <v/>
      </c>
    </row>
    <row r="6156">
      <c r="A6156" s="12" t="inlineStr">
        <is>
          <t>K-P-0046</t>
        </is>
      </c>
      <c r="B6156" s="12" t="inlineStr">
        <is>
          <t>K</t>
        </is>
      </c>
      <c r="C6156" s="12" t="inlineStr">
        <is>
          <t>Fuel supply (adjacent market)</t>
        </is>
      </c>
      <c r="D6156" s="12" t="inlineStr">
        <is>
          <t>LV power feeder</t>
        </is>
      </c>
      <c r="E6156" s="12" t="inlineStr"/>
      <c r="F6156" s="12" t="inlineStr">
        <is>
          <t>LNG 17: LNG e-house (13.8 kV / 480 V)</t>
        </is>
      </c>
      <c r="G6156" s="12" t="inlineStr"/>
      <c r="H6156" s="12" t="inlineStr">
        <is>
          <t>M&amp;R 4: line heater 1 (water bath)</t>
        </is>
      </c>
      <c r="I6156" s="12" t="inlineStr">
        <is>
          <t>LV 600 V</t>
        </is>
      </c>
      <c r="J6156" s="12" t="inlineStr">
        <is>
          <t>ARMOR-X MC-HL 600 V 3/C Cu XHHW-2 + ground, CWA, black PVC (Class I Div 2)</t>
        </is>
      </c>
      <c r="K6156" s="12" t="inlineStr">
        <is>
          <t>LVAX|3/C+G|6</t>
        </is>
      </c>
      <c r="L6156" s="12" t="inlineStr">
        <is>
          <t>3/C+G</t>
        </is>
      </c>
      <c r="M6156" s="12" t="inlineStr">
        <is>
          <t>6</t>
        </is>
      </c>
      <c r="N6156" s="12" t="n">
        <v>1</v>
      </c>
      <c r="O6156" s="12" t="n">
        <v>1</v>
      </c>
      <c r="P6156" s="12" t="n">
        <v>480</v>
      </c>
      <c r="Q6156" s="12" t="n">
        <v>15</v>
      </c>
      <c r="R6156" s="12" t="n">
        <v>21.2</v>
      </c>
      <c r="S6156" s="12" t="inlineStr">
        <is>
          <t>Duct bank</t>
        </is>
      </c>
      <c r="T6156" s="17" t="n">
        <v>593</v>
      </c>
      <c r="U6156" s="17" t="n">
        <v>32</v>
      </c>
      <c r="V6156" s="17">
        <f>ROUNDUP((T6156+U6156+2*'Read Me'!$B$13)*(1+'Read Me'!$B$12),-1)</f>
        <v/>
      </c>
      <c r="W6156" s="17">
        <f>V6156*N6156*O6156</f>
        <v/>
      </c>
      <c r="X6156" s="12">
        <f>IF(LEFT(I6156,2)="MV",2*N6156*IF(L6156="1/C",O6156,1),0)</f>
        <v/>
      </c>
      <c r="Y6156" s="12">
        <f>IF(OR(LEFT(K6156,4)="LVAX",LEFT(K6156,6)="MV15AX",LEFT(K6156,4)="CTAX",LEFT(K6156,2)="W|"),2*N6156*O6156,0)</f>
        <v/>
      </c>
      <c r="Z6156" s="12" t="inlineStr">
        <is>
          <t>VD 2.6 %</t>
        </is>
      </c>
      <c r="AA6156" s="12">
        <f>N6156*O6156</f>
        <v/>
      </c>
    </row>
    <row r="6157">
      <c r="A6157" s="12" t="inlineStr">
        <is>
          <t>K-P-0047</t>
        </is>
      </c>
      <c r="B6157" s="12" t="inlineStr">
        <is>
          <t>K</t>
        </is>
      </c>
      <c r="C6157" s="12" t="inlineStr">
        <is>
          <t>Fuel supply (adjacent market)</t>
        </is>
      </c>
      <c r="D6157" s="12" t="inlineStr">
        <is>
          <t>LV power feeder</t>
        </is>
      </c>
      <c r="E6157" s="12" t="inlineStr"/>
      <c r="F6157" s="12" t="inlineStr">
        <is>
          <t>LNG 17: LNG e-house (13.8 kV / 480 V)</t>
        </is>
      </c>
      <c r="G6157" s="12" t="inlineStr"/>
      <c r="H6157" s="12" t="inlineStr">
        <is>
          <t>M&amp;R 4: line heater 2 (water bath)</t>
        </is>
      </c>
      <c r="I6157" s="12" t="inlineStr">
        <is>
          <t>LV 600 V</t>
        </is>
      </c>
      <c r="J6157" s="12" t="inlineStr">
        <is>
          <t>ARMOR-X MC-HL 600 V 3/C Cu XHHW-2 + ground, CWA, black PVC (Class I Div 2)</t>
        </is>
      </c>
      <c r="K6157" s="12" t="inlineStr">
        <is>
          <t>LVAX|3/C+G|6</t>
        </is>
      </c>
      <c r="L6157" s="12" t="inlineStr">
        <is>
          <t>3/C+G</t>
        </is>
      </c>
      <c r="M6157" s="12" t="inlineStr">
        <is>
          <t>6</t>
        </is>
      </c>
      <c r="N6157" s="12" t="n">
        <v>1</v>
      </c>
      <c r="O6157" s="12" t="n">
        <v>1</v>
      </c>
      <c r="P6157" s="12" t="n">
        <v>480</v>
      </c>
      <c r="Q6157" s="12" t="n">
        <v>15</v>
      </c>
      <c r="R6157" s="12" t="n">
        <v>21.2</v>
      </c>
      <c r="S6157" s="12" t="inlineStr">
        <is>
          <t>Duct bank</t>
        </is>
      </c>
      <c r="T6157" s="17" t="n">
        <v>593</v>
      </c>
      <c r="U6157" s="17" t="n">
        <v>50</v>
      </c>
      <c r="V6157" s="17">
        <f>ROUNDUP((T6157+U6157+2*'Read Me'!$B$13)*(1+'Read Me'!$B$12),-1)</f>
        <v/>
      </c>
      <c r="W6157" s="17">
        <f>V6157*N6157*O6157</f>
        <v/>
      </c>
      <c r="X6157" s="12">
        <f>IF(LEFT(I6157,2)="MV",2*N6157*IF(L6157="1/C",O6157,1),0)</f>
        <v/>
      </c>
      <c r="Y6157" s="12">
        <f>IF(OR(LEFT(K6157,4)="LVAX",LEFT(K6157,6)="MV15AX",LEFT(K6157,4)="CTAX",LEFT(K6157,2)="W|"),2*N6157*O6157,0)</f>
        <v/>
      </c>
      <c r="Z6157" s="12" t="inlineStr">
        <is>
          <t>VD 2.7 %</t>
        </is>
      </c>
      <c r="AA6157" s="12">
        <f>N6157*O6157</f>
        <v/>
      </c>
    </row>
    <row r="6158">
      <c r="A6158" s="12" t="inlineStr">
        <is>
          <t>K-P-0048</t>
        </is>
      </c>
      <c r="B6158" s="12" t="inlineStr">
        <is>
          <t>K</t>
        </is>
      </c>
      <c r="C6158" s="12" t="inlineStr">
        <is>
          <t>Fuel supply (adjacent market)</t>
        </is>
      </c>
      <c r="D6158" s="12" t="inlineStr">
        <is>
          <t>LV power feeder</t>
        </is>
      </c>
      <c r="E6158" s="12" t="inlineStr"/>
      <c r="F6158" s="12" t="inlineStr">
        <is>
          <t>LNG 17: LNG e-house (13.8 kV / 480 V)</t>
        </is>
      </c>
      <c r="G6158" s="12" t="inlineStr"/>
      <c r="H6158" s="12" t="inlineStr">
        <is>
          <t>M&amp;R 4: line heater 3 (water bath)</t>
        </is>
      </c>
      <c r="I6158" s="12" t="inlineStr">
        <is>
          <t>LV 600 V</t>
        </is>
      </c>
      <c r="J6158" s="12" t="inlineStr">
        <is>
          <t>ARMOR-X MC-HL 600 V 3/C Cu XHHW-2 + ground, CWA, black PVC (Class I Div 2)</t>
        </is>
      </c>
      <c r="K6158" s="12" t="inlineStr">
        <is>
          <t>LVAX|3/C+G|6</t>
        </is>
      </c>
      <c r="L6158" s="12" t="inlineStr">
        <is>
          <t>3/C+G</t>
        </is>
      </c>
      <c r="M6158" s="12" t="inlineStr">
        <is>
          <t>6</t>
        </is>
      </c>
      <c r="N6158" s="12" t="n">
        <v>1</v>
      </c>
      <c r="O6158" s="12" t="n">
        <v>1</v>
      </c>
      <c r="P6158" s="12" t="n">
        <v>480</v>
      </c>
      <c r="Q6158" s="12" t="n">
        <v>15</v>
      </c>
      <c r="R6158" s="12" t="n">
        <v>21.2</v>
      </c>
      <c r="S6158" s="12" t="inlineStr">
        <is>
          <t>Duct bank</t>
        </is>
      </c>
      <c r="T6158" s="17" t="n">
        <v>593</v>
      </c>
      <c r="U6158" s="17" t="n">
        <v>68</v>
      </c>
      <c r="V6158" s="17">
        <f>ROUNDUP((T6158+U6158+2*'Read Me'!$B$13)*(1+'Read Me'!$B$12),-1)</f>
        <v/>
      </c>
      <c r="W6158" s="17">
        <f>V6158*N6158*O6158</f>
        <v/>
      </c>
      <c r="X6158" s="12">
        <f>IF(LEFT(I6158,2)="MV",2*N6158*IF(L6158="1/C",O6158,1),0)</f>
        <v/>
      </c>
      <c r="Y6158" s="12">
        <f>IF(OR(LEFT(K6158,4)="LVAX",LEFT(K6158,6)="MV15AX",LEFT(K6158,4)="CTAX",LEFT(K6158,2)="W|"),2*N6158*O6158,0)</f>
        <v/>
      </c>
      <c r="Z6158" s="12" t="inlineStr">
        <is>
          <t>VD 2.7 %</t>
        </is>
      </c>
      <c r="AA6158" s="12">
        <f>N6158*O6158</f>
        <v/>
      </c>
    </row>
    <row r="6159">
      <c r="A6159" s="12" t="inlineStr">
        <is>
          <t>K-P-0049</t>
        </is>
      </c>
      <c r="B6159" s="12" t="inlineStr">
        <is>
          <t>K</t>
        </is>
      </c>
      <c r="C6159" s="12" t="inlineStr">
        <is>
          <t>Fuel supply (adjacent market)</t>
        </is>
      </c>
      <c r="D6159" s="12" t="inlineStr">
        <is>
          <t>LV panel / distribution feeder</t>
        </is>
      </c>
      <c r="E6159" s="12" t="inlineStr"/>
      <c r="F6159" s="12" t="inlineStr">
        <is>
          <t>LNG 17: LNG e-house (13.8 kV / 480 V)</t>
        </is>
      </c>
      <c r="G6159" s="12" t="inlineStr"/>
      <c r="H6159" s="12" t="inlineStr">
        <is>
          <t>M&amp;R 6: regulation / flow control building</t>
        </is>
      </c>
      <c r="I6159" s="12" t="inlineStr">
        <is>
          <t>LV 600 V</t>
        </is>
      </c>
      <c r="J6159" s="12" t="inlineStr">
        <is>
          <t>ARMOR-X MC-HL 600 V 3/C Cu XHHW-2 + ground, CWA, black PVC (Class I Div 2)</t>
        </is>
      </c>
      <c r="K6159" s="12" t="inlineStr">
        <is>
          <t>LVAX|3/C+G|8</t>
        </is>
      </c>
      <c r="L6159" s="12" t="inlineStr">
        <is>
          <t>3/C+G</t>
        </is>
      </c>
      <c r="M6159" s="12" t="inlineStr">
        <is>
          <t>8</t>
        </is>
      </c>
      <c r="N6159" s="12" t="n">
        <v>1</v>
      </c>
      <c r="O6159" s="12" t="n">
        <v>1</v>
      </c>
      <c r="P6159" s="12" t="n">
        <v>480</v>
      </c>
      <c r="Q6159" s="12" t="n">
        <v>10</v>
      </c>
      <c r="R6159" s="12" t="n">
        <v>14.2</v>
      </c>
      <c r="S6159" s="12" t="inlineStr">
        <is>
          <t>Duct bank</t>
        </is>
      </c>
      <c r="T6159" s="17" t="n">
        <v>470</v>
      </c>
      <c r="U6159" s="17" t="n">
        <v>70</v>
      </c>
      <c r="V6159" s="17">
        <f>ROUNDUP((T6159+U6159+2*'Read Me'!$B$13)*(1+'Read Me'!$B$12),-1)</f>
        <v/>
      </c>
      <c r="W6159" s="17">
        <f>V6159*N6159*O6159</f>
        <v/>
      </c>
      <c r="X6159" s="12">
        <f>IF(LEFT(I6159,2)="MV",2*N6159*IF(L6159="1/C",O6159,1),0)</f>
        <v/>
      </c>
      <c r="Y6159" s="12">
        <f>IF(OR(LEFT(K6159,4)="LVAX",LEFT(K6159,6)="MV15AX",LEFT(K6159,4)="CTAX",LEFT(K6159,2)="W|"),2*N6159*O6159,0)</f>
        <v/>
      </c>
      <c r="Z6159" s="12" t="inlineStr">
        <is>
          <t>VD 2.3 %</t>
        </is>
      </c>
      <c r="AA6159" s="12">
        <f>N6159*O6159</f>
        <v/>
      </c>
    </row>
    <row r="6160">
      <c r="A6160" s="12" t="inlineStr">
        <is>
          <t>K-P-0050</t>
        </is>
      </c>
      <c r="B6160" s="12" t="inlineStr">
        <is>
          <t>K</t>
        </is>
      </c>
      <c r="C6160" s="12" t="inlineStr">
        <is>
          <t>Fuel supply (adjacent market)</t>
        </is>
      </c>
      <c r="D6160" s="12" t="inlineStr">
        <is>
          <t>LV panel / distribution feeder</t>
        </is>
      </c>
      <c r="E6160" s="12" t="inlineStr"/>
      <c r="F6160" s="12" t="inlineStr">
        <is>
          <t>LNG 17: LNG e-house (13.8 kV / 480 V)</t>
        </is>
      </c>
      <c r="G6160" s="12" t="inlineStr"/>
      <c r="H6160" s="12" t="inlineStr">
        <is>
          <t>M&amp;R 7: gas quality + measurement building</t>
        </is>
      </c>
      <c r="I6160" s="12" t="inlineStr">
        <is>
          <t>LV 600 V</t>
        </is>
      </c>
      <c r="J6160" s="12" t="inlineStr">
        <is>
          <t>ARMOR-X MC-HL 600 V 3/C Cu XHHW-2 + ground, CWA, black PVC (Class I Div 2)</t>
        </is>
      </c>
      <c r="K6160" s="12" t="inlineStr">
        <is>
          <t>LVAX|3/C+G|2</t>
        </is>
      </c>
      <c r="L6160" s="12" t="inlineStr">
        <is>
          <t>3/C+G</t>
        </is>
      </c>
      <c r="M6160" s="12" t="inlineStr">
        <is>
          <t>2</t>
        </is>
      </c>
      <c r="N6160" s="12" t="n">
        <v>1</v>
      </c>
      <c r="O6160" s="12" t="n">
        <v>1</v>
      </c>
      <c r="P6160" s="12" t="n">
        <v>480</v>
      </c>
      <c r="Q6160" s="12" t="n">
        <v>30</v>
      </c>
      <c r="R6160" s="12" t="n">
        <v>42.5</v>
      </c>
      <c r="S6160" s="12" t="inlineStr">
        <is>
          <t>Duct bank</t>
        </is>
      </c>
      <c r="T6160" s="17" t="n">
        <v>616</v>
      </c>
      <c r="U6160" s="17" t="n">
        <v>52</v>
      </c>
      <c r="V6160" s="17">
        <f>ROUNDUP((T6160+U6160+2*'Read Me'!$B$13)*(1+'Read Me'!$B$12),-1)</f>
        <v/>
      </c>
      <c r="W6160" s="17">
        <f>V6160*N6160*O6160</f>
        <v/>
      </c>
      <c r="X6160" s="12">
        <f>IF(LEFT(I6160,2)="MV",2*N6160*IF(L6160="1/C",O6160,1),0)</f>
        <v/>
      </c>
      <c r="Y6160" s="12">
        <f>IF(OR(LEFT(K6160,4)="LVAX",LEFT(K6160,6)="MV15AX",LEFT(K6160,4)="CTAX",LEFT(K6160,2)="W|"),2*N6160*O6160,0)</f>
        <v/>
      </c>
      <c r="Z6160" s="12" t="inlineStr">
        <is>
          <t>VD 2.2 %</t>
        </is>
      </c>
      <c r="AA6160" s="12">
        <f>N6160*O6160</f>
        <v/>
      </c>
    </row>
    <row r="6161">
      <c r="A6161" s="12" t="inlineStr">
        <is>
          <t>K-P-0051</t>
        </is>
      </c>
      <c r="B6161" s="12" t="inlineStr">
        <is>
          <t>K</t>
        </is>
      </c>
      <c r="C6161" s="12" t="inlineStr">
        <is>
          <t>Fuel supply (adjacent market)</t>
        </is>
      </c>
      <c r="D6161" s="12" t="inlineStr">
        <is>
          <t>LV power feeder</t>
        </is>
      </c>
      <c r="E6161" s="12" t="inlineStr"/>
      <c r="F6161" s="12" t="inlineStr">
        <is>
          <t>LNG 17: LNG e-house (13.8 kV / 480 V)</t>
        </is>
      </c>
      <c r="G6161" s="12" t="inlineStr"/>
      <c r="H6161" s="12" t="inlineStr">
        <is>
          <t>M&amp;R 8: condensate tank</t>
        </is>
      </c>
      <c r="I6161" s="12" t="inlineStr">
        <is>
          <t>LV 600 V</t>
        </is>
      </c>
      <c r="J6161" s="12" t="inlineStr">
        <is>
          <t>ARMOR-X MC-HL 600 V 3/C Cu XHHW-2 + ground, CWA, black PVC (Class I Div 2)</t>
        </is>
      </c>
      <c r="K6161" s="12" t="inlineStr">
        <is>
          <t>LVAX|3/C+G|8</t>
        </is>
      </c>
      <c r="L6161" s="12" t="inlineStr">
        <is>
          <t>3/C+G</t>
        </is>
      </c>
      <c r="M6161" s="12" t="inlineStr">
        <is>
          <t>8</t>
        </is>
      </c>
      <c r="N6161" s="12" t="n">
        <v>1</v>
      </c>
      <c r="O6161" s="12" t="n">
        <v>1</v>
      </c>
      <c r="P6161" s="12" t="n">
        <v>480</v>
      </c>
      <c r="Q6161" s="12" t="n">
        <v>10</v>
      </c>
      <c r="R6161" s="12" t="n">
        <v>14.2</v>
      </c>
      <c r="S6161" s="12" t="inlineStr">
        <is>
          <t>Duct bank</t>
        </is>
      </c>
      <c r="T6161" s="17" t="n">
        <v>530</v>
      </c>
      <c r="U6161" s="17" t="n">
        <v>87</v>
      </c>
      <c r="V6161" s="17">
        <f>ROUNDUP((T6161+U6161+2*'Read Me'!$B$13)*(1+'Read Me'!$B$12),-1)</f>
        <v/>
      </c>
      <c r="W6161" s="17">
        <f>V6161*N6161*O6161</f>
        <v/>
      </c>
      <c r="X6161" s="12">
        <f>IF(LEFT(I6161,2)="MV",2*N6161*IF(L6161="1/C",O6161,1),0)</f>
        <v/>
      </c>
      <c r="Y6161" s="12">
        <f>IF(OR(LEFT(K6161,4)="LVAX",LEFT(K6161,6)="MV15AX",LEFT(K6161,4)="CTAX",LEFT(K6161,2)="W|"),2*N6161*O6161,0)</f>
        <v/>
      </c>
      <c r="Z6161" s="12" t="inlineStr">
        <is>
          <t>VD 2.6 %</t>
        </is>
      </c>
      <c r="AA6161" s="12">
        <f>N6161*O6161</f>
        <v/>
      </c>
    </row>
    <row r="6162">
      <c r="A6162" s="12" t="inlineStr">
        <is>
          <t>K-P-0052</t>
        </is>
      </c>
      <c r="B6162" s="12" t="inlineStr">
        <is>
          <t>K</t>
        </is>
      </c>
      <c r="C6162" s="12" t="inlineStr">
        <is>
          <t>Fuel supply (adjacent market)</t>
        </is>
      </c>
      <c r="D6162" s="12" t="inlineStr">
        <is>
          <t>LV power feeder</t>
        </is>
      </c>
      <c r="E6162" s="12" t="inlineStr"/>
      <c r="F6162" s="12" t="inlineStr">
        <is>
          <t>LNG 17: LNG e-house (13.8 kV / 480 V)</t>
        </is>
      </c>
      <c r="G6162" s="12" t="inlineStr"/>
      <c r="H6162" s="12" t="inlineStr">
        <is>
          <t>M&amp;R 9: service panel + UPS, SCADA RTU, CP</t>
        </is>
      </c>
      <c r="I6162" s="12" t="inlineStr">
        <is>
          <t>LV 600 V</t>
        </is>
      </c>
      <c r="J6162" s="12" t="inlineStr">
        <is>
          <t>ARMOR-X MC-HL 600 V 3/C Cu XHHW-2 + ground, CWA, black PVC (Class I Div 2)</t>
        </is>
      </c>
      <c r="K6162" s="12" t="inlineStr">
        <is>
          <t>LVAX|3/C+G|6</t>
        </is>
      </c>
      <c r="L6162" s="12" t="inlineStr">
        <is>
          <t>3/C+G</t>
        </is>
      </c>
      <c r="M6162" s="12" t="inlineStr">
        <is>
          <t>6</t>
        </is>
      </c>
      <c r="N6162" s="12" t="n">
        <v>1</v>
      </c>
      <c r="O6162" s="12" t="n">
        <v>1</v>
      </c>
      <c r="P6162" s="12" t="n">
        <v>480</v>
      </c>
      <c r="Q6162" s="12" t="n">
        <v>15</v>
      </c>
      <c r="R6162" s="12" t="n">
        <v>21.2</v>
      </c>
      <c r="S6162" s="12" t="inlineStr">
        <is>
          <t>Duct bank</t>
        </is>
      </c>
      <c r="T6162" s="17" t="n">
        <v>466</v>
      </c>
      <c r="U6162" s="17" t="n">
        <v>32</v>
      </c>
      <c r="V6162" s="17">
        <f>ROUNDUP((T6162+U6162+2*'Read Me'!$B$13)*(1+'Read Me'!$B$12),-1)</f>
        <v/>
      </c>
      <c r="W6162" s="17">
        <f>V6162*N6162*O6162</f>
        <v/>
      </c>
      <c r="X6162" s="12">
        <f>IF(LEFT(I6162,2)="MV",2*N6162*IF(L6162="1/C",O6162,1),0)</f>
        <v/>
      </c>
      <c r="Y6162" s="12">
        <f>IF(OR(LEFT(K6162,4)="LVAX",LEFT(K6162,6)="MV15AX",LEFT(K6162,4)="CTAX",LEFT(K6162,2)="W|"),2*N6162*O6162,0)</f>
        <v/>
      </c>
      <c r="Z6162" s="12" t="inlineStr">
        <is>
          <t>VD 2.1 %</t>
        </is>
      </c>
      <c r="AA6162" s="12">
        <f>N6162*O6162</f>
        <v/>
      </c>
    </row>
    <row r="6163">
      <c r="A6163" s="12" t="inlineStr">
        <is>
          <t>K-P-0053</t>
        </is>
      </c>
      <c r="B6163" s="12" t="inlineStr">
        <is>
          <t>K</t>
        </is>
      </c>
      <c r="C6163" s="12" t="inlineStr">
        <is>
          <t>Fuel supply (adjacent market)</t>
        </is>
      </c>
      <c r="D6163" s="12" t="inlineStr">
        <is>
          <t>LV power feeder</t>
        </is>
      </c>
      <c r="E6163" s="12" t="inlineStr"/>
      <c r="F6163" s="12" t="inlineStr">
        <is>
          <t>LNG 17: LNG e-house (13.8 kV / 480 V)</t>
        </is>
      </c>
      <c r="G6163" s="12" t="inlineStr"/>
      <c r="H6163" s="12" t="inlineStr">
        <is>
          <t>M&amp;R CP test station (as drawn)</t>
        </is>
      </c>
      <c r="I6163" s="12" t="inlineStr">
        <is>
          <t>LV 600 V</t>
        </is>
      </c>
      <c r="J6163" s="12" t="inlineStr">
        <is>
          <t>ARMOR-X MC-HL 600 V 3/C Cu XHHW-2 + ground, CWA, black PVC (Class I Div 2)</t>
        </is>
      </c>
      <c r="K6163" s="12" t="inlineStr">
        <is>
          <t>LVAX|3/C+G|6</t>
        </is>
      </c>
      <c r="L6163" s="12" t="inlineStr">
        <is>
          <t>3/C+G</t>
        </is>
      </c>
      <c r="M6163" s="12" t="inlineStr">
        <is>
          <t>6</t>
        </is>
      </c>
      <c r="N6163" s="12" t="n">
        <v>1</v>
      </c>
      <c r="O6163" s="12" t="n">
        <v>1</v>
      </c>
      <c r="P6163" s="12" t="n">
        <v>480</v>
      </c>
      <c r="Q6163" s="12" t="n">
        <v>15</v>
      </c>
      <c r="R6163" s="12" t="n">
        <v>21.2</v>
      </c>
      <c r="S6163" s="12" t="inlineStr">
        <is>
          <t>Duct bank</t>
        </is>
      </c>
      <c r="T6163" s="17" t="n">
        <v>441</v>
      </c>
      <c r="U6163" s="17" t="n">
        <v>42</v>
      </c>
      <c r="V6163" s="17">
        <f>ROUNDUP((T6163+U6163+2*'Read Me'!$B$13)*(1+'Read Me'!$B$12),-1)</f>
        <v/>
      </c>
      <c r="W6163" s="17">
        <f>V6163*N6163*O6163</f>
        <v/>
      </c>
      <c r="X6163" s="12">
        <f>IF(LEFT(I6163,2)="MV",2*N6163*IF(L6163="1/C",O6163,1),0)</f>
        <v/>
      </c>
      <c r="Y6163" s="12">
        <f>IF(OR(LEFT(K6163,4)="LVAX",LEFT(K6163,6)="MV15AX",LEFT(K6163,4)="CTAX",LEFT(K6163,2)="W|"),2*N6163*O6163,0)</f>
        <v/>
      </c>
      <c r="Z6163" s="12" t="inlineStr">
        <is>
          <t>VD 2.0 %</t>
        </is>
      </c>
      <c r="AA6163" s="12">
        <f>N6163*O6163</f>
        <v/>
      </c>
    </row>
    <row r="6164">
      <c r="A6164" s="12" t="inlineStr">
        <is>
          <t>K-P-0054</t>
        </is>
      </c>
      <c r="B6164" s="12" t="inlineStr">
        <is>
          <t>K</t>
        </is>
      </c>
      <c r="C6164" s="12" t="inlineStr">
        <is>
          <t>Fuel supply (adjacent market)</t>
        </is>
      </c>
      <c r="D6164" s="12" t="inlineStr">
        <is>
          <t>LV power feeder</t>
        </is>
      </c>
      <c r="E6164" s="12" t="inlineStr"/>
      <c r="F6164" s="12" t="inlineStr">
        <is>
          <t>LNG 17: LNG e-house (13.8 kV / 480 V)</t>
        </is>
      </c>
      <c r="G6164" s="12" t="inlineStr"/>
      <c r="H6164" s="12" t="inlineStr">
        <is>
          <t>M&amp;R SCADA antenna mast base (as drawn)</t>
        </is>
      </c>
      <c r="I6164" s="12" t="inlineStr">
        <is>
          <t>LV 600 V</t>
        </is>
      </c>
      <c r="J6164" s="12" t="inlineStr">
        <is>
          <t>ARMOR-X MC-HL 600 V 3/C Cu XHHW-2 + ground, CWA, black PVC (Class I Div 2)</t>
        </is>
      </c>
      <c r="K6164" s="12" t="inlineStr">
        <is>
          <t>LVAX|3/C+G|8</t>
        </is>
      </c>
      <c r="L6164" s="12" t="inlineStr">
        <is>
          <t>3/C+G</t>
        </is>
      </c>
      <c r="M6164" s="12" t="inlineStr">
        <is>
          <t>8</t>
        </is>
      </c>
      <c r="N6164" s="12" t="n">
        <v>1</v>
      </c>
      <c r="O6164" s="12" t="n">
        <v>1</v>
      </c>
      <c r="P6164" s="12" t="n">
        <v>480</v>
      </c>
      <c r="Q6164" s="12" t="n">
        <v>15</v>
      </c>
      <c r="R6164" s="12" t="n">
        <v>21.2</v>
      </c>
      <c r="S6164" s="12" t="inlineStr">
        <is>
          <t>Duct bank</t>
        </is>
      </c>
      <c r="T6164" s="17" t="n">
        <v>433</v>
      </c>
      <c r="U6164" s="17" t="n">
        <v>32</v>
      </c>
      <c r="V6164" s="17">
        <f>ROUNDUP((T6164+U6164+2*'Read Me'!$B$13)*(1+'Read Me'!$B$12),-1)</f>
        <v/>
      </c>
      <c r="W6164" s="17">
        <f>V6164*N6164*O6164</f>
        <v/>
      </c>
      <c r="X6164" s="12">
        <f>IF(LEFT(I6164,2)="MV",2*N6164*IF(L6164="1/C",O6164,1),0)</f>
        <v/>
      </c>
      <c r="Y6164" s="12">
        <f>IF(OR(LEFT(K6164,4)="LVAX",LEFT(K6164,6)="MV15AX",LEFT(K6164,4)="CTAX",LEFT(K6164,2)="W|"),2*N6164*O6164,0)</f>
        <v/>
      </c>
      <c r="Z6164" s="12" t="inlineStr">
        <is>
          <t>VD 3.0 %</t>
        </is>
      </c>
      <c r="AA6164" s="12">
        <f>N6164*O6164</f>
        <v/>
      </c>
    </row>
    <row r="6165">
      <c r="A6165" s="12" t="inlineStr">
        <is>
          <t>K-MV-0001</t>
        </is>
      </c>
      <c r="B6165" s="12" t="inlineStr">
        <is>
          <t>K</t>
        </is>
      </c>
      <c r="C6165" s="12" t="inlineStr">
        <is>
          <t>Fuel supply (adjacent market)</t>
        </is>
      </c>
      <c r="D6165" s="12" t="inlineStr">
        <is>
          <t>H2 13.8 kV e-house (electrolyzers)</t>
        </is>
      </c>
      <c r="E6165" s="12" t="inlineStr">
        <is>
          <t>SWGR-13.8-3</t>
        </is>
      </c>
      <c r="F6165" s="12" t="inlineStr">
        <is>
          <t>R1 SWGR-13.8-3 (11 x 36 in cubicles, 15 kV metal-clad)</t>
        </is>
      </c>
      <c r="G6165" s="12" t="inlineStr"/>
      <c r="H6165" s="12" t="inlineStr">
        <is>
          <t>H2 20: 13.8 kV e-house</t>
        </is>
      </c>
      <c r="I6165" s="12" t="inlineStr">
        <is>
          <t>MV 15 kV</t>
        </is>
      </c>
      <c r="J6165" s="12" t="inlineStr">
        <is>
          <t>MV-105 15 kV 1/C Cu, EPR 133%, Cu tape shield, PVC jacket (triplexed)</t>
        </is>
      </c>
      <c r="K6165" s="12" t="inlineStr">
        <is>
          <t>MV15|1/C|750</t>
        </is>
      </c>
      <c r="L6165" s="12" t="inlineStr">
        <is>
          <t>1/C</t>
        </is>
      </c>
      <c r="M6165" s="12" t="inlineStr">
        <is>
          <t>750 kcmil</t>
        </is>
      </c>
      <c r="N6165" s="12" t="n">
        <v>2</v>
      </c>
      <c r="O6165" s="12" t="n">
        <v>3</v>
      </c>
      <c r="P6165" s="12" t="n">
        <v>13800</v>
      </c>
      <c r="Q6165" s="12" t="n">
        <v>20000</v>
      </c>
      <c r="R6165" s="12" t="n">
        <v>837</v>
      </c>
      <c r="S6165" s="12" t="inlineStr">
        <is>
          <t>HV duct bank</t>
        </is>
      </c>
      <c r="T6165" s="17" t="n">
        <v>4013</v>
      </c>
      <c r="U6165" s="17" t="n">
        <v>128</v>
      </c>
      <c r="V6165" s="17">
        <f>ROUNDUP((T6165+U6165+2*'Read Me'!$B$13)*(1+'Read Me'!$B$12),-1)</f>
        <v/>
      </c>
      <c r="W6165" s="17">
        <f>V6165*N6165*O6165</f>
        <v/>
      </c>
      <c r="X6165" s="12">
        <f>IF(LEFT(I6165,2)="MV",2*N6165*IF(L6165="1/C",O6165,1),0)</f>
        <v/>
      </c>
      <c r="Y6165" s="12">
        <f>IF(OR(LEFT(K6165,4)="LVAX",LEFT(K6165,6)="MV15AX",LEFT(K6165,4)="CTAX",LEFT(K6165,2)="W|"),2*N6165*O6165,0)</f>
        <v/>
      </c>
      <c r="Z6165" s="12" t="inlineStr"/>
      <c r="AA6165" s="12">
        <f>N6165*O6165</f>
        <v/>
      </c>
    </row>
    <row r="6166">
      <c r="A6166" s="12" t="inlineStr">
        <is>
          <t>K-MV-0002</t>
        </is>
      </c>
      <c r="B6166" s="12" t="inlineStr">
        <is>
          <t>K</t>
        </is>
      </c>
      <c r="C6166" s="12" t="inlineStr">
        <is>
          <t>Fuel supply (adjacent market)</t>
        </is>
      </c>
      <c r="D6166" s="12" t="inlineStr">
        <is>
          <t>LNG e-house</t>
        </is>
      </c>
      <c r="E6166" s="12" t="inlineStr">
        <is>
          <t>SWGR-13.8-3</t>
        </is>
      </c>
      <c r="F6166" s="12" t="inlineStr">
        <is>
          <t>R1 SWGR-13.8-3 (11 x 36 in cubicles, 15 kV metal-clad)</t>
        </is>
      </c>
      <c r="G6166" s="12" t="inlineStr"/>
      <c r="H6166" s="12" t="inlineStr">
        <is>
          <t>LNG 17: LNG e-house (13.8 kV / 480 V)</t>
        </is>
      </c>
      <c r="I6166" s="12" t="inlineStr">
        <is>
          <t>MV 15 kV</t>
        </is>
      </c>
      <c r="J6166" s="12" t="inlineStr">
        <is>
          <t>MV-105 15 kV 1/C Cu, EPR 133%, Cu tape shield, PVC jacket (triplexed)</t>
        </is>
      </c>
      <c r="K6166" s="12" t="inlineStr">
        <is>
          <t>MV15|1/C|4/0</t>
        </is>
      </c>
      <c r="L6166" s="12" t="inlineStr">
        <is>
          <t>1/C</t>
        </is>
      </c>
      <c r="M6166" s="12" t="inlineStr">
        <is>
          <t>4/0</t>
        </is>
      </c>
      <c r="N6166" s="12" t="n">
        <v>1</v>
      </c>
      <c r="O6166" s="12" t="n">
        <v>3</v>
      </c>
      <c r="P6166" s="12" t="n">
        <v>13800</v>
      </c>
      <c r="Q6166" s="12" t="n">
        <v>5000</v>
      </c>
      <c r="R6166" s="12" t="n">
        <v>209</v>
      </c>
      <c r="S6166" s="12" t="inlineStr">
        <is>
          <t>Duct bank</t>
        </is>
      </c>
      <c r="T6166" s="17" t="n">
        <v>2649</v>
      </c>
      <c r="U6166" s="17" t="n">
        <v>219</v>
      </c>
      <c r="V6166" s="17">
        <f>ROUNDUP((T6166+U6166+2*'Read Me'!$B$13)*(1+'Read Me'!$B$12),-1)</f>
        <v/>
      </c>
      <c r="W6166" s="17">
        <f>V6166*N6166*O6166</f>
        <v/>
      </c>
      <c r="X6166" s="12">
        <f>IF(LEFT(I6166,2)="MV",2*N6166*IF(L6166="1/C",O6166,1),0)</f>
        <v/>
      </c>
      <c r="Y6166" s="12">
        <f>IF(OR(LEFT(K6166,4)="LVAX",LEFT(K6166,6)="MV15AX",LEFT(K6166,4)="CTAX",LEFT(K6166,2)="W|"),2*N6166*O6166,0)</f>
        <v/>
      </c>
      <c r="Z6166" s="12" t="inlineStr"/>
      <c r="AA6166" s="12">
        <f>N6166*O6166</f>
        <v/>
      </c>
    </row>
    <row r="6167">
      <c r="A6167" s="12" t="inlineStr">
        <is>
          <t>C-C-0128</t>
        </is>
      </c>
      <c r="B6167" s="12" t="inlineStr">
        <is>
          <t>C</t>
        </is>
      </c>
      <c r="C6167" s="12" t="inlineStr">
        <is>
          <t>Grid interface</t>
        </is>
      </c>
      <c r="D6167" s="12" t="inlineStr">
        <is>
          <t>Motor 1 of 10: control / local station</t>
        </is>
      </c>
      <c r="E6167" s="12" t="inlineStr">
        <is>
          <t>MCC-C1</t>
        </is>
      </c>
      <c r="F6167" s="12" t="inlineStr">
        <is>
          <t>R1 MCC-C1</t>
        </is>
      </c>
      <c r="G6167" s="12" t="inlineStr"/>
      <c r="H6167" s="12" t="inlineStr">
        <is>
          <t xml:space="preserve">CO2 compression 3 x ~19 MW + dehydration: rooftop HVAC, exhaust fans, </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Tray</t>
        </is>
      </c>
      <c r="T6167" s="17" t="n">
        <v>1744</v>
      </c>
      <c r="U6167" s="17" t="n">
        <v>161</v>
      </c>
      <c r="V6167" s="17">
        <f>ROUNDUP((T6167+U6167+2*'Read Me'!$B$13)*(1+'Read Me'!$B$12),-1)</f>
        <v/>
      </c>
      <c r="W6167" s="17">
        <f>V6167*N6167*O6167</f>
        <v/>
      </c>
      <c r="X6167" s="12">
        <f>IF(LEFT(I6167,2)="MV",2*N6167*IF(L6167="1/C",O6167,1),0)</f>
        <v/>
      </c>
      <c r="Y6167" s="12">
        <f>IF(OR(LEFT(K6167,4)="LVAX",LEFT(K6167,6)="MV15AX",LEFT(K6167,4)="CTAX",LEFT(K6167,2)="W|"),2*N6167*O6167,0)</f>
        <v/>
      </c>
      <c r="Z6167" s="12" t="inlineStr"/>
      <c r="AA6167" s="12">
        <f>N6167*O6167</f>
        <v/>
      </c>
    </row>
    <row r="6168">
      <c r="A6168" s="12" t="inlineStr">
        <is>
          <t>C-C-0129</t>
        </is>
      </c>
      <c r="B6168" s="12" t="inlineStr">
        <is>
          <t>C</t>
        </is>
      </c>
      <c r="C6168" s="12" t="inlineStr">
        <is>
          <t>Grid interface</t>
        </is>
      </c>
      <c r="D6168" s="12" t="inlineStr">
        <is>
          <t>Motor 2 of 10: control / local station</t>
        </is>
      </c>
      <c r="E6168" s="12" t="inlineStr">
        <is>
          <t>MCC-C1</t>
        </is>
      </c>
      <c r="F6168" s="12" t="inlineStr">
        <is>
          <t>R1 MCC-C1</t>
        </is>
      </c>
      <c r="G6168" s="12" t="inlineStr"/>
      <c r="H6168" s="12" t="inlineStr">
        <is>
          <t xml:space="preserve">CO2 compression 3 x ~19 MW + dehydration: rooftop HVAC, exhaust fans, </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Tray</t>
        </is>
      </c>
      <c r="T6168" s="17" t="n">
        <v>1744</v>
      </c>
      <c r="U6168" s="17" t="n">
        <v>161</v>
      </c>
      <c r="V6168" s="17">
        <f>ROUNDUP((T6168+U6168+2*'Read Me'!$B$13)*(1+'Read Me'!$B$12),-1)</f>
        <v/>
      </c>
      <c r="W6168" s="17">
        <f>V6168*N6168*O6168</f>
        <v/>
      </c>
      <c r="X6168" s="12">
        <f>IF(LEFT(I6168,2)="MV",2*N6168*IF(L6168="1/C",O6168,1),0)</f>
        <v/>
      </c>
      <c r="Y6168" s="12">
        <f>IF(OR(LEFT(K6168,4)="LVAX",LEFT(K6168,6)="MV15AX",LEFT(K6168,4)="CTAX",LEFT(K6168,2)="W|"),2*N6168*O6168,0)</f>
        <v/>
      </c>
      <c r="Z6168" s="12" t="inlineStr"/>
      <c r="AA6168" s="12">
        <f>N6168*O6168</f>
        <v/>
      </c>
    </row>
    <row r="6169">
      <c r="A6169" s="12" t="inlineStr">
        <is>
          <t>C-C-0130</t>
        </is>
      </c>
      <c r="B6169" s="12" t="inlineStr">
        <is>
          <t>C</t>
        </is>
      </c>
      <c r="C6169" s="12" t="inlineStr">
        <is>
          <t>Grid interface</t>
        </is>
      </c>
      <c r="D6169" s="12" t="inlineStr">
        <is>
          <t>Motor 3 of 10: control / local station</t>
        </is>
      </c>
      <c r="E6169" s="12" t="inlineStr">
        <is>
          <t>MCC-C1</t>
        </is>
      </c>
      <c r="F6169" s="12" t="inlineStr">
        <is>
          <t>R1 MCC-C1</t>
        </is>
      </c>
      <c r="G6169" s="12" t="inlineStr"/>
      <c r="H6169" s="12" t="inlineStr">
        <is>
          <t xml:space="preserve">CO2 compression 3 x ~19 MW + dehydration: rooftop HVAC, exhaust fans, </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Tray</t>
        </is>
      </c>
      <c r="T6169" s="17" t="n">
        <v>1744</v>
      </c>
      <c r="U6169" s="17" t="n">
        <v>161</v>
      </c>
      <c r="V6169" s="17">
        <f>ROUNDUP((T6169+U6169+2*'Read Me'!$B$13)*(1+'Read Me'!$B$12),-1)</f>
        <v/>
      </c>
      <c r="W6169" s="17">
        <f>V6169*N6169*O6169</f>
        <v/>
      </c>
      <c r="X6169" s="12">
        <f>IF(LEFT(I6169,2)="MV",2*N6169*IF(L6169="1/C",O6169,1),0)</f>
        <v/>
      </c>
      <c r="Y6169" s="12">
        <f>IF(OR(LEFT(K6169,4)="LVAX",LEFT(K6169,6)="MV15AX",LEFT(K6169,4)="CTAX",LEFT(K6169,2)="W|"),2*N6169*O6169,0)</f>
        <v/>
      </c>
      <c r="Z6169" s="12" t="inlineStr"/>
      <c r="AA6169" s="12">
        <f>N6169*O6169</f>
        <v/>
      </c>
    </row>
    <row r="6170">
      <c r="A6170" s="12" t="inlineStr">
        <is>
          <t>C-C-0131</t>
        </is>
      </c>
      <c r="B6170" s="12" t="inlineStr">
        <is>
          <t>C</t>
        </is>
      </c>
      <c r="C6170" s="12" t="inlineStr">
        <is>
          <t>Grid interface</t>
        </is>
      </c>
      <c r="D6170" s="12" t="inlineStr">
        <is>
          <t>Motor 4 of 10: control / local station</t>
        </is>
      </c>
      <c r="E6170" s="12" t="inlineStr">
        <is>
          <t>MCC-C1</t>
        </is>
      </c>
      <c r="F6170" s="12" t="inlineStr">
        <is>
          <t>R1 MCC-C1</t>
        </is>
      </c>
      <c r="G6170" s="12" t="inlineStr"/>
      <c r="H6170" s="12" t="inlineStr">
        <is>
          <t xml:space="preserve">CO2 compression 3 x ~19 MW + dehydration: rooftop HVAC, exhaust fans, </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Tray</t>
        </is>
      </c>
      <c r="T6170" s="17" t="n">
        <v>1744</v>
      </c>
      <c r="U6170" s="17" t="n">
        <v>161</v>
      </c>
      <c r="V6170" s="17">
        <f>ROUNDUP((T6170+U6170+2*'Read Me'!$B$13)*(1+'Read Me'!$B$12),-1)</f>
        <v/>
      </c>
      <c r="W6170" s="17">
        <f>V6170*N6170*O6170</f>
        <v/>
      </c>
      <c r="X6170" s="12">
        <f>IF(LEFT(I6170,2)="MV",2*N6170*IF(L6170="1/C",O6170,1),0)</f>
        <v/>
      </c>
      <c r="Y6170" s="12">
        <f>IF(OR(LEFT(K6170,4)="LVAX",LEFT(K6170,6)="MV15AX",LEFT(K6170,4)="CTAX",LEFT(K6170,2)="W|"),2*N6170*O6170,0)</f>
        <v/>
      </c>
      <c r="Z6170" s="12" t="inlineStr"/>
      <c r="AA6170" s="12">
        <f>N6170*O6170</f>
        <v/>
      </c>
    </row>
    <row r="6171">
      <c r="A6171" s="12" t="inlineStr">
        <is>
          <t>C-C-0132</t>
        </is>
      </c>
      <c r="B6171" s="12" t="inlineStr">
        <is>
          <t>C</t>
        </is>
      </c>
      <c r="C6171" s="12" t="inlineStr">
        <is>
          <t>Grid interface</t>
        </is>
      </c>
      <c r="D6171" s="12" t="inlineStr">
        <is>
          <t>Motor 5 of 10: control / local station</t>
        </is>
      </c>
      <c r="E6171" s="12" t="inlineStr">
        <is>
          <t>MCC-C1</t>
        </is>
      </c>
      <c r="F6171" s="12" t="inlineStr">
        <is>
          <t>R1 MCC-C1</t>
        </is>
      </c>
      <c r="G6171" s="12" t="inlineStr"/>
      <c r="H6171" s="12" t="inlineStr">
        <is>
          <t xml:space="preserve">CO2 compression 3 x ~19 MW + dehydration: rooftop HVAC, exhaust fans, </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Tray</t>
        </is>
      </c>
      <c r="T6171" s="17" t="n">
        <v>1744</v>
      </c>
      <c r="U6171" s="17" t="n">
        <v>161</v>
      </c>
      <c r="V6171" s="17">
        <f>ROUNDUP((T6171+U6171+2*'Read Me'!$B$13)*(1+'Read Me'!$B$12),-1)</f>
        <v/>
      </c>
      <c r="W6171" s="17">
        <f>V6171*N6171*O6171</f>
        <v/>
      </c>
      <c r="X6171" s="12">
        <f>IF(LEFT(I6171,2)="MV",2*N6171*IF(L6171="1/C",O6171,1),0)</f>
        <v/>
      </c>
      <c r="Y6171" s="12">
        <f>IF(OR(LEFT(K6171,4)="LVAX",LEFT(K6171,6)="MV15AX",LEFT(K6171,4)="CTAX",LEFT(K6171,2)="W|"),2*N6171*O6171,0)</f>
        <v/>
      </c>
      <c r="Z6171" s="12" t="inlineStr"/>
      <c r="AA6171" s="12">
        <f>N6171*O6171</f>
        <v/>
      </c>
    </row>
    <row r="6172">
      <c r="A6172" s="12" t="inlineStr">
        <is>
          <t>C-C-0133</t>
        </is>
      </c>
      <c r="B6172" s="12" t="inlineStr">
        <is>
          <t>C</t>
        </is>
      </c>
      <c r="C6172" s="12" t="inlineStr">
        <is>
          <t>Grid interface</t>
        </is>
      </c>
      <c r="D6172" s="12" t="inlineStr">
        <is>
          <t>Motor 6 of 10: control / local station</t>
        </is>
      </c>
      <c r="E6172" s="12" t="inlineStr">
        <is>
          <t>MCC-C1</t>
        </is>
      </c>
      <c r="F6172" s="12" t="inlineStr">
        <is>
          <t>R1 MCC-C1</t>
        </is>
      </c>
      <c r="G6172" s="12" t="inlineStr"/>
      <c r="H6172" s="12" t="inlineStr">
        <is>
          <t xml:space="preserve">CO2 compression 3 x ~19 MW + dehydration: rooftop HVAC, exhaust fans, </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Tray</t>
        </is>
      </c>
      <c r="T6172" s="17" t="n">
        <v>1744</v>
      </c>
      <c r="U6172" s="17" t="n">
        <v>161</v>
      </c>
      <c r="V6172" s="17">
        <f>ROUNDUP((T6172+U6172+2*'Read Me'!$B$13)*(1+'Read Me'!$B$12),-1)</f>
        <v/>
      </c>
      <c r="W6172" s="17">
        <f>V6172*N6172*O6172</f>
        <v/>
      </c>
      <c r="X6172" s="12">
        <f>IF(LEFT(I6172,2)="MV",2*N6172*IF(L6172="1/C",O6172,1),0)</f>
        <v/>
      </c>
      <c r="Y6172" s="12">
        <f>IF(OR(LEFT(K6172,4)="LVAX",LEFT(K6172,6)="MV15AX",LEFT(K6172,4)="CTAX",LEFT(K6172,2)="W|"),2*N6172*O6172,0)</f>
        <v/>
      </c>
      <c r="Z6172" s="12" t="inlineStr"/>
      <c r="AA6172" s="12">
        <f>N6172*O6172</f>
        <v/>
      </c>
    </row>
    <row r="6173">
      <c r="A6173" s="12" t="inlineStr">
        <is>
          <t>C-C-0134</t>
        </is>
      </c>
      <c r="B6173" s="12" t="inlineStr">
        <is>
          <t>C</t>
        </is>
      </c>
      <c r="C6173" s="12" t="inlineStr">
        <is>
          <t>Grid interface</t>
        </is>
      </c>
      <c r="D6173" s="12" t="inlineStr">
        <is>
          <t>Motor 7 of 10: control / local station</t>
        </is>
      </c>
      <c r="E6173" s="12" t="inlineStr">
        <is>
          <t>MCC-C1</t>
        </is>
      </c>
      <c r="F6173" s="12" t="inlineStr">
        <is>
          <t>R1 MCC-C1</t>
        </is>
      </c>
      <c r="G6173" s="12" t="inlineStr"/>
      <c r="H6173" s="12" t="inlineStr">
        <is>
          <t xml:space="preserve">CO2 compression 3 x ~19 MW + dehydration: rooftop HVAC, exhaust fans, </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Tray</t>
        </is>
      </c>
      <c r="T6173" s="17" t="n">
        <v>1744</v>
      </c>
      <c r="U6173" s="17" t="n">
        <v>161</v>
      </c>
      <c r="V6173" s="17">
        <f>ROUNDUP((T6173+U6173+2*'Read Me'!$B$13)*(1+'Read Me'!$B$12),-1)</f>
        <v/>
      </c>
      <c r="W6173" s="17">
        <f>V6173*N6173*O6173</f>
        <v/>
      </c>
      <c r="X6173" s="12">
        <f>IF(LEFT(I6173,2)="MV",2*N6173*IF(L6173="1/C",O6173,1),0)</f>
        <v/>
      </c>
      <c r="Y6173" s="12">
        <f>IF(OR(LEFT(K6173,4)="LVAX",LEFT(K6173,6)="MV15AX",LEFT(K6173,4)="CTAX",LEFT(K6173,2)="W|"),2*N6173*O6173,0)</f>
        <v/>
      </c>
      <c r="Z6173" s="12" t="inlineStr"/>
      <c r="AA6173" s="12">
        <f>N6173*O6173</f>
        <v/>
      </c>
    </row>
    <row r="6174">
      <c r="A6174" s="12" t="inlineStr">
        <is>
          <t>C-C-0135</t>
        </is>
      </c>
      <c r="B6174" s="12" t="inlineStr">
        <is>
          <t>C</t>
        </is>
      </c>
      <c r="C6174" s="12" t="inlineStr">
        <is>
          <t>Grid interface</t>
        </is>
      </c>
      <c r="D6174" s="12" t="inlineStr">
        <is>
          <t>Motor 8 of 10: control / local station</t>
        </is>
      </c>
      <c r="E6174" s="12" t="inlineStr">
        <is>
          <t>MCC-C1</t>
        </is>
      </c>
      <c r="F6174" s="12" t="inlineStr">
        <is>
          <t>R1 MCC-C1</t>
        </is>
      </c>
      <c r="G6174" s="12" t="inlineStr"/>
      <c r="H6174" s="12" t="inlineStr">
        <is>
          <t xml:space="preserve">CO2 compression 3 x ~19 MW + dehydration: rooftop HVAC, exhaust fans, </t>
        </is>
      </c>
      <c r="I6174" s="12" t="inlineStr">
        <is>
          <t>Control</t>
        </is>
      </c>
      <c r="J6174" s="12" t="inlineStr">
        <is>
          <t>Control cable 600 V Type TC-ER, Cu #14 AWG, PVC jacket</t>
        </is>
      </c>
      <c r="K6174" s="12" t="inlineStr">
        <is>
          <t>CT|7/C|14</t>
        </is>
      </c>
      <c r="L6174" s="12" t="inlineStr">
        <is>
          <t>7/C</t>
        </is>
      </c>
      <c r="M6174" s="12" t="inlineStr">
        <is>
          <t>14</t>
        </is>
      </c>
      <c r="N6174" s="12" t="n">
        <v>1</v>
      </c>
      <c r="O6174" s="12" t="n">
        <v>1</v>
      </c>
      <c r="P6174" s="12" t="n"/>
      <c r="Q6174" s="12" t="n"/>
      <c r="R6174" s="12" t="n"/>
      <c r="S6174" s="12" t="inlineStr">
        <is>
          <t>Tray</t>
        </is>
      </c>
      <c r="T6174" s="17" t="n">
        <v>1744</v>
      </c>
      <c r="U6174" s="17" t="n">
        <v>161</v>
      </c>
      <c r="V6174" s="17">
        <f>ROUNDUP((T6174+U6174+2*'Read Me'!$B$13)*(1+'Read Me'!$B$12),-1)</f>
        <v/>
      </c>
      <c r="W6174" s="17">
        <f>V6174*N6174*O6174</f>
        <v/>
      </c>
      <c r="X6174" s="12">
        <f>IF(LEFT(I6174,2)="MV",2*N6174*IF(L6174="1/C",O6174,1),0)</f>
        <v/>
      </c>
      <c r="Y6174" s="12">
        <f>IF(OR(LEFT(K6174,4)="LVAX",LEFT(K6174,6)="MV15AX",LEFT(K6174,4)="CTAX",LEFT(K6174,2)="W|"),2*N6174*O6174,0)</f>
        <v/>
      </c>
      <c r="Z6174" s="12" t="inlineStr"/>
      <c r="AA6174" s="12">
        <f>N6174*O6174</f>
        <v/>
      </c>
    </row>
    <row r="6175">
      <c r="A6175" s="12" t="inlineStr">
        <is>
          <t>C-C-0136</t>
        </is>
      </c>
      <c r="B6175" s="12" t="inlineStr">
        <is>
          <t>C</t>
        </is>
      </c>
      <c r="C6175" s="12" t="inlineStr">
        <is>
          <t>Grid interface</t>
        </is>
      </c>
      <c r="D6175" s="12" t="inlineStr">
        <is>
          <t>Motor 9 of 10: control / local station</t>
        </is>
      </c>
      <c r="E6175" s="12" t="inlineStr">
        <is>
          <t>MCC-C1</t>
        </is>
      </c>
      <c r="F6175" s="12" t="inlineStr">
        <is>
          <t>R1 MCC-C1</t>
        </is>
      </c>
      <c r="G6175" s="12" t="inlineStr"/>
      <c r="H6175" s="12" t="inlineStr">
        <is>
          <t xml:space="preserve">CO2 compression 3 x ~19 MW + dehydration: rooftop HVAC, exhaust fans, </t>
        </is>
      </c>
      <c r="I6175" s="12" t="inlineStr">
        <is>
          <t>Control</t>
        </is>
      </c>
      <c r="J6175" s="12" t="inlineStr">
        <is>
          <t>Control cable 600 V Type TC-ER, Cu #14 AWG, PVC jacket</t>
        </is>
      </c>
      <c r="K6175" s="12" t="inlineStr">
        <is>
          <t>CT|7/C|14</t>
        </is>
      </c>
      <c r="L6175" s="12" t="inlineStr">
        <is>
          <t>7/C</t>
        </is>
      </c>
      <c r="M6175" s="12" t="inlineStr">
        <is>
          <t>14</t>
        </is>
      </c>
      <c r="N6175" s="12" t="n">
        <v>1</v>
      </c>
      <c r="O6175" s="12" t="n">
        <v>1</v>
      </c>
      <c r="P6175" s="12" t="n"/>
      <c r="Q6175" s="12" t="n"/>
      <c r="R6175" s="12" t="n"/>
      <c r="S6175" s="12" t="inlineStr">
        <is>
          <t>Tray</t>
        </is>
      </c>
      <c r="T6175" s="17" t="n">
        <v>1744</v>
      </c>
      <c r="U6175" s="17" t="n">
        <v>161</v>
      </c>
      <c r="V6175" s="17">
        <f>ROUNDUP((T6175+U6175+2*'Read Me'!$B$13)*(1+'Read Me'!$B$12),-1)</f>
        <v/>
      </c>
      <c r="W6175" s="17">
        <f>V6175*N6175*O6175</f>
        <v/>
      </c>
      <c r="X6175" s="12">
        <f>IF(LEFT(I6175,2)="MV",2*N6175*IF(L6175="1/C",O6175,1),0)</f>
        <v/>
      </c>
      <c r="Y6175" s="12">
        <f>IF(OR(LEFT(K6175,4)="LVAX",LEFT(K6175,6)="MV15AX",LEFT(K6175,4)="CTAX",LEFT(K6175,2)="W|"),2*N6175*O6175,0)</f>
        <v/>
      </c>
      <c r="Z6175" s="12" t="inlineStr"/>
      <c r="AA6175" s="12">
        <f>N6175*O6175</f>
        <v/>
      </c>
    </row>
    <row r="6176">
      <c r="A6176" s="12" t="inlineStr">
        <is>
          <t>C-C-0137</t>
        </is>
      </c>
      <c r="B6176" s="12" t="inlineStr">
        <is>
          <t>C</t>
        </is>
      </c>
      <c r="C6176" s="12" t="inlineStr">
        <is>
          <t>Grid interface</t>
        </is>
      </c>
      <c r="D6176" s="12" t="inlineStr">
        <is>
          <t>Motor 10 of 10: control / local station</t>
        </is>
      </c>
      <c r="E6176" s="12" t="inlineStr">
        <is>
          <t>MCC-C1</t>
        </is>
      </c>
      <c r="F6176" s="12" t="inlineStr">
        <is>
          <t>R1 MCC-C1</t>
        </is>
      </c>
      <c r="G6176" s="12" t="inlineStr"/>
      <c r="H6176" s="12" t="inlineStr">
        <is>
          <t xml:space="preserve">CO2 compression 3 x ~19 MW + dehydration: rooftop HVAC, exhaust fans, </t>
        </is>
      </c>
      <c r="I6176" s="12" t="inlineStr">
        <is>
          <t>Control</t>
        </is>
      </c>
      <c r="J6176" s="12" t="inlineStr">
        <is>
          <t>Control cable 600 V Type TC-ER, Cu #14 AWG, PVC jacket</t>
        </is>
      </c>
      <c r="K6176" s="12" t="inlineStr">
        <is>
          <t>CT|7/C|14</t>
        </is>
      </c>
      <c r="L6176" s="12" t="inlineStr">
        <is>
          <t>7/C</t>
        </is>
      </c>
      <c r="M6176" s="12" t="inlineStr">
        <is>
          <t>14</t>
        </is>
      </c>
      <c r="N6176" s="12" t="n">
        <v>1</v>
      </c>
      <c r="O6176" s="12" t="n">
        <v>1</v>
      </c>
      <c r="P6176" s="12" t="n"/>
      <c r="Q6176" s="12" t="n"/>
      <c r="R6176" s="12" t="n"/>
      <c r="S6176" s="12" t="inlineStr">
        <is>
          <t>Tray</t>
        </is>
      </c>
      <c r="T6176" s="17" t="n">
        <v>1744</v>
      </c>
      <c r="U6176" s="17" t="n">
        <v>161</v>
      </c>
      <c r="V6176" s="17">
        <f>ROUNDUP((T6176+U6176+2*'Read Me'!$B$13)*(1+'Read Me'!$B$12),-1)</f>
        <v/>
      </c>
      <c r="W6176" s="17">
        <f>V6176*N6176*O6176</f>
        <v/>
      </c>
      <c r="X6176" s="12">
        <f>IF(LEFT(I6176,2)="MV",2*N6176*IF(L6176="1/C",O6176,1),0)</f>
        <v/>
      </c>
      <c r="Y6176" s="12">
        <f>IF(OR(LEFT(K6176,4)="LVAX",LEFT(K6176,6)="MV15AX",LEFT(K6176,4)="CTAX",LEFT(K6176,2)="W|"),2*N6176*O6176,0)</f>
        <v/>
      </c>
      <c r="Z6176" s="12" t="inlineStr"/>
      <c r="AA6176" s="12">
        <f>N6176*O6176</f>
        <v/>
      </c>
    </row>
    <row r="6177">
      <c r="A6177" s="12" t="inlineStr">
        <is>
          <t>C-C-0138</t>
        </is>
      </c>
      <c r="B6177" s="12" t="inlineStr">
        <is>
          <t>C</t>
        </is>
      </c>
      <c r="C6177" s="12" t="inlineStr">
        <is>
          <t>Grid interface</t>
        </is>
      </c>
      <c r="D6177" s="12" t="inlineStr">
        <is>
          <t>Motor 1 of 2: control / local station</t>
        </is>
      </c>
      <c r="E6177" s="12" t="inlineStr">
        <is>
          <t>MCC-C1</t>
        </is>
      </c>
      <c r="F6177" s="12" t="inlineStr">
        <is>
          <t>R1 MCC-C1</t>
        </is>
      </c>
      <c r="G6177" s="12" t="inlineStr"/>
      <c r="H6177" s="12" t="inlineStr">
        <is>
          <t>Small-bore piping: instrument air, service water, nitrogen, HRSG drain</t>
        </is>
      </c>
      <c r="I6177" s="12" t="inlineStr">
        <is>
          <t>Control</t>
        </is>
      </c>
      <c r="J6177" s="12" t="inlineStr">
        <is>
          <t>Control cable 600 V Type TC-ER, Cu #14 AWG, PVC jacket</t>
        </is>
      </c>
      <c r="K6177" s="12" t="inlineStr">
        <is>
          <t>CT|7/C|14</t>
        </is>
      </c>
      <c r="L6177" s="12" t="inlineStr">
        <is>
          <t>7/C</t>
        </is>
      </c>
      <c r="M6177" s="12" t="inlineStr">
        <is>
          <t>14</t>
        </is>
      </c>
      <c r="N6177" s="12" t="n">
        <v>1</v>
      </c>
      <c r="O6177" s="12" t="n">
        <v>1</v>
      </c>
      <c r="P6177" s="12" t="n"/>
      <c r="Q6177" s="12" t="n"/>
      <c r="R6177" s="12" t="n"/>
      <c r="S6177" s="12" t="inlineStr">
        <is>
          <t>Tray</t>
        </is>
      </c>
      <c r="T6177" s="17" t="n">
        <v>614</v>
      </c>
      <c r="U6177" s="17" t="n">
        <v>145</v>
      </c>
      <c r="V6177" s="17">
        <f>ROUNDUP((T6177+U6177+2*'Read Me'!$B$13)*(1+'Read Me'!$B$12),-1)</f>
        <v/>
      </c>
      <c r="W6177" s="17">
        <f>V6177*N6177*O6177</f>
        <v/>
      </c>
      <c r="X6177" s="12">
        <f>IF(LEFT(I6177,2)="MV",2*N6177*IF(L6177="1/C",O6177,1),0)</f>
        <v/>
      </c>
      <c r="Y6177" s="12">
        <f>IF(OR(LEFT(K6177,4)="LVAX",LEFT(K6177,6)="MV15AX",LEFT(K6177,4)="CTAX",LEFT(K6177,2)="W|"),2*N6177*O6177,0)</f>
        <v/>
      </c>
      <c r="Z6177" s="12" t="inlineStr"/>
      <c r="AA6177" s="12">
        <f>N6177*O6177</f>
        <v/>
      </c>
    </row>
    <row r="6178">
      <c r="A6178" s="12" t="inlineStr">
        <is>
          <t>C-C-0139</t>
        </is>
      </c>
      <c r="B6178" s="12" t="inlineStr">
        <is>
          <t>C</t>
        </is>
      </c>
      <c r="C6178" s="12" t="inlineStr">
        <is>
          <t>Grid interface</t>
        </is>
      </c>
      <c r="D6178" s="12" t="inlineStr">
        <is>
          <t>Motor 2 of 2: control / local station</t>
        </is>
      </c>
      <c r="E6178" s="12" t="inlineStr">
        <is>
          <t>MCC-C1</t>
        </is>
      </c>
      <c r="F6178" s="12" t="inlineStr">
        <is>
          <t>R1 MCC-C1</t>
        </is>
      </c>
      <c r="G6178" s="12" t="inlineStr"/>
      <c r="H6178" s="12" t="inlineStr">
        <is>
          <t>Small-bore piping: instrument air, service water, nitrogen, HRSG drain</t>
        </is>
      </c>
      <c r="I6178" s="12" t="inlineStr">
        <is>
          <t>Control</t>
        </is>
      </c>
      <c r="J6178" s="12" t="inlineStr">
        <is>
          <t>Control cable 600 V Type TC-ER, Cu #14 AWG, PVC jacket</t>
        </is>
      </c>
      <c r="K6178" s="12" t="inlineStr">
        <is>
          <t>CT|7/C|14</t>
        </is>
      </c>
      <c r="L6178" s="12" t="inlineStr">
        <is>
          <t>7/C</t>
        </is>
      </c>
      <c r="M6178" s="12" t="inlineStr">
        <is>
          <t>14</t>
        </is>
      </c>
      <c r="N6178" s="12" t="n">
        <v>1</v>
      </c>
      <c r="O6178" s="12" t="n">
        <v>1</v>
      </c>
      <c r="P6178" s="12" t="n"/>
      <c r="Q6178" s="12" t="n"/>
      <c r="R6178" s="12" t="n"/>
      <c r="S6178" s="12" t="inlineStr">
        <is>
          <t>Tray</t>
        </is>
      </c>
      <c r="T6178" s="17" t="n">
        <v>614</v>
      </c>
      <c r="U6178" s="17" t="n">
        <v>145</v>
      </c>
      <c r="V6178" s="17">
        <f>ROUNDUP((T6178+U6178+2*'Read Me'!$B$13)*(1+'Read Me'!$B$12),-1)</f>
        <v/>
      </c>
      <c r="W6178" s="17">
        <f>V6178*N6178*O6178</f>
        <v/>
      </c>
      <c r="X6178" s="12">
        <f>IF(LEFT(I6178,2)="MV",2*N6178*IF(L6178="1/C",O6178,1),0)</f>
        <v/>
      </c>
      <c r="Y6178" s="12">
        <f>IF(OR(LEFT(K6178,4)="LVAX",LEFT(K6178,6)="MV15AX",LEFT(K6178,4)="CTAX",LEFT(K6178,2)="W|"),2*N6178*O6178,0)</f>
        <v/>
      </c>
      <c r="Z6178" s="12" t="inlineStr"/>
      <c r="AA6178" s="12">
        <f>N6178*O6178</f>
        <v/>
      </c>
    </row>
    <row r="6179">
      <c r="A6179" s="12" t="inlineStr">
        <is>
          <t>C-C-0140</t>
        </is>
      </c>
      <c r="B6179" s="12" t="inlineStr">
        <is>
          <t>C</t>
        </is>
      </c>
      <c r="C6179" s="12" t="inlineStr">
        <is>
          <t>Grid interface</t>
        </is>
      </c>
      <c r="D6179" s="12" t="inlineStr">
        <is>
          <t>Motor 1 of 8: control / local station</t>
        </is>
      </c>
      <c r="E6179" s="12" t="inlineStr">
        <is>
          <t>MCC-C1</t>
        </is>
      </c>
      <c r="F6179" s="12" t="inlineStr">
        <is>
          <t>R1 MCC-C1</t>
        </is>
      </c>
      <c r="G6179" s="12" t="inlineStr"/>
      <c r="H6179" s="12" t="inlineStr">
        <is>
          <t>Wastewater treatment: rooftop HVAC, exhaust fans, vents</t>
        </is>
      </c>
      <c r="I6179" s="12" t="inlineStr">
        <is>
          <t>Control</t>
        </is>
      </c>
      <c r="J6179" s="12" t="inlineStr">
        <is>
          <t>Control cable 600 V Type TC-ER, Cu #14 AWG, PVC jacket</t>
        </is>
      </c>
      <c r="K6179" s="12" t="inlineStr">
        <is>
          <t>CT|7/C|14</t>
        </is>
      </c>
      <c r="L6179" s="12" t="inlineStr">
        <is>
          <t>7/C</t>
        </is>
      </c>
      <c r="M6179" s="12" t="inlineStr">
        <is>
          <t>14</t>
        </is>
      </c>
      <c r="N6179" s="12" t="n">
        <v>1</v>
      </c>
      <c r="O6179" s="12" t="n">
        <v>1</v>
      </c>
      <c r="P6179" s="12" t="n"/>
      <c r="Q6179" s="12" t="n"/>
      <c r="R6179" s="12" t="n"/>
      <c r="S6179" s="12" t="inlineStr">
        <is>
          <t>Duct bank</t>
        </is>
      </c>
      <c r="T6179" s="17" t="n">
        <v>1859</v>
      </c>
      <c r="U6179" s="17" t="n">
        <v>228</v>
      </c>
      <c r="V6179" s="17">
        <f>ROUNDUP((T6179+U6179+2*'Read Me'!$B$13)*(1+'Read Me'!$B$12),-1)</f>
        <v/>
      </c>
      <c r="W6179" s="17">
        <f>V6179*N6179*O6179</f>
        <v/>
      </c>
      <c r="X6179" s="12">
        <f>IF(LEFT(I6179,2)="MV",2*N6179*IF(L6179="1/C",O6179,1),0)</f>
        <v/>
      </c>
      <c r="Y6179" s="12">
        <f>IF(OR(LEFT(K6179,4)="LVAX",LEFT(K6179,6)="MV15AX",LEFT(K6179,4)="CTAX",LEFT(K6179,2)="W|"),2*N6179*O6179,0)</f>
        <v/>
      </c>
      <c r="Z6179" s="12" t="inlineStr"/>
      <c r="AA6179" s="12">
        <f>N6179*O6179</f>
        <v/>
      </c>
    </row>
    <row r="6180">
      <c r="A6180" s="12" t="inlineStr">
        <is>
          <t>C-C-0141</t>
        </is>
      </c>
      <c r="B6180" s="12" t="inlineStr">
        <is>
          <t>C</t>
        </is>
      </c>
      <c r="C6180" s="12" t="inlineStr">
        <is>
          <t>Grid interface</t>
        </is>
      </c>
      <c r="D6180" s="12" t="inlineStr">
        <is>
          <t>Motor 2 of 8: control / local station</t>
        </is>
      </c>
      <c r="E6180" s="12" t="inlineStr">
        <is>
          <t>MCC-C1</t>
        </is>
      </c>
      <c r="F6180" s="12" t="inlineStr">
        <is>
          <t>R1 MCC-C1</t>
        </is>
      </c>
      <c r="G6180" s="12" t="inlineStr"/>
      <c r="H6180" s="12" t="inlineStr">
        <is>
          <t>Wastewater treatment: rooftop HVAC, exhaust fans, vents</t>
        </is>
      </c>
      <c r="I6180" s="12" t="inlineStr">
        <is>
          <t>Control</t>
        </is>
      </c>
      <c r="J6180" s="12" t="inlineStr">
        <is>
          <t>Control cable 600 V Type TC-ER, Cu #14 AWG, PVC jacket</t>
        </is>
      </c>
      <c r="K6180" s="12" t="inlineStr">
        <is>
          <t>CT|7/C|14</t>
        </is>
      </c>
      <c r="L6180" s="12" t="inlineStr">
        <is>
          <t>7/C</t>
        </is>
      </c>
      <c r="M6180" s="12" t="inlineStr">
        <is>
          <t>14</t>
        </is>
      </c>
      <c r="N6180" s="12" t="n">
        <v>1</v>
      </c>
      <c r="O6180" s="12" t="n">
        <v>1</v>
      </c>
      <c r="P6180" s="12" t="n"/>
      <c r="Q6180" s="12" t="n"/>
      <c r="R6180" s="12" t="n"/>
      <c r="S6180" s="12" t="inlineStr">
        <is>
          <t>Duct bank</t>
        </is>
      </c>
      <c r="T6180" s="17" t="n">
        <v>1859</v>
      </c>
      <c r="U6180" s="17" t="n">
        <v>228</v>
      </c>
      <c r="V6180" s="17">
        <f>ROUNDUP((T6180+U6180+2*'Read Me'!$B$13)*(1+'Read Me'!$B$12),-1)</f>
        <v/>
      </c>
      <c r="W6180" s="17">
        <f>V6180*N6180*O6180</f>
        <v/>
      </c>
      <c r="X6180" s="12">
        <f>IF(LEFT(I6180,2)="MV",2*N6180*IF(L6180="1/C",O6180,1),0)</f>
        <v/>
      </c>
      <c r="Y6180" s="12">
        <f>IF(OR(LEFT(K6180,4)="LVAX",LEFT(K6180,6)="MV15AX",LEFT(K6180,4)="CTAX",LEFT(K6180,2)="W|"),2*N6180*O6180,0)</f>
        <v/>
      </c>
      <c r="Z6180" s="12" t="inlineStr"/>
      <c r="AA6180" s="12">
        <f>N6180*O6180</f>
        <v/>
      </c>
    </row>
    <row r="6181">
      <c r="A6181" s="12" t="inlineStr">
        <is>
          <t>C-C-0142</t>
        </is>
      </c>
      <c r="B6181" s="12" t="inlineStr">
        <is>
          <t>C</t>
        </is>
      </c>
      <c r="C6181" s="12" t="inlineStr">
        <is>
          <t>Grid interface</t>
        </is>
      </c>
      <c r="D6181" s="12" t="inlineStr">
        <is>
          <t>Motor 3 of 8: control / local station</t>
        </is>
      </c>
      <c r="E6181" s="12" t="inlineStr">
        <is>
          <t>MCC-C1</t>
        </is>
      </c>
      <c r="F6181" s="12" t="inlineStr">
        <is>
          <t>R1 MCC-C1</t>
        </is>
      </c>
      <c r="G6181" s="12" t="inlineStr"/>
      <c r="H6181" s="12" t="inlineStr">
        <is>
          <t>Wastewater treatment: rooftop HVAC, exhaust fans, vents</t>
        </is>
      </c>
      <c r="I6181" s="12" t="inlineStr">
        <is>
          <t>Control</t>
        </is>
      </c>
      <c r="J6181" s="12" t="inlineStr">
        <is>
          <t>Control cable 600 V Type TC-ER, Cu #14 AWG, PVC jacket</t>
        </is>
      </c>
      <c r="K6181" s="12" t="inlineStr">
        <is>
          <t>CT|7/C|14</t>
        </is>
      </c>
      <c r="L6181" s="12" t="inlineStr">
        <is>
          <t>7/C</t>
        </is>
      </c>
      <c r="M6181" s="12" t="inlineStr">
        <is>
          <t>14</t>
        </is>
      </c>
      <c r="N6181" s="12" t="n">
        <v>1</v>
      </c>
      <c r="O6181" s="12" t="n">
        <v>1</v>
      </c>
      <c r="P6181" s="12" t="n"/>
      <c r="Q6181" s="12" t="n"/>
      <c r="R6181" s="12" t="n"/>
      <c r="S6181" s="12" t="inlineStr">
        <is>
          <t>Duct bank</t>
        </is>
      </c>
      <c r="T6181" s="17" t="n">
        <v>1859</v>
      </c>
      <c r="U6181" s="17" t="n">
        <v>228</v>
      </c>
      <c r="V6181" s="17">
        <f>ROUNDUP((T6181+U6181+2*'Read Me'!$B$13)*(1+'Read Me'!$B$12),-1)</f>
        <v/>
      </c>
      <c r="W6181" s="17">
        <f>V6181*N6181*O6181</f>
        <v/>
      </c>
      <c r="X6181" s="12">
        <f>IF(LEFT(I6181,2)="MV",2*N6181*IF(L6181="1/C",O6181,1),0)</f>
        <v/>
      </c>
      <c r="Y6181" s="12">
        <f>IF(OR(LEFT(K6181,4)="LVAX",LEFT(K6181,6)="MV15AX",LEFT(K6181,4)="CTAX",LEFT(K6181,2)="W|"),2*N6181*O6181,0)</f>
        <v/>
      </c>
      <c r="Z6181" s="12" t="inlineStr"/>
      <c r="AA6181" s="12">
        <f>N6181*O6181</f>
        <v/>
      </c>
    </row>
    <row r="6182">
      <c r="A6182" s="12" t="inlineStr">
        <is>
          <t>C-C-0143</t>
        </is>
      </c>
      <c r="B6182" s="12" t="inlineStr">
        <is>
          <t>C</t>
        </is>
      </c>
      <c r="C6182" s="12" t="inlineStr">
        <is>
          <t>Grid interface</t>
        </is>
      </c>
      <c r="D6182" s="12" t="inlineStr">
        <is>
          <t>Motor 4 of 8: control / local station</t>
        </is>
      </c>
      <c r="E6182" s="12" t="inlineStr">
        <is>
          <t>MCC-C1</t>
        </is>
      </c>
      <c r="F6182" s="12" t="inlineStr">
        <is>
          <t>R1 MCC-C1</t>
        </is>
      </c>
      <c r="G6182" s="12" t="inlineStr"/>
      <c r="H6182" s="12" t="inlineStr">
        <is>
          <t>Wastewater treatment: rooftop HVAC, exhaust fans, vents</t>
        </is>
      </c>
      <c r="I6182" s="12" t="inlineStr">
        <is>
          <t>Control</t>
        </is>
      </c>
      <c r="J6182" s="12" t="inlineStr">
        <is>
          <t>Control cable 600 V Type TC-ER, Cu #14 AWG, PVC jacket</t>
        </is>
      </c>
      <c r="K6182" s="12" t="inlineStr">
        <is>
          <t>CT|7/C|14</t>
        </is>
      </c>
      <c r="L6182" s="12" t="inlineStr">
        <is>
          <t>7/C</t>
        </is>
      </c>
      <c r="M6182" s="12" t="inlineStr">
        <is>
          <t>14</t>
        </is>
      </c>
      <c r="N6182" s="12" t="n">
        <v>1</v>
      </c>
      <c r="O6182" s="12" t="n">
        <v>1</v>
      </c>
      <c r="P6182" s="12" t="n"/>
      <c r="Q6182" s="12" t="n"/>
      <c r="R6182" s="12" t="n"/>
      <c r="S6182" s="12" t="inlineStr">
        <is>
          <t>Duct bank</t>
        </is>
      </c>
      <c r="T6182" s="17" t="n">
        <v>1859</v>
      </c>
      <c r="U6182" s="17" t="n">
        <v>228</v>
      </c>
      <c r="V6182" s="17">
        <f>ROUNDUP((T6182+U6182+2*'Read Me'!$B$13)*(1+'Read Me'!$B$12),-1)</f>
        <v/>
      </c>
      <c r="W6182" s="17">
        <f>V6182*N6182*O6182</f>
        <v/>
      </c>
      <c r="X6182" s="12">
        <f>IF(LEFT(I6182,2)="MV",2*N6182*IF(L6182="1/C",O6182,1),0)</f>
        <v/>
      </c>
      <c r="Y6182" s="12">
        <f>IF(OR(LEFT(K6182,4)="LVAX",LEFT(K6182,6)="MV15AX",LEFT(K6182,4)="CTAX",LEFT(K6182,2)="W|"),2*N6182*O6182,0)</f>
        <v/>
      </c>
      <c r="Z6182" s="12" t="inlineStr"/>
      <c r="AA6182" s="12">
        <f>N6182*O6182</f>
        <v/>
      </c>
    </row>
    <row r="6183">
      <c r="A6183" s="12" t="inlineStr">
        <is>
          <t>C-C-0144</t>
        </is>
      </c>
      <c r="B6183" s="12" t="inlineStr">
        <is>
          <t>C</t>
        </is>
      </c>
      <c r="C6183" s="12" t="inlineStr">
        <is>
          <t>Grid interface</t>
        </is>
      </c>
      <c r="D6183" s="12" t="inlineStr">
        <is>
          <t>Motor 5 of 8: control / local station</t>
        </is>
      </c>
      <c r="E6183" s="12" t="inlineStr">
        <is>
          <t>MCC-C1</t>
        </is>
      </c>
      <c r="F6183" s="12" t="inlineStr">
        <is>
          <t>R1 MCC-C1</t>
        </is>
      </c>
      <c r="G6183" s="12" t="inlineStr"/>
      <c r="H6183" s="12" t="inlineStr">
        <is>
          <t>Wastewater treatment: rooftop HVAC, exhaust fans, vents</t>
        </is>
      </c>
      <c r="I6183" s="12" t="inlineStr">
        <is>
          <t>Control</t>
        </is>
      </c>
      <c r="J6183" s="12" t="inlineStr">
        <is>
          <t>Control cable 600 V Type TC-ER, Cu #14 AWG, PVC jacket</t>
        </is>
      </c>
      <c r="K6183" s="12" t="inlineStr">
        <is>
          <t>CT|7/C|14</t>
        </is>
      </c>
      <c r="L6183" s="12" t="inlineStr">
        <is>
          <t>7/C</t>
        </is>
      </c>
      <c r="M6183" s="12" t="inlineStr">
        <is>
          <t>14</t>
        </is>
      </c>
      <c r="N6183" s="12" t="n">
        <v>1</v>
      </c>
      <c r="O6183" s="12" t="n">
        <v>1</v>
      </c>
      <c r="P6183" s="12" t="n"/>
      <c r="Q6183" s="12" t="n"/>
      <c r="R6183" s="12" t="n"/>
      <c r="S6183" s="12" t="inlineStr">
        <is>
          <t>Duct bank</t>
        </is>
      </c>
      <c r="T6183" s="17" t="n">
        <v>1859</v>
      </c>
      <c r="U6183" s="17" t="n">
        <v>228</v>
      </c>
      <c r="V6183" s="17">
        <f>ROUNDUP((T6183+U6183+2*'Read Me'!$B$13)*(1+'Read Me'!$B$12),-1)</f>
        <v/>
      </c>
      <c r="W6183" s="17">
        <f>V6183*N6183*O6183</f>
        <v/>
      </c>
      <c r="X6183" s="12">
        <f>IF(LEFT(I6183,2)="MV",2*N6183*IF(L6183="1/C",O6183,1),0)</f>
        <v/>
      </c>
      <c r="Y6183" s="12">
        <f>IF(OR(LEFT(K6183,4)="LVAX",LEFT(K6183,6)="MV15AX",LEFT(K6183,4)="CTAX",LEFT(K6183,2)="W|"),2*N6183*O6183,0)</f>
        <v/>
      </c>
      <c r="Z6183" s="12" t="inlineStr"/>
      <c r="AA6183" s="12">
        <f>N6183*O6183</f>
        <v/>
      </c>
    </row>
    <row r="6184">
      <c r="A6184" s="12" t="inlineStr">
        <is>
          <t>C-C-0145</t>
        </is>
      </c>
      <c r="B6184" s="12" t="inlineStr">
        <is>
          <t>C</t>
        </is>
      </c>
      <c r="C6184" s="12" t="inlineStr">
        <is>
          <t>Grid interface</t>
        </is>
      </c>
      <c r="D6184" s="12" t="inlineStr">
        <is>
          <t>Motor 6 of 8: control / local station</t>
        </is>
      </c>
      <c r="E6184" s="12" t="inlineStr">
        <is>
          <t>MCC-C1</t>
        </is>
      </c>
      <c r="F6184" s="12" t="inlineStr">
        <is>
          <t>R1 MCC-C1</t>
        </is>
      </c>
      <c r="G6184" s="12" t="inlineStr"/>
      <c r="H6184" s="12" t="inlineStr">
        <is>
          <t>Wastewater treatment: rooftop HVAC, exhaust fans, vents</t>
        </is>
      </c>
      <c r="I6184" s="12" t="inlineStr">
        <is>
          <t>Control</t>
        </is>
      </c>
      <c r="J6184" s="12" t="inlineStr">
        <is>
          <t>Control cable 600 V Type TC-ER, Cu #14 AWG, PVC jacket</t>
        </is>
      </c>
      <c r="K6184" s="12" t="inlineStr">
        <is>
          <t>CT|7/C|14</t>
        </is>
      </c>
      <c r="L6184" s="12" t="inlineStr">
        <is>
          <t>7/C</t>
        </is>
      </c>
      <c r="M6184" s="12" t="inlineStr">
        <is>
          <t>14</t>
        </is>
      </c>
      <c r="N6184" s="12" t="n">
        <v>1</v>
      </c>
      <c r="O6184" s="12" t="n">
        <v>1</v>
      </c>
      <c r="P6184" s="12" t="n"/>
      <c r="Q6184" s="12" t="n"/>
      <c r="R6184" s="12" t="n"/>
      <c r="S6184" s="12" t="inlineStr">
        <is>
          <t>Duct bank</t>
        </is>
      </c>
      <c r="T6184" s="17" t="n">
        <v>1859</v>
      </c>
      <c r="U6184" s="17" t="n">
        <v>228</v>
      </c>
      <c r="V6184" s="17">
        <f>ROUNDUP((T6184+U6184+2*'Read Me'!$B$13)*(1+'Read Me'!$B$12),-1)</f>
        <v/>
      </c>
      <c r="W6184" s="17">
        <f>V6184*N6184*O6184</f>
        <v/>
      </c>
      <c r="X6184" s="12">
        <f>IF(LEFT(I6184,2)="MV",2*N6184*IF(L6184="1/C",O6184,1),0)</f>
        <v/>
      </c>
      <c r="Y6184" s="12">
        <f>IF(OR(LEFT(K6184,4)="LVAX",LEFT(K6184,6)="MV15AX",LEFT(K6184,4)="CTAX",LEFT(K6184,2)="W|"),2*N6184*O6184,0)</f>
        <v/>
      </c>
      <c r="Z6184" s="12" t="inlineStr"/>
      <c r="AA6184" s="12">
        <f>N6184*O6184</f>
        <v/>
      </c>
    </row>
    <row r="6185">
      <c r="A6185" s="12" t="inlineStr">
        <is>
          <t>C-C-0146</t>
        </is>
      </c>
      <c r="B6185" s="12" t="inlineStr">
        <is>
          <t>C</t>
        </is>
      </c>
      <c r="C6185" s="12" t="inlineStr">
        <is>
          <t>Grid interface</t>
        </is>
      </c>
      <c r="D6185" s="12" t="inlineStr">
        <is>
          <t>Motor 7 of 8: control / local station</t>
        </is>
      </c>
      <c r="E6185" s="12" t="inlineStr">
        <is>
          <t>MCC-C1</t>
        </is>
      </c>
      <c r="F6185" s="12" t="inlineStr">
        <is>
          <t>R1 MCC-C1</t>
        </is>
      </c>
      <c r="G6185" s="12" t="inlineStr"/>
      <c r="H6185" s="12" t="inlineStr">
        <is>
          <t>Wastewater treatment: rooftop HVAC, exhaust fans, vents</t>
        </is>
      </c>
      <c r="I6185" s="12" t="inlineStr">
        <is>
          <t>Control</t>
        </is>
      </c>
      <c r="J6185" s="12" t="inlineStr">
        <is>
          <t>Control cable 600 V Type TC-ER, Cu #14 AWG, PVC jacket</t>
        </is>
      </c>
      <c r="K6185" s="12" t="inlineStr">
        <is>
          <t>CT|7/C|14</t>
        </is>
      </c>
      <c r="L6185" s="12" t="inlineStr">
        <is>
          <t>7/C</t>
        </is>
      </c>
      <c r="M6185" s="12" t="inlineStr">
        <is>
          <t>14</t>
        </is>
      </c>
      <c r="N6185" s="12" t="n">
        <v>1</v>
      </c>
      <c r="O6185" s="12" t="n">
        <v>1</v>
      </c>
      <c r="P6185" s="12" t="n"/>
      <c r="Q6185" s="12" t="n"/>
      <c r="R6185" s="12" t="n"/>
      <c r="S6185" s="12" t="inlineStr">
        <is>
          <t>Duct bank</t>
        </is>
      </c>
      <c r="T6185" s="17" t="n">
        <v>1859</v>
      </c>
      <c r="U6185" s="17" t="n">
        <v>228</v>
      </c>
      <c r="V6185" s="17">
        <f>ROUNDUP((T6185+U6185+2*'Read Me'!$B$13)*(1+'Read Me'!$B$12),-1)</f>
        <v/>
      </c>
      <c r="W6185" s="17">
        <f>V6185*N6185*O6185</f>
        <v/>
      </c>
      <c r="X6185" s="12">
        <f>IF(LEFT(I6185,2)="MV",2*N6185*IF(L6185="1/C",O6185,1),0)</f>
        <v/>
      </c>
      <c r="Y6185" s="12">
        <f>IF(OR(LEFT(K6185,4)="LVAX",LEFT(K6185,6)="MV15AX",LEFT(K6185,4)="CTAX",LEFT(K6185,2)="W|"),2*N6185*O6185,0)</f>
        <v/>
      </c>
      <c r="Z6185" s="12" t="inlineStr"/>
      <c r="AA6185" s="12">
        <f>N6185*O6185</f>
        <v/>
      </c>
    </row>
    <row r="6186">
      <c r="A6186" s="12" t="inlineStr">
        <is>
          <t>C-C-0147</t>
        </is>
      </c>
      <c r="B6186" s="12" t="inlineStr">
        <is>
          <t>C</t>
        </is>
      </c>
      <c r="C6186" s="12" t="inlineStr">
        <is>
          <t>Grid interface</t>
        </is>
      </c>
      <c r="D6186" s="12" t="inlineStr">
        <is>
          <t>Motor 8 of 8: control / local station</t>
        </is>
      </c>
      <c r="E6186" s="12" t="inlineStr">
        <is>
          <t>MCC-C1</t>
        </is>
      </c>
      <c r="F6186" s="12" t="inlineStr">
        <is>
          <t>R1 MCC-C1</t>
        </is>
      </c>
      <c r="G6186" s="12" t="inlineStr"/>
      <c r="H6186" s="12" t="inlineStr">
        <is>
          <t>Wastewater treatment: rooftop HVAC, exhaust fans, vents</t>
        </is>
      </c>
      <c r="I6186" s="12" t="inlineStr">
        <is>
          <t>Control</t>
        </is>
      </c>
      <c r="J6186" s="12" t="inlineStr">
        <is>
          <t>Control cable 600 V Type TC-ER, Cu #14 AWG, PVC jacket</t>
        </is>
      </c>
      <c r="K6186" s="12" t="inlineStr">
        <is>
          <t>CT|7/C|14</t>
        </is>
      </c>
      <c r="L6186" s="12" t="inlineStr">
        <is>
          <t>7/C</t>
        </is>
      </c>
      <c r="M6186" s="12" t="inlineStr">
        <is>
          <t>14</t>
        </is>
      </c>
      <c r="N6186" s="12" t="n">
        <v>1</v>
      </c>
      <c r="O6186" s="12" t="n">
        <v>1</v>
      </c>
      <c r="P6186" s="12" t="n"/>
      <c r="Q6186" s="12" t="n"/>
      <c r="R6186" s="12" t="n"/>
      <c r="S6186" s="12" t="inlineStr">
        <is>
          <t>Duct bank</t>
        </is>
      </c>
      <c r="T6186" s="17" t="n">
        <v>1859</v>
      </c>
      <c r="U6186" s="17" t="n">
        <v>228</v>
      </c>
      <c r="V6186" s="17">
        <f>ROUNDUP((T6186+U6186+2*'Read Me'!$B$13)*(1+'Read Me'!$B$12),-1)</f>
        <v/>
      </c>
      <c r="W6186" s="17">
        <f>V6186*N6186*O6186</f>
        <v/>
      </c>
      <c r="X6186" s="12">
        <f>IF(LEFT(I6186,2)="MV",2*N6186*IF(L6186="1/C",O6186,1),0)</f>
        <v/>
      </c>
      <c r="Y6186" s="12">
        <f>IF(OR(LEFT(K6186,4)="LVAX",LEFT(K6186,6)="MV15AX",LEFT(K6186,4)="CTAX",LEFT(K6186,2)="W|"),2*N6186*O6186,0)</f>
        <v/>
      </c>
      <c r="Z6186" s="12" t="inlineStr"/>
      <c r="AA6186" s="12">
        <f>N6186*O6186</f>
        <v/>
      </c>
    </row>
    <row r="6187">
      <c r="A6187" s="12" t="inlineStr">
        <is>
          <t>C-C-0148</t>
        </is>
      </c>
      <c r="B6187" s="12" t="inlineStr">
        <is>
          <t>C</t>
        </is>
      </c>
      <c r="C6187" s="12" t="inlineStr">
        <is>
          <t>Grid interface</t>
        </is>
      </c>
      <c r="D6187" s="12" t="inlineStr">
        <is>
          <t>Motor 1 of 20: control / local station</t>
        </is>
      </c>
      <c r="E6187" s="12" t="inlineStr">
        <is>
          <t>MCC-C1</t>
        </is>
      </c>
      <c r="F6187" s="12" t="inlineStr">
        <is>
          <t>R1 MCC-C1</t>
        </is>
      </c>
      <c r="G6187" s="12" t="inlineStr"/>
      <c r="H6187" s="12" t="inlineStr">
        <is>
          <t>Water treatment building: rooftop HVAC, exhaust fans, vents</t>
        </is>
      </c>
      <c r="I6187" s="12" t="inlineStr">
        <is>
          <t>Control</t>
        </is>
      </c>
      <c r="J6187" s="12" t="inlineStr">
        <is>
          <t>Control cable 600 V Type TC-ER, Cu #14 AWG, PVC jacket</t>
        </is>
      </c>
      <c r="K6187" s="12" t="inlineStr">
        <is>
          <t>CT|7/C|14</t>
        </is>
      </c>
      <c r="L6187" s="12" t="inlineStr">
        <is>
          <t>7/C</t>
        </is>
      </c>
      <c r="M6187" s="12" t="inlineStr">
        <is>
          <t>14</t>
        </is>
      </c>
      <c r="N6187" s="12" t="n">
        <v>1</v>
      </c>
      <c r="O6187" s="12" t="n">
        <v>1</v>
      </c>
      <c r="P6187" s="12" t="n"/>
      <c r="Q6187" s="12" t="n"/>
      <c r="R6187" s="12" t="n"/>
      <c r="S6187" s="12" t="inlineStr">
        <is>
          <t>Duct bank</t>
        </is>
      </c>
      <c r="T6187" s="17" t="n">
        <v>1629</v>
      </c>
      <c r="U6187" s="17" t="n">
        <v>161</v>
      </c>
      <c r="V6187" s="17">
        <f>ROUNDUP((T6187+U6187+2*'Read Me'!$B$13)*(1+'Read Me'!$B$12),-1)</f>
        <v/>
      </c>
      <c r="W6187" s="17">
        <f>V6187*N6187*O6187</f>
        <v/>
      </c>
      <c r="X6187" s="12">
        <f>IF(LEFT(I6187,2)="MV",2*N6187*IF(L6187="1/C",O6187,1),0)</f>
        <v/>
      </c>
      <c r="Y6187" s="12">
        <f>IF(OR(LEFT(K6187,4)="LVAX",LEFT(K6187,6)="MV15AX",LEFT(K6187,4)="CTAX",LEFT(K6187,2)="W|"),2*N6187*O6187,0)</f>
        <v/>
      </c>
      <c r="Z6187" s="12" t="inlineStr"/>
      <c r="AA6187" s="12">
        <f>N6187*O6187</f>
        <v/>
      </c>
    </row>
    <row r="6188">
      <c r="A6188" s="12" t="inlineStr">
        <is>
          <t>C-C-0149</t>
        </is>
      </c>
      <c r="B6188" s="12" t="inlineStr">
        <is>
          <t>C</t>
        </is>
      </c>
      <c r="C6188" s="12" t="inlineStr">
        <is>
          <t>Grid interface</t>
        </is>
      </c>
      <c r="D6188" s="12" t="inlineStr">
        <is>
          <t>Motor 2 of 20: control / local station</t>
        </is>
      </c>
      <c r="E6188" s="12" t="inlineStr">
        <is>
          <t>MCC-C1</t>
        </is>
      </c>
      <c r="F6188" s="12" t="inlineStr">
        <is>
          <t>R1 MCC-C1</t>
        </is>
      </c>
      <c r="G6188" s="12" t="inlineStr"/>
      <c r="H6188" s="12" t="inlineStr">
        <is>
          <t>Water treatment building: rooftop HVAC, exhaust fans, vents</t>
        </is>
      </c>
      <c r="I6188" s="12" t="inlineStr">
        <is>
          <t>Control</t>
        </is>
      </c>
      <c r="J6188" s="12" t="inlineStr">
        <is>
          <t>Control cable 600 V Type TC-ER, Cu #14 AWG, PVC jacket</t>
        </is>
      </c>
      <c r="K6188" s="12" t="inlineStr">
        <is>
          <t>CT|7/C|14</t>
        </is>
      </c>
      <c r="L6188" s="12" t="inlineStr">
        <is>
          <t>7/C</t>
        </is>
      </c>
      <c r="M6188" s="12" t="inlineStr">
        <is>
          <t>14</t>
        </is>
      </c>
      <c r="N6188" s="12" t="n">
        <v>1</v>
      </c>
      <c r="O6188" s="12" t="n">
        <v>1</v>
      </c>
      <c r="P6188" s="12" t="n"/>
      <c r="Q6188" s="12" t="n"/>
      <c r="R6188" s="12" t="n"/>
      <c r="S6188" s="12" t="inlineStr">
        <is>
          <t>Duct bank</t>
        </is>
      </c>
      <c r="T6188" s="17" t="n">
        <v>1629</v>
      </c>
      <c r="U6188" s="17" t="n">
        <v>161</v>
      </c>
      <c r="V6188" s="17">
        <f>ROUNDUP((T6188+U6188+2*'Read Me'!$B$13)*(1+'Read Me'!$B$12),-1)</f>
        <v/>
      </c>
      <c r="W6188" s="17">
        <f>V6188*N6188*O6188</f>
        <v/>
      </c>
      <c r="X6188" s="12">
        <f>IF(LEFT(I6188,2)="MV",2*N6188*IF(L6188="1/C",O6188,1),0)</f>
        <v/>
      </c>
      <c r="Y6188" s="12">
        <f>IF(OR(LEFT(K6188,4)="LVAX",LEFT(K6188,6)="MV15AX",LEFT(K6188,4)="CTAX",LEFT(K6188,2)="W|"),2*N6188*O6188,0)</f>
        <v/>
      </c>
      <c r="Z6188" s="12" t="inlineStr"/>
      <c r="AA6188" s="12">
        <f>N6188*O6188</f>
        <v/>
      </c>
    </row>
    <row r="6189">
      <c r="A6189" s="12" t="inlineStr">
        <is>
          <t>C-C-0150</t>
        </is>
      </c>
      <c r="B6189" s="12" t="inlineStr">
        <is>
          <t>C</t>
        </is>
      </c>
      <c r="C6189" s="12" t="inlineStr">
        <is>
          <t>Grid interface</t>
        </is>
      </c>
      <c r="D6189" s="12" t="inlineStr">
        <is>
          <t>Motor 3 of 20: control / local station</t>
        </is>
      </c>
      <c r="E6189" s="12" t="inlineStr">
        <is>
          <t>MCC-C1</t>
        </is>
      </c>
      <c r="F6189" s="12" t="inlineStr">
        <is>
          <t>R1 MCC-C1</t>
        </is>
      </c>
      <c r="G6189" s="12" t="inlineStr"/>
      <c r="H6189" s="12" t="inlineStr">
        <is>
          <t>Water treatment building: rooftop HVAC, exhaust fans, vents</t>
        </is>
      </c>
      <c r="I6189" s="12" t="inlineStr">
        <is>
          <t>Control</t>
        </is>
      </c>
      <c r="J6189" s="12" t="inlineStr">
        <is>
          <t>Control cable 600 V Type TC-ER, Cu #14 AWG, PVC jacket</t>
        </is>
      </c>
      <c r="K6189" s="12" t="inlineStr">
        <is>
          <t>CT|7/C|14</t>
        </is>
      </c>
      <c r="L6189" s="12" t="inlineStr">
        <is>
          <t>7/C</t>
        </is>
      </c>
      <c r="M6189" s="12" t="inlineStr">
        <is>
          <t>14</t>
        </is>
      </c>
      <c r="N6189" s="12" t="n">
        <v>1</v>
      </c>
      <c r="O6189" s="12" t="n">
        <v>1</v>
      </c>
      <c r="P6189" s="12" t="n"/>
      <c r="Q6189" s="12" t="n"/>
      <c r="R6189" s="12" t="n"/>
      <c r="S6189" s="12" t="inlineStr">
        <is>
          <t>Duct bank</t>
        </is>
      </c>
      <c r="T6189" s="17" t="n">
        <v>1629</v>
      </c>
      <c r="U6189" s="17" t="n">
        <v>161</v>
      </c>
      <c r="V6189" s="17">
        <f>ROUNDUP((T6189+U6189+2*'Read Me'!$B$13)*(1+'Read Me'!$B$12),-1)</f>
        <v/>
      </c>
      <c r="W6189" s="17">
        <f>V6189*N6189*O6189</f>
        <v/>
      </c>
      <c r="X6189" s="12">
        <f>IF(LEFT(I6189,2)="MV",2*N6189*IF(L6189="1/C",O6189,1),0)</f>
        <v/>
      </c>
      <c r="Y6189" s="12">
        <f>IF(OR(LEFT(K6189,4)="LVAX",LEFT(K6189,6)="MV15AX",LEFT(K6189,4)="CTAX",LEFT(K6189,2)="W|"),2*N6189*O6189,0)</f>
        <v/>
      </c>
      <c r="Z6189" s="12" t="inlineStr"/>
      <c r="AA6189" s="12">
        <f>N6189*O6189</f>
        <v/>
      </c>
    </row>
    <row r="6190">
      <c r="A6190" s="12" t="inlineStr">
        <is>
          <t>C-C-0151</t>
        </is>
      </c>
      <c r="B6190" s="12" t="inlineStr">
        <is>
          <t>C</t>
        </is>
      </c>
      <c r="C6190" s="12" t="inlineStr">
        <is>
          <t>Grid interface</t>
        </is>
      </c>
      <c r="D6190" s="12" t="inlineStr">
        <is>
          <t>Motor 4 of 20: control / local station</t>
        </is>
      </c>
      <c r="E6190" s="12" t="inlineStr">
        <is>
          <t>MCC-C1</t>
        </is>
      </c>
      <c r="F6190" s="12" t="inlineStr">
        <is>
          <t>R1 MCC-C1</t>
        </is>
      </c>
      <c r="G6190" s="12" t="inlineStr"/>
      <c r="H6190" s="12" t="inlineStr">
        <is>
          <t>Water treatment building: rooftop HVAC, exhaust fans, vents</t>
        </is>
      </c>
      <c r="I6190" s="12" t="inlineStr">
        <is>
          <t>Control</t>
        </is>
      </c>
      <c r="J6190" s="12" t="inlineStr">
        <is>
          <t>Control cable 600 V Type TC-ER, Cu #14 AWG, PVC jacket</t>
        </is>
      </c>
      <c r="K6190" s="12" t="inlineStr">
        <is>
          <t>CT|7/C|14</t>
        </is>
      </c>
      <c r="L6190" s="12" t="inlineStr">
        <is>
          <t>7/C</t>
        </is>
      </c>
      <c r="M6190" s="12" t="inlineStr">
        <is>
          <t>14</t>
        </is>
      </c>
      <c r="N6190" s="12" t="n">
        <v>1</v>
      </c>
      <c r="O6190" s="12" t="n">
        <v>1</v>
      </c>
      <c r="P6190" s="12" t="n"/>
      <c r="Q6190" s="12" t="n"/>
      <c r="R6190" s="12" t="n"/>
      <c r="S6190" s="12" t="inlineStr">
        <is>
          <t>Duct bank</t>
        </is>
      </c>
      <c r="T6190" s="17" t="n">
        <v>1629</v>
      </c>
      <c r="U6190" s="17" t="n">
        <v>161</v>
      </c>
      <c r="V6190" s="17">
        <f>ROUNDUP((T6190+U6190+2*'Read Me'!$B$13)*(1+'Read Me'!$B$12),-1)</f>
        <v/>
      </c>
      <c r="W6190" s="17">
        <f>V6190*N6190*O6190</f>
        <v/>
      </c>
      <c r="X6190" s="12">
        <f>IF(LEFT(I6190,2)="MV",2*N6190*IF(L6190="1/C",O6190,1),0)</f>
        <v/>
      </c>
      <c r="Y6190" s="12">
        <f>IF(OR(LEFT(K6190,4)="LVAX",LEFT(K6190,6)="MV15AX",LEFT(K6190,4)="CTAX",LEFT(K6190,2)="W|"),2*N6190*O6190,0)</f>
        <v/>
      </c>
      <c r="Z6190" s="12" t="inlineStr"/>
      <c r="AA6190" s="12">
        <f>N6190*O6190</f>
        <v/>
      </c>
    </row>
    <row r="6191">
      <c r="A6191" s="12" t="inlineStr">
        <is>
          <t>C-C-0152</t>
        </is>
      </c>
      <c r="B6191" s="12" t="inlineStr">
        <is>
          <t>C</t>
        </is>
      </c>
      <c r="C6191" s="12" t="inlineStr">
        <is>
          <t>Grid interface</t>
        </is>
      </c>
      <c r="D6191" s="12" t="inlineStr">
        <is>
          <t>Motor 5 of 20: control / local station</t>
        </is>
      </c>
      <c r="E6191" s="12" t="inlineStr">
        <is>
          <t>MCC-C1</t>
        </is>
      </c>
      <c r="F6191" s="12" t="inlineStr">
        <is>
          <t>R1 MCC-C1</t>
        </is>
      </c>
      <c r="G6191" s="12" t="inlineStr"/>
      <c r="H6191" s="12" t="inlineStr">
        <is>
          <t>Water treatment building: rooftop HVAC, exhaust fans, vents</t>
        </is>
      </c>
      <c r="I6191" s="12" t="inlineStr">
        <is>
          <t>Control</t>
        </is>
      </c>
      <c r="J6191" s="12" t="inlineStr">
        <is>
          <t>Control cable 600 V Type TC-ER, Cu #14 AWG, PVC jacket</t>
        </is>
      </c>
      <c r="K6191" s="12" t="inlineStr">
        <is>
          <t>CT|7/C|14</t>
        </is>
      </c>
      <c r="L6191" s="12" t="inlineStr">
        <is>
          <t>7/C</t>
        </is>
      </c>
      <c r="M6191" s="12" t="inlineStr">
        <is>
          <t>14</t>
        </is>
      </c>
      <c r="N6191" s="12" t="n">
        <v>1</v>
      </c>
      <c r="O6191" s="12" t="n">
        <v>1</v>
      </c>
      <c r="P6191" s="12" t="n"/>
      <c r="Q6191" s="12" t="n"/>
      <c r="R6191" s="12" t="n"/>
      <c r="S6191" s="12" t="inlineStr">
        <is>
          <t>Duct bank</t>
        </is>
      </c>
      <c r="T6191" s="17" t="n">
        <v>1629</v>
      </c>
      <c r="U6191" s="17" t="n">
        <v>161</v>
      </c>
      <c r="V6191" s="17">
        <f>ROUNDUP((T6191+U6191+2*'Read Me'!$B$13)*(1+'Read Me'!$B$12),-1)</f>
        <v/>
      </c>
      <c r="W6191" s="17">
        <f>V6191*N6191*O6191</f>
        <v/>
      </c>
      <c r="X6191" s="12">
        <f>IF(LEFT(I6191,2)="MV",2*N6191*IF(L6191="1/C",O6191,1),0)</f>
        <v/>
      </c>
      <c r="Y6191" s="12">
        <f>IF(OR(LEFT(K6191,4)="LVAX",LEFT(K6191,6)="MV15AX",LEFT(K6191,4)="CTAX",LEFT(K6191,2)="W|"),2*N6191*O6191,0)</f>
        <v/>
      </c>
      <c r="Z6191" s="12" t="inlineStr"/>
      <c r="AA6191" s="12">
        <f>N6191*O6191</f>
        <v/>
      </c>
    </row>
    <row r="6192">
      <c r="A6192" s="12" t="inlineStr">
        <is>
          <t>C-C-0153</t>
        </is>
      </c>
      <c r="B6192" s="12" t="inlineStr">
        <is>
          <t>C</t>
        </is>
      </c>
      <c r="C6192" s="12" t="inlineStr">
        <is>
          <t>Grid interface</t>
        </is>
      </c>
      <c r="D6192" s="12" t="inlineStr">
        <is>
          <t>Motor 6 of 20: control / local station</t>
        </is>
      </c>
      <c r="E6192" s="12" t="inlineStr">
        <is>
          <t>MCC-C1</t>
        </is>
      </c>
      <c r="F6192" s="12" t="inlineStr">
        <is>
          <t>R1 MCC-C1</t>
        </is>
      </c>
      <c r="G6192" s="12" t="inlineStr"/>
      <c r="H6192" s="12" t="inlineStr">
        <is>
          <t>Water treatment building: rooftop HVAC, exhaust fans, vents</t>
        </is>
      </c>
      <c r="I6192" s="12" t="inlineStr">
        <is>
          <t>Control</t>
        </is>
      </c>
      <c r="J6192" s="12" t="inlineStr">
        <is>
          <t>Control cable 600 V Type TC-ER, Cu #14 AWG, PVC jacket</t>
        </is>
      </c>
      <c r="K6192" s="12" t="inlineStr">
        <is>
          <t>CT|7/C|14</t>
        </is>
      </c>
      <c r="L6192" s="12" t="inlineStr">
        <is>
          <t>7/C</t>
        </is>
      </c>
      <c r="M6192" s="12" t="inlineStr">
        <is>
          <t>14</t>
        </is>
      </c>
      <c r="N6192" s="12" t="n">
        <v>1</v>
      </c>
      <c r="O6192" s="12" t="n">
        <v>1</v>
      </c>
      <c r="P6192" s="12" t="n"/>
      <c r="Q6192" s="12" t="n"/>
      <c r="R6192" s="12" t="n"/>
      <c r="S6192" s="12" t="inlineStr">
        <is>
          <t>Duct bank</t>
        </is>
      </c>
      <c r="T6192" s="17" t="n">
        <v>1629</v>
      </c>
      <c r="U6192" s="17" t="n">
        <v>161</v>
      </c>
      <c r="V6192" s="17">
        <f>ROUNDUP((T6192+U6192+2*'Read Me'!$B$13)*(1+'Read Me'!$B$12),-1)</f>
        <v/>
      </c>
      <c r="W6192" s="17">
        <f>V6192*N6192*O6192</f>
        <v/>
      </c>
      <c r="X6192" s="12">
        <f>IF(LEFT(I6192,2)="MV",2*N6192*IF(L6192="1/C",O6192,1),0)</f>
        <v/>
      </c>
      <c r="Y6192" s="12">
        <f>IF(OR(LEFT(K6192,4)="LVAX",LEFT(K6192,6)="MV15AX",LEFT(K6192,4)="CTAX",LEFT(K6192,2)="W|"),2*N6192*O6192,0)</f>
        <v/>
      </c>
      <c r="Z6192" s="12" t="inlineStr"/>
      <c r="AA6192" s="12">
        <f>N6192*O6192</f>
        <v/>
      </c>
    </row>
    <row r="6193">
      <c r="A6193" s="12" t="inlineStr">
        <is>
          <t>C-C-0154</t>
        </is>
      </c>
      <c r="B6193" s="12" t="inlineStr">
        <is>
          <t>C</t>
        </is>
      </c>
      <c r="C6193" s="12" t="inlineStr">
        <is>
          <t>Grid interface</t>
        </is>
      </c>
      <c r="D6193" s="12" t="inlineStr">
        <is>
          <t>Motor 7 of 20: control / local station</t>
        </is>
      </c>
      <c r="E6193" s="12" t="inlineStr">
        <is>
          <t>MCC-C1</t>
        </is>
      </c>
      <c r="F6193" s="12" t="inlineStr">
        <is>
          <t>R1 MCC-C1</t>
        </is>
      </c>
      <c r="G6193" s="12" t="inlineStr"/>
      <c r="H6193" s="12" t="inlineStr">
        <is>
          <t>Water treatment building: rooftop HVAC, exhaust fans, vents</t>
        </is>
      </c>
      <c r="I6193" s="12" t="inlineStr">
        <is>
          <t>Control</t>
        </is>
      </c>
      <c r="J6193" s="12" t="inlineStr">
        <is>
          <t>Control cable 600 V Type TC-ER, Cu #14 AWG, PVC jacket</t>
        </is>
      </c>
      <c r="K6193" s="12" t="inlineStr">
        <is>
          <t>CT|7/C|14</t>
        </is>
      </c>
      <c r="L6193" s="12" t="inlineStr">
        <is>
          <t>7/C</t>
        </is>
      </c>
      <c r="M6193" s="12" t="inlineStr">
        <is>
          <t>14</t>
        </is>
      </c>
      <c r="N6193" s="12" t="n">
        <v>1</v>
      </c>
      <c r="O6193" s="12" t="n">
        <v>1</v>
      </c>
      <c r="P6193" s="12" t="n"/>
      <c r="Q6193" s="12" t="n"/>
      <c r="R6193" s="12" t="n"/>
      <c r="S6193" s="12" t="inlineStr">
        <is>
          <t>Duct bank</t>
        </is>
      </c>
      <c r="T6193" s="17" t="n">
        <v>1629</v>
      </c>
      <c r="U6193" s="17" t="n">
        <v>161</v>
      </c>
      <c r="V6193" s="17">
        <f>ROUNDUP((T6193+U6193+2*'Read Me'!$B$13)*(1+'Read Me'!$B$12),-1)</f>
        <v/>
      </c>
      <c r="W6193" s="17">
        <f>V6193*N6193*O6193</f>
        <v/>
      </c>
      <c r="X6193" s="12">
        <f>IF(LEFT(I6193,2)="MV",2*N6193*IF(L6193="1/C",O6193,1),0)</f>
        <v/>
      </c>
      <c r="Y6193" s="12">
        <f>IF(OR(LEFT(K6193,4)="LVAX",LEFT(K6193,6)="MV15AX",LEFT(K6193,4)="CTAX",LEFT(K6193,2)="W|"),2*N6193*O6193,0)</f>
        <v/>
      </c>
      <c r="Z6193" s="12" t="inlineStr"/>
      <c r="AA6193" s="12">
        <f>N6193*O6193</f>
        <v/>
      </c>
    </row>
    <row r="6194">
      <c r="A6194" s="12" t="inlineStr">
        <is>
          <t>C-C-0155</t>
        </is>
      </c>
      <c r="B6194" s="12" t="inlineStr">
        <is>
          <t>C</t>
        </is>
      </c>
      <c r="C6194" s="12" t="inlineStr">
        <is>
          <t>Grid interface</t>
        </is>
      </c>
      <c r="D6194" s="12" t="inlineStr">
        <is>
          <t>Motor 8 of 20: control / local station</t>
        </is>
      </c>
      <c r="E6194" s="12" t="inlineStr">
        <is>
          <t>MCC-C1</t>
        </is>
      </c>
      <c r="F6194" s="12" t="inlineStr">
        <is>
          <t>R1 MCC-C1</t>
        </is>
      </c>
      <c r="G6194" s="12" t="inlineStr"/>
      <c r="H6194" s="12" t="inlineStr">
        <is>
          <t>Water treatment building: rooftop HVAC, exhaust fans, vents</t>
        </is>
      </c>
      <c r="I6194" s="12" t="inlineStr">
        <is>
          <t>Control</t>
        </is>
      </c>
      <c r="J6194" s="12" t="inlineStr">
        <is>
          <t>Control cable 600 V Type TC-ER, Cu #14 AWG, PVC jacket</t>
        </is>
      </c>
      <c r="K6194" s="12" t="inlineStr">
        <is>
          <t>CT|7/C|14</t>
        </is>
      </c>
      <c r="L6194" s="12" t="inlineStr">
        <is>
          <t>7/C</t>
        </is>
      </c>
      <c r="M6194" s="12" t="inlineStr">
        <is>
          <t>14</t>
        </is>
      </c>
      <c r="N6194" s="12" t="n">
        <v>1</v>
      </c>
      <c r="O6194" s="12" t="n">
        <v>1</v>
      </c>
      <c r="P6194" s="12" t="n"/>
      <c r="Q6194" s="12" t="n"/>
      <c r="R6194" s="12" t="n"/>
      <c r="S6194" s="12" t="inlineStr">
        <is>
          <t>Duct bank</t>
        </is>
      </c>
      <c r="T6194" s="17" t="n">
        <v>1629</v>
      </c>
      <c r="U6194" s="17" t="n">
        <v>161</v>
      </c>
      <c r="V6194" s="17">
        <f>ROUNDUP((T6194+U6194+2*'Read Me'!$B$13)*(1+'Read Me'!$B$12),-1)</f>
        <v/>
      </c>
      <c r="W6194" s="17">
        <f>V6194*N6194*O6194</f>
        <v/>
      </c>
      <c r="X6194" s="12">
        <f>IF(LEFT(I6194,2)="MV",2*N6194*IF(L6194="1/C",O6194,1),0)</f>
        <v/>
      </c>
      <c r="Y6194" s="12">
        <f>IF(OR(LEFT(K6194,4)="LVAX",LEFT(K6194,6)="MV15AX",LEFT(K6194,4)="CTAX",LEFT(K6194,2)="W|"),2*N6194*O6194,0)</f>
        <v/>
      </c>
      <c r="Z6194" s="12" t="inlineStr"/>
      <c r="AA6194" s="12">
        <f>N6194*O6194</f>
        <v/>
      </c>
    </row>
    <row r="6195">
      <c r="A6195" s="12" t="inlineStr">
        <is>
          <t>C-C-0156</t>
        </is>
      </c>
      <c r="B6195" s="12" t="inlineStr">
        <is>
          <t>C</t>
        </is>
      </c>
      <c r="C6195" s="12" t="inlineStr">
        <is>
          <t>Grid interface</t>
        </is>
      </c>
      <c r="D6195" s="12" t="inlineStr">
        <is>
          <t>Motor 9 of 20: control / local station</t>
        </is>
      </c>
      <c r="E6195" s="12" t="inlineStr">
        <is>
          <t>MCC-C1</t>
        </is>
      </c>
      <c r="F6195" s="12" t="inlineStr">
        <is>
          <t>R1 MCC-C1</t>
        </is>
      </c>
      <c r="G6195" s="12" t="inlineStr"/>
      <c r="H6195" s="12" t="inlineStr">
        <is>
          <t>Water treatment building: rooftop HVAC, exhaust fans, vents</t>
        </is>
      </c>
      <c r="I6195" s="12" t="inlineStr">
        <is>
          <t>Control</t>
        </is>
      </c>
      <c r="J6195" s="12" t="inlineStr">
        <is>
          <t>Control cable 600 V Type TC-ER, Cu #14 AWG, PVC jacket</t>
        </is>
      </c>
      <c r="K6195" s="12" t="inlineStr">
        <is>
          <t>CT|7/C|14</t>
        </is>
      </c>
      <c r="L6195" s="12" t="inlineStr">
        <is>
          <t>7/C</t>
        </is>
      </c>
      <c r="M6195" s="12" t="inlineStr">
        <is>
          <t>14</t>
        </is>
      </c>
      <c r="N6195" s="12" t="n">
        <v>1</v>
      </c>
      <c r="O6195" s="12" t="n">
        <v>1</v>
      </c>
      <c r="P6195" s="12" t="n"/>
      <c r="Q6195" s="12" t="n"/>
      <c r="R6195" s="12" t="n"/>
      <c r="S6195" s="12" t="inlineStr">
        <is>
          <t>Duct bank</t>
        </is>
      </c>
      <c r="T6195" s="17" t="n">
        <v>1629</v>
      </c>
      <c r="U6195" s="17" t="n">
        <v>161</v>
      </c>
      <c r="V6195" s="17">
        <f>ROUNDUP((T6195+U6195+2*'Read Me'!$B$13)*(1+'Read Me'!$B$12),-1)</f>
        <v/>
      </c>
      <c r="W6195" s="17">
        <f>V6195*N6195*O6195</f>
        <v/>
      </c>
      <c r="X6195" s="12">
        <f>IF(LEFT(I6195,2)="MV",2*N6195*IF(L6195="1/C",O6195,1),0)</f>
        <v/>
      </c>
      <c r="Y6195" s="12">
        <f>IF(OR(LEFT(K6195,4)="LVAX",LEFT(K6195,6)="MV15AX",LEFT(K6195,4)="CTAX",LEFT(K6195,2)="W|"),2*N6195*O6195,0)</f>
        <v/>
      </c>
      <c r="Z6195" s="12" t="inlineStr"/>
      <c r="AA6195" s="12">
        <f>N6195*O6195</f>
        <v/>
      </c>
    </row>
    <row r="6196">
      <c r="A6196" s="12" t="inlineStr">
        <is>
          <t>C-C-0157</t>
        </is>
      </c>
      <c r="B6196" s="12" t="inlineStr">
        <is>
          <t>C</t>
        </is>
      </c>
      <c r="C6196" s="12" t="inlineStr">
        <is>
          <t>Grid interface</t>
        </is>
      </c>
      <c r="D6196" s="12" t="inlineStr">
        <is>
          <t>Motor 10 of 20: control / local station</t>
        </is>
      </c>
      <c r="E6196" s="12" t="inlineStr">
        <is>
          <t>MCC-C1</t>
        </is>
      </c>
      <c r="F6196" s="12" t="inlineStr">
        <is>
          <t>R1 MCC-C1</t>
        </is>
      </c>
      <c r="G6196" s="12" t="inlineStr"/>
      <c r="H6196" s="12" t="inlineStr">
        <is>
          <t>Water treatment building: rooftop HVAC, exhaust fans, vents</t>
        </is>
      </c>
      <c r="I6196" s="12" t="inlineStr">
        <is>
          <t>Control</t>
        </is>
      </c>
      <c r="J6196" s="12" t="inlineStr">
        <is>
          <t>Control cable 600 V Type TC-ER, Cu #14 AWG, PVC jacket</t>
        </is>
      </c>
      <c r="K6196" s="12" t="inlineStr">
        <is>
          <t>CT|7/C|14</t>
        </is>
      </c>
      <c r="L6196" s="12" t="inlineStr">
        <is>
          <t>7/C</t>
        </is>
      </c>
      <c r="M6196" s="12" t="inlineStr">
        <is>
          <t>14</t>
        </is>
      </c>
      <c r="N6196" s="12" t="n">
        <v>1</v>
      </c>
      <c r="O6196" s="12" t="n">
        <v>1</v>
      </c>
      <c r="P6196" s="12" t="n"/>
      <c r="Q6196" s="12" t="n"/>
      <c r="R6196" s="12" t="n"/>
      <c r="S6196" s="12" t="inlineStr">
        <is>
          <t>Duct bank</t>
        </is>
      </c>
      <c r="T6196" s="17" t="n">
        <v>1629</v>
      </c>
      <c r="U6196" s="17" t="n">
        <v>161</v>
      </c>
      <c r="V6196" s="17">
        <f>ROUNDUP((T6196+U6196+2*'Read Me'!$B$13)*(1+'Read Me'!$B$12),-1)</f>
        <v/>
      </c>
      <c r="W6196" s="17">
        <f>V6196*N6196*O6196</f>
        <v/>
      </c>
      <c r="X6196" s="12">
        <f>IF(LEFT(I6196,2)="MV",2*N6196*IF(L6196="1/C",O6196,1),0)</f>
        <v/>
      </c>
      <c r="Y6196" s="12">
        <f>IF(OR(LEFT(K6196,4)="LVAX",LEFT(K6196,6)="MV15AX",LEFT(K6196,4)="CTAX",LEFT(K6196,2)="W|"),2*N6196*O6196,0)</f>
        <v/>
      </c>
      <c r="Z6196" s="12" t="inlineStr"/>
      <c r="AA6196" s="12">
        <f>N6196*O6196</f>
        <v/>
      </c>
    </row>
    <row r="6197">
      <c r="A6197" s="12" t="inlineStr">
        <is>
          <t>C-C-0158</t>
        </is>
      </c>
      <c r="B6197" s="12" t="inlineStr">
        <is>
          <t>C</t>
        </is>
      </c>
      <c r="C6197" s="12" t="inlineStr">
        <is>
          <t>Grid interface</t>
        </is>
      </c>
      <c r="D6197" s="12" t="inlineStr">
        <is>
          <t>Motor 11 of 20: control / local station</t>
        </is>
      </c>
      <c r="E6197" s="12" t="inlineStr">
        <is>
          <t>MCC-C1</t>
        </is>
      </c>
      <c r="F6197" s="12" t="inlineStr">
        <is>
          <t>R1 MCC-C1</t>
        </is>
      </c>
      <c r="G6197" s="12" t="inlineStr"/>
      <c r="H6197" s="12" t="inlineStr">
        <is>
          <t>Water treatment building: rooftop HVAC, exhaust fans, vents</t>
        </is>
      </c>
      <c r="I6197" s="12" t="inlineStr">
        <is>
          <t>Control</t>
        </is>
      </c>
      <c r="J6197" s="12" t="inlineStr">
        <is>
          <t>Control cable 600 V Type TC-ER, Cu #14 AWG, PVC jacket</t>
        </is>
      </c>
      <c r="K6197" s="12" t="inlineStr">
        <is>
          <t>CT|7/C|14</t>
        </is>
      </c>
      <c r="L6197" s="12" t="inlineStr">
        <is>
          <t>7/C</t>
        </is>
      </c>
      <c r="M6197" s="12" t="inlineStr">
        <is>
          <t>14</t>
        </is>
      </c>
      <c r="N6197" s="12" t="n">
        <v>1</v>
      </c>
      <c r="O6197" s="12" t="n">
        <v>1</v>
      </c>
      <c r="P6197" s="12" t="n"/>
      <c r="Q6197" s="12" t="n"/>
      <c r="R6197" s="12" t="n"/>
      <c r="S6197" s="12" t="inlineStr">
        <is>
          <t>Duct bank</t>
        </is>
      </c>
      <c r="T6197" s="17" t="n">
        <v>1629</v>
      </c>
      <c r="U6197" s="17" t="n">
        <v>161</v>
      </c>
      <c r="V6197" s="17">
        <f>ROUNDUP((T6197+U6197+2*'Read Me'!$B$13)*(1+'Read Me'!$B$12),-1)</f>
        <v/>
      </c>
      <c r="W6197" s="17">
        <f>V6197*N6197*O6197</f>
        <v/>
      </c>
      <c r="X6197" s="12">
        <f>IF(LEFT(I6197,2)="MV",2*N6197*IF(L6197="1/C",O6197,1),0)</f>
        <v/>
      </c>
      <c r="Y6197" s="12">
        <f>IF(OR(LEFT(K6197,4)="LVAX",LEFT(K6197,6)="MV15AX",LEFT(K6197,4)="CTAX",LEFT(K6197,2)="W|"),2*N6197*O6197,0)</f>
        <v/>
      </c>
      <c r="Z6197" s="12" t="inlineStr"/>
      <c r="AA6197" s="12">
        <f>N6197*O6197</f>
        <v/>
      </c>
    </row>
    <row r="6198">
      <c r="A6198" s="12" t="inlineStr">
        <is>
          <t>C-C-0159</t>
        </is>
      </c>
      <c r="B6198" s="12" t="inlineStr">
        <is>
          <t>C</t>
        </is>
      </c>
      <c r="C6198" s="12" t="inlineStr">
        <is>
          <t>Grid interface</t>
        </is>
      </c>
      <c r="D6198" s="12" t="inlineStr">
        <is>
          <t>Motor 12 of 20: control / local station</t>
        </is>
      </c>
      <c r="E6198" s="12" t="inlineStr">
        <is>
          <t>MCC-C1</t>
        </is>
      </c>
      <c r="F6198" s="12" t="inlineStr">
        <is>
          <t>R1 MCC-C1</t>
        </is>
      </c>
      <c r="G6198" s="12" t="inlineStr"/>
      <c r="H6198" s="12" t="inlineStr">
        <is>
          <t>Water treatment building: rooftop HVAC, exhaust fans, vents</t>
        </is>
      </c>
      <c r="I6198" s="12" t="inlineStr">
        <is>
          <t>Control</t>
        </is>
      </c>
      <c r="J6198" s="12" t="inlineStr">
        <is>
          <t>Control cable 600 V Type TC-ER, Cu #14 AWG, PVC jacket</t>
        </is>
      </c>
      <c r="K6198" s="12" t="inlineStr">
        <is>
          <t>CT|7/C|14</t>
        </is>
      </c>
      <c r="L6198" s="12" t="inlineStr">
        <is>
          <t>7/C</t>
        </is>
      </c>
      <c r="M6198" s="12" t="inlineStr">
        <is>
          <t>14</t>
        </is>
      </c>
      <c r="N6198" s="12" t="n">
        <v>1</v>
      </c>
      <c r="O6198" s="12" t="n">
        <v>1</v>
      </c>
      <c r="P6198" s="12" t="n"/>
      <c r="Q6198" s="12" t="n"/>
      <c r="R6198" s="12" t="n"/>
      <c r="S6198" s="12" t="inlineStr">
        <is>
          <t>Duct bank</t>
        </is>
      </c>
      <c r="T6198" s="17" t="n">
        <v>1629</v>
      </c>
      <c r="U6198" s="17" t="n">
        <v>161</v>
      </c>
      <c r="V6198" s="17">
        <f>ROUNDUP((T6198+U6198+2*'Read Me'!$B$13)*(1+'Read Me'!$B$12),-1)</f>
        <v/>
      </c>
      <c r="W6198" s="17">
        <f>V6198*N6198*O6198</f>
        <v/>
      </c>
      <c r="X6198" s="12">
        <f>IF(LEFT(I6198,2)="MV",2*N6198*IF(L6198="1/C",O6198,1),0)</f>
        <v/>
      </c>
      <c r="Y6198" s="12">
        <f>IF(OR(LEFT(K6198,4)="LVAX",LEFT(K6198,6)="MV15AX",LEFT(K6198,4)="CTAX",LEFT(K6198,2)="W|"),2*N6198*O6198,0)</f>
        <v/>
      </c>
      <c r="Z6198" s="12" t="inlineStr"/>
      <c r="AA6198" s="12">
        <f>N6198*O6198</f>
        <v/>
      </c>
    </row>
    <row r="6199">
      <c r="A6199" s="12" t="inlineStr">
        <is>
          <t>C-C-0160</t>
        </is>
      </c>
      <c r="B6199" s="12" t="inlineStr">
        <is>
          <t>C</t>
        </is>
      </c>
      <c r="C6199" s="12" t="inlineStr">
        <is>
          <t>Grid interface</t>
        </is>
      </c>
      <c r="D6199" s="12" t="inlineStr">
        <is>
          <t>Motor 13 of 20: control / local station</t>
        </is>
      </c>
      <c r="E6199" s="12" t="inlineStr">
        <is>
          <t>MCC-C1</t>
        </is>
      </c>
      <c r="F6199" s="12" t="inlineStr">
        <is>
          <t>R1 MCC-C1</t>
        </is>
      </c>
      <c r="G6199" s="12" t="inlineStr"/>
      <c r="H6199" s="12" t="inlineStr">
        <is>
          <t>Water treatment building: rooftop HVAC, exhaust fans, vents</t>
        </is>
      </c>
      <c r="I6199" s="12" t="inlineStr">
        <is>
          <t>Control</t>
        </is>
      </c>
      <c r="J6199" s="12" t="inlineStr">
        <is>
          <t>Control cable 600 V Type TC-ER, Cu #14 AWG, PVC jacket</t>
        </is>
      </c>
      <c r="K6199" s="12" t="inlineStr">
        <is>
          <t>CT|7/C|14</t>
        </is>
      </c>
      <c r="L6199" s="12" t="inlineStr">
        <is>
          <t>7/C</t>
        </is>
      </c>
      <c r="M6199" s="12" t="inlineStr">
        <is>
          <t>14</t>
        </is>
      </c>
      <c r="N6199" s="12" t="n">
        <v>1</v>
      </c>
      <c r="O6199" s="12" t="n">
        <v>1</v>
      </c>
      <c r="P6199" s="12" t="n"/>
      <c r="Q6199" s="12" t="n"/>
      <c r="R6199" s="12" t="n"/>
      <c r="S6199" s="12" t="inlineStr">
        <is>
          <t>Duct bank</t>
        </is>
      </c>
      <c r="T6199" s="17" t="n">
        <v>1629</v>
      </c>
      <c r="U6199" s="17" t="n">
        <v>161</v>
      </c>
      <c r="V6199" s="17">
        <f>ROUNDUP((T6199+U6199+2*'Read Me'!$B$13)*(1+'Read Me'!$B$12),-1)</f>
        <v/>
      </c>
      <c r="W6199" s="17">
        <f>V6199*N6199*O6199</f>
        <v/>
      </c>
      <c r="X6199" s="12">
        <f>IF(LEFT(I6199,2)="MV",2*N6199*IF(L6199="1/C",O6199,1),0)</f>
        <v/>
      </c>
      <c r="Y6199" s="12">
        <f>IF(OR(LEFT(K6199,4)="LVAX",LEFT(K6199,6)="MV15AX",LEFT(K6199,4)="CTAX",LEFT(K6199,2)="W|"),2*N6199*O6199,0)</f>
        <v/>
      </c>
      <c r="Z6199" s="12" t="inlineStr"/>
      <c r="AA6199" s="12">
        <f>N6199*O6199</f>
        <v/>
      </c>
    </row>
    <row r="6200">
      <c r="A6200" s="12" t="inlineStr">
        <is>
          <t>C-C-0161</t>
        </is>
      </c>
      <c r="B6200" s="12" t="inlineStr">
        <is>
          <t>C</t>
        </is>
      </c>
      <c r="C6200" s="12" t="inlineStr">
        <is>
          <t>Grid interface</t>
        </is>
      </c>
      <c r="D6200" s="12" t="inlineStr">
        <is>
          <t>Motor 14 of 20: control / local station</t>
        </is>
      </c>
      <c r="E6200" s="12" t="inlineStr">
        <is>
          <t>MCC-C1</t>
        </is>
      </c>
      <c r="F6200" s="12" t="inlineStr">
        <is>
          <t>R1 MCC-C1</t>
        </is>
      </c>
      <c r="G6200" s="12" t="inlineStr"/>
      <c r="H6200" s="12" t="inlineStr">
        <is>
          <t>Water treatment building: rooftop HVAC, exhaust fans, vents</t>
        </is>
      </c>
      <c r="I6200" s="12" t="inlineStr">
        <is>
          <t>Control</t>
        </is>
      </c>
      <c r="J6200" s="12" t="inlineStr">
        <is>
          <t>Control cable 600 V Type TC-ER, Cu #14 AWG, PVC jacket</t>
        </is>
      </c>
      <c r="K6200" s="12" t="inlineStr">
        <is>
          <t>CT|7/C|14</t>
        </is>
      </c>
      <c r="L6200" s="12" t="inlineStr">
        <is>
          <t>7/C</t>
        </is>
      </c>
      <c r="M6200" s="12" t="inlineStr">
        <is>
          <t>14</t>
        </is>
      </c>
      <c r="N6200" s="12" t="n">
        <v>1</v>
      </c>
      <c r="O6200" s="12" t="n">
        <v>1</v>
      </c>
      <c r="P6200" s="12" t="n"/>
      <c r="Q6200" s="12" t="n"/>
      <c r="R6200" s="12" t="n"/>
      <c r="S6200" s="12" t="inlineStr">
        <is>
          <t>Duct bank</t>
        </is>
      </c>
      <c r="T6200" s="17" t="n">
        <v>1629</v>
      </c>
      <c r="U6200" s="17" t="n">
        <v>161</v>
      </c>
      <c r="V6200" s="17">
        <f>ROUNDUP((T6200+U6200+2*'Read Me'!$B$13)*(1+'Read Me'!$B$12),-1)</f>
        <v/>
      </c>
      <c r="W6200" s="17">
        <f>V6200*N6200*O6200</f>
        <v/>
      </c>
      <c r="X6200" s="12">
        <f>IF(LEFT(I6200,2)="MV",2*N6200*IF(L6200="1/C",O6200,1),0)</f>
        <v/>
      </c>
      <c r="Y6200" s="12">
        <f>IF(OR(LEFT(K6200,4)="LVAX",LEFT(K6200,6)="MV15AX",LEFT(K6200,4)="CTAX",LEFT(K6200,2)="W|"),2*N6200*O6200,0)</f>
        <v/>
      </c>
      <c r="Z6200" s="12" t="inlineStr"/>
      <c r="AA6200" s="12">
        <f>N6200*O6200</f>
        <v/>
      </c>
    </row>
    <row r="6201">
      <c r="A6201" s="12" t="inlineStr">
        <is>
          <t>C-C-0162</t>
        </is>
      </c>
      <c r="B6201" s="12" t="inlineStr">
        <is>
          <t>C</t>
        </is>
      </c>
      <c r="C6201" s="12" t="inlineStr">
        <is>
          <t>Grid interface</t>
        </is>
      </c>
      <c r="D6201" s="12" t="inlineStr">
        <is>
          <t>Motor 15 of 20: control / local station</t>
        </is>
      </c>
      <c r="E6201" s="12" t="inlineStr">
        <is>
          <t>MCC-C1</t>
        </is>
      </c>
      <c r="F6201" s="12" t="inlineStr">
        <is>
          <t>R1 MCC-C1</t>
        </is>
      </c>
      <c r="G6201" s="12" t="inlineStr"/>
      <c r="H6201" s="12" t="inlineStr">
        <is>
          <t>Water treatment building: rooftop HVAC, exhaust fans, vents</t>
        </is>
      </c>
      <c r="I6201" s="12" t="inlineStr">
        <is>
          <t>Control</t>
        </is>
      </c>
      <c r="J6201" s="12" t="inlineStr">
        <is>
          <t>Control cable 600 V Type TC-ER, Cu #14 AWG, PVC jacket</t>
        </is>
      </c>
      <c r="K6201" s="12" t="inlineStr">
        <is>
          <t>CT|7/C|14</t>
        </is>
      </c>
      <c r="L6201" s="12" t="inlineStr">
        <is>
          <t>7/C</t>
        </is>
      </c>
      <c r="M6201" s="12" t="inlineStr">
        <is>
          <t>14</t>
        </is>
      </c>
      <c r="N6201" s="12" t="n">
        <v>1</v>
      </c>
      <c r="O6201" s="12" t="n">
        <v>1</v>
      </c>
      <c r="P6201" s="12" t="n"/>
      <c r="Q6201" s="12" t="n"/>
      <c r="R6201" s="12" t="n"/>
      <c r="S6201" s="12" t="inlineStr">
        <is>
          <t>Duct bank</t>
        </is>
      </c>
      <c r="T6201" s="17" t="n">
        <v>1629</v>
      </c>
      <c r="U6201" s="17" t="n">
        <v>161</v>
      </c>
      <c r="V6201" s="17">
        <f>ROUNDUP((T6201+U6201+2*'Read Me'!$B$13)*(1+'Read Me'!$B$12),-1)</f>
        <v/>
      </c>
      <c r="W6201" s="17">
        <f>V6201*N6201*O6201</f>
        <v/>
      </c>
      <c r="X6201" s="12">
        <f>IF(LEFT(I6201,2)="MV",2*N6201*IF(L6201="1/C",O6201,1),0)</f>
        <v/>
      </c>
      <c r="Y6201" s="12">
        <f>IF(OR(LEFT(K6201,4)="LVAX",LEFT(K6201,6)="MV15AX",LEFT(K6201,4)="CTAX",LEFT(K6201,2)="W|"),2*N6201*O6201,0)</f>
        <v/>
      </c>
      <c r="Z6201" s="12" t="inlineStr"/>
      <c r="AA6201" s="12">
        <f>N6201*O6201</f>
        <v/>
      </c>
    </row>
    <row r="6202">
      <c r="A6202" s="12" t="inlineStr">
        <is>
          <t>C-C-0163</t>
        </is>
      </c>
      <c r="B6202" s="12" t="inlineStr">
        <is>
          <t>C</t>
        </is>
      </c>
      <c r="C6202" s="12" t="inlineStr">
        <is>
          <t>Grid interface</t>
        </is>
      </c>
      <c r="D6202" s="12" t="inlineStr">
        <is>
          <t>Motor 16 of 20: control / local station</t>
        </is>
      </c>
      <c r="E6202" s="12" t="inlineStr">
        <is>
          <t>MCC-C1</t>
        </is>
      </c>
      <c r="F6202" s="12" t="inlineStr">
        <is>
          <t>R1 MCC-C1</t>
        </is>
      </c>
      <c r="G6202" s="12" t="inlineStr"/>
      <c r="H6202" s="12" t="inlineStr">
        <is>
          <t>Water treatment building: rooftop HVAC, exhaust fans, vents</t>
        </is>
      </c>
      <c r="I6202" s="12" t="inlineStr">
        <is>
          <t>Control</t>
        </is>
      </c>
      <c r="J6202" s="12" t="inlineStr">
        <is>
          <t>Control cable 600 V Type TC-ER, Cu #14 AWG, PVC jacket</t>
        </is>
      </c>
      <c r="K6202" s="12" t="inlineStr">
        <is>
          <t>CT|7/C|14</t>
        </is>
      </c>
      <c r="L6202" s="12" t="inlineStr">
        <is>
          <t>7/C</t>
        </is>
      </c>
      <c r="M6202" s="12" t="inlineStr">
        <is>
          <t>14</t>
        </is>
      </c>
      <c r="N6202" s="12" t="n">
        <v>1</v>
      </c>
      <c r="O6202" s="12" t="n">
        <v>1</v>
      </c>
      <c r="P6202" s="12" t="n"/>
      <c r="Q6202" s="12" t="n"/>
      <c r="R6202" s="12" t="n"/>
      <c r="S6202" s="12" t="inlineStr">
        <is>
          <t>Duct bank</t>
        </is>
      </c>
      <c r="T6202" s="17" t="n">
        <v>1629</v>
      </c>
      <c r="U6202" s="17" t="n">
        <v>161</v>
      </c>
      <c r="V6202" s="17">
        <f>ROUNDUP((T6202+U6202+2*'Read Me'!$B$13)*(1+'Read Me'!$B$12),-1)</f>
        <v/>
      </c>
      <c r="W6202" s="17">
        <f>V6202*N6202*O6202</f>
        <v/>
      </c>
      <c r="X6202" s="12">
        <f>IF(LEFT(I6202,2)="MV",2*N6202*IF(L6202="1/C",O6202,1),0)</f>
        <v/>
      </c>
      <c r="Y6202" s="12">
        <f>IF(OR(LEFT(K6202,4)="LVAX",LEFT(K6202,6)="MV15AX",LEFT(K6202,4)="CTAX",LEFT(K6202,2)="W|"),2*N6202*O6202,0)</f>
        <v/>
      </c>
      <c r="Z6202" s="12" t="inlineStr"/>
      <c r="AA6202" s="12">
        <f>N6202*O6202</f>
        <v/>
      </c>
    </row>
    <row r="6203">
      <c r="A6203" s="12" t="inlineStr">
        <is>
          <t>C-C-0164</t>
        </is>
      </c>
      <c r="B6203" s="12" t="inlineStr">
        <is>
          <t>C</t>
        </is>
      </c>
      <c r="C6203" s="12" t="inlineStr">
        <is>
          <t>Grid interface</t>
        </is>
      </c>
      <c r="D6203" s="12" t="inlineStr">
        <is>
          <t>Motor 17 of 20: control / local station</t>
        </is>
      </c>
      <c r="E6203" s="12" t="inlineStr">
        <is>
          <t>MCC-C1</t>
        </is>
      </c>
      <c r="F6203" s="12" t="inlineStr">
        <is>
          <t>R1 MCC-C1</t>
        </is>
      </c>
      <c r="G6203" s="12" t="inlineStr"/>
      <c r="H6203" s="12" t="inlineStr">
        <is>
          <t>Water treatment building: rooftop HVAC, exhaust fans, vents</t>
        </is>
      </c>
      <c r="I6203" s="12" t="inlineStr">
        <is>
          <t>Control</t>
        </is>
      </c>
      <c r="J6203" s="12" t="inlineStr">
        <is>
          <t>Control cable 600 V Type TC-ER, Cu #14 AWG, PVC jacket</t>
        </is>
      </c>
      <c r="K6203" s="12" t="inlineStr">
        <is>
          <t>CT|7/C|14</t>
        </is>
      </c>
      <c r="L6203" s="12" t="inlineStr">
        <is>
          <t>7/C</t>
        </is>
      </c>
      <c r="M6203" s="12" t="inlineStr">
        <is>
          <t>14</t>
        </is>
      </c>
      <c r="N6203" s="12" t="n">
        <v>1</v>
      </c>
      <c r="O6203" s="12" t="n">
        <v>1</v>
      </c>
      <c r="P6203" s="12" t="n"/>
      <c r="Q6203" s="12" t="n"/>
      <c r="R6203" s="12" t="n"/>
      <c r="S6203" s="12" t="inlineStr">
        <is>
          <t>Duct bank</t>
        </is>
      </c>
      <c r="T6203" s="17" t="n">
        <v>1629</v>
      </c>
      <c r="U6203" s="17" t="n">
        <v>161</v>
      </c>
      <c r="V6203" s="17">
        <f>ROUNDUP((T6203+U6203+2*'Read Me'!$B$13)*(1+'Read Me'!$B$12),-1)</f>
        <v/>
      </c>
      <c r="W6203" s="17">
        <f>V6203*N6203*O6203</f>
        <v/>
      </c>
      <c r="X6203" s="12">
        <f>IF(LEFT(I6203,2)="MV",2*N6203*IF(L6203="1/C",O6203,1),0)</f>
        <v/>
      </c>
      <c r="Y6203" s="12">
        <f>IF(OR(LEFT(K6203,4)="LVAX",LEFT(K6203,6)="MV15AX",LEFT(K6203,4)="CTAX",LEFT(K6203,2)="W|"),2*N6203*O6203,0)</f>
        <v/>
      </c>
      <c r="Z6203" s="12" t="inlineStr"/>
      <c r="AA6203" s="12">
        <f>N6203*O6203</f>
        <v/>
      </c>
    </row>
    <row r="6204">
      <c r="A6204" s="12" t="inlineStr">
        <is>
          <t>C-C-0165</t>
        </is>
      </c>
      <c r="B6204" s="12" t="inlineStr">
        <is>
          <t>C</t>
        </is>
      </c>
      <c r="C6204" s="12" t="inlineStr">
        <is>
          <t>Grid interface</t>
        </is>
      </c>
      <c r="D6204" s="12" t="inlineStr">
        <is>
          <t>Motor 18 of 20: control / local station</t>
        </is>
      </c>
      <c r="E6204" s="12" t="inlineStr">
        <is>
          <t>MCC-C1</t>
        </is>
      </c>
      <c r="F6204" s="12" t="inlineStr">
        <is>
          <t>R1 MCC-C1</t>
        </is>
      </c>
      <c r="G6204" s="12" t="inlineStr"/>
      <c r="H6204" s="12" t="inlineStr">
        <is>
          <t>Water treatment building: rooftop HVAC, exhaust fans, vents</t>
        </is>
      </c>
      <c r="I6204" s="12" t="inlineStr">
        <is>
          <t>Control</t>
        </is>
      </c>
      <c r="J6204" s="12" t="inlineStr">
        <is>
          <t>Control cable 600 V Type TC-ER, Cu #14 AWG, PVC jacket</t>
        </is>
      </c>
      <c r="K6204" s="12" t="inlineStr">
        <is>
          <t>CT|7/C|14</t>
        </is>
      </c>
      <c r="L6204" s="12" t="inlineStr">
        <is>
          <t>7/C</t>
        </is>
      </c>
      <c r="M6204" s="12" t="inlineStr">
        <is>
          <t>14</t>
        </is>
      </c>
      <c r="N6204" s="12" t="n">
        <v>1</v>
      </c>
      <c r="O6204" s="12" t="n">
        <v>1</v>
      </c>
      <c r="P6204" s="12" t="n"/>
      <c r="Q6204" s="12" t="n"/>
      <c r="R6204" s="12" t="n"/>
      <c r="S6204" s="12" t="inlineStr">
        <is>
          <t>Duct bank</t>
        </is>
      </c>
      <c r="T6204" s="17" t="n">
        <v>1629</v>
      </c>
      <c r="U6204" s="17" t="n">
        <v>161</v>
      </c>
      <c r="V6204" s="17">
        <f>ROUNDUP((T6204+U6204+2*'Read Me'!$B$13)*(1+'Read Me'!$B$12),-1)</f>
        <v/>
      </c>
      <c r="W6204" s="17">
        <f>V6204*N6204*O6204</f>
        <v/>
      </c>
      <c r="X6204" s="12">
        <f>IF(LEFT(I6204,2)="MV",2*N6204*IF(L6204="1/C",O6204,1),0)</f>
        <v/>
      </c>
      <c r="Y6204" s="12">
        <f>IF(OR(LEFT(K6204,4)="LVAX",LEFT(K6204,6)="MV15AX",LEFT(K6204,4)="CTAX",LEFT(K6204,2)="W|"),2*N6204*O6204,0)</f>
        <v/>
      </c>
      <c r="Z6204" s="12" t="inlineStr"/>
      <c r="AA6204" s="12">
        <f>N6204*O6204</f>
        <v/>
      </c>
    </row>
    <row r="6205">
      <c r="A6205" s="12" t="inlineStr">
        <is>
          <t>C-C-0166</t>
        </is>
      </c>
      <c r="B6205" s="12" t="inlineStr">
        <is>
          <t>C</t>
        </is>
      </c>
      <c r="C6205" s="12" t="inlineStr">
        <is>
          <t>Grid interface</t>
        </is>
      </c>
      <c r="D6205" s="12" t="inlineStr">
        <is>
          <t>Motor 19 of 20: control / local station</t>
        </is>
      </c>
      <c r="E6205" s="12" t="inlineStr">
        <is>
          <t>MCC-C1</t>
        </is>
      </c>
      <c r="F6205" s="12" t="inlineStr">
        <is>
          <t>R1 MCC-C1</t>
        </is>
      </c>
      <c r="G6205" s="12" t="inlineStr"/>
      <c r="H6205" s="12" t="inlineStr">
        <is>
          <t>Water treatment building: rooftop HVAC, exhaust fans, vents</t>
        </is>
      </c>
      <c r="I6205" s="12" t="inlineStr">
        <is>
          <t>Control</t>
        </is>
      </c>
      <c r="J6205" s="12" t="inlineStr">
        <is>
          <t>Control cable 600 V Type TC-ER, Cu #14 AWG, PVC jacket</t>
        </is>
      </c>
      <c r="K6205" s="12" t="inlineStr">
        <is>
          <t>CT|7/C|14</t>
        </is>
      </c>
      <c r="L6205" s="12" t="inlineStr">
        <is>
          <t>7/C</t>
        </is>
      </c>
      <c r="M6205" s="12" t="inlineStr">
        <is>
          <t>14</t>
        </is>
      </c>
      <c r="N6205" s="12" t="n">
        <v>1</v>
      </c>
      <c r="O6205" s="12" t="n">
        <v>1</v>
      </c>
      <c r="P6205" s="12" t="n"/>
      <c r="Q6205" s="12" t="n"/>
      <c r="R6205" s="12" t="n"/>
      <c r="S6205" s="12" t="inlineStr">
        <is>
          <t>Duct bank</t>
        </is>
      </c>
      <c r="T6205" s="17" t="n">
        <v>1629</v>
      </c>
      <c r="U6205" s="17" t="n">
        <v>161</v>
      </c>
      <c r="V6205" s="17">
        <f>ROUNDUP((T6205+U6205+2*'Read Me'!$B$13)*(1+'Read Me'!$B$12),-1)</f>
        <v/>
      </c>
      <c r="W6205" s="17">
        <f>V6205*N6205*O6205</f>
        <v/>
      </c>
      <c r="X6205" s="12">
        <f>IF(LEFT(I6205,2)="MV",2*N6205*IF(L6205="1/C",O6205,1),0)</f>
        <v/>
      </c>
      <c r="Y6205" s="12">
        <f>IF(OR(LEFT(K6205,4)="LVAX",LEFT(K6205,6)="MV15AX",LEFT(K6205,4)="CTAX",LEFT(K6205,2)="W|"),2*N6205*O6205,0)</f>
        <v/>
      </c>
      <c r="Z6205" s="12" t="inlineStr"/>
      <c r="AA6205" s="12">
        <f>N6205*O6205</f>
        <v/>
      </c>
    </row>
    <row r="6206">
      <c r="A6206" s="12" t="inlineStr">
        <is>
          <t>C-C-0167</t>
        </is>
      </c>
      <c r="B6206" s="12" t="inlineStr">
        <is>
          <t>C</t>
        </is>
      </c>
      <c r="C6206" s="12" t="inlineStr">
        <is>
          <t>Grid interface</t>
        </is>
      </c>
      <c r="D6206" s="12" t="inlineStr">
        <is>
          <t>Motor 20 of 20: control / local station</t>
        </is>
      </c>
      <c r="E6206" s="12" t="inlineStr">
        <is>
          <t>MCC-C1</t>
        </is>
      </c>
      <c r="F6206" s="12" t="inlineStr">
        <is>
          <t>R1 MCC-C1</t>
        </is>
      </c>
      <c r="G6206" s="12" t="inlineStr"/>
      <c r="H6206" s="12" t="inlineStr">
        <is>
          <t>Water treatment building: rooftop HVAC, exhaust fans, vents</t>
        </is>
      </c>
      <c r="I6206" s="12" t="inlineStr">
        <is>
          <t>Control</t>
        </is>
      </c>
      <c r="J6206" s="12" t="inlineStr">
        <is>
          <t>Control cable 600 V Type TC-ER, Cu #14 AWG, PVC jacket</t>
        </is>
      </c>
      <c r="K6206" s="12" t="inlineStr">
        <is>
          <t>CT|7/C|14</t>
        </is>
      </c>
      <c r="L6206" s="12" t="inlineStr">
        <is>
          <t>7/C</t>
        </is>
      </c>
      <c r="M6206" s="12" t="inlineStr">
        <is>
          <t>14</t>
        </is>
      </c>
      <c r="N6206" s="12" t="n">
        <v>1</v>
      </c>
      <c r="O6206" s="12" t="n">
        <v>1</v>
      </c>
      <c r="P6206" s="12" t="n"/>
      <c r="Q6206" s="12" t="n"/>
      <c r="R6206" s="12" t="n"/>
      <c r="S6206" s="12" t="inlineStr">
        <is>
          <t>Duct bank</t>
        </is>
      </c>
      <c r="T6206" s="17" t="n">
        <v>1629</v>
      </c>
      <c r="U6206" s="17" t="n">
        <v>161</v>
      </c>
      <c r="V6206" s="17">
        <f>ROUNDUP((T6206+U6206+2*'Read Me'!$B$13)*(1+'Read Me'!$B$12),-1)</f>
        <v/>
      </c>
      <c r="W6206" s="17">
        <f>V6206*N6206*O6206</f>
        <v/>
      </c>
      <c r="X6206" s="12">
        <f>IF(LEFT(I6206,2)="MV",2*N6206*IF(L6206="1/C",O6206,1),0)</f>
        <v/>
      </c>
      <c r="Y6206" s="12">
        <f>IF(OR(LEFT(K6206,4)="LVAX",LEFT(K6206,6)="MV15AX",LEFT(K6206,4)="CTAX",LEFT(K6206,2)="W|"),2*N6206*O6206,0)</f>
        <v/>
      </c>
      <c r="Z6206" s="12" t="inlineStr"/>
      <c r="AA6206" s="12">
        <f>N6206*O6206</f>
        <v/>
      </c>
    </row>
    <row r="6207">
      <c r="A6207" s="12" t="inlineStr">
        <is>
          <t>C-I-0081</t>
        </is>
      </c>
      <c r="B6207" s="12" t="inlineStr">
        <is>
          <t>C</t>
        </is>
      </c>
      <c r="C6207" s="12" t="inlineStr">
        <is>
          <t>Grid interface</t>
        </is>
      </c>
      <c r="D6207" s="12" t="inlineStr">
        <is>
          <t>Analog instrument to JB JB-CO2 compression 3 -AI01: 20 x 1 pr (field cables)</t>
        </is>
      </c>
      <c r="E6207" s="12" t="inlineStr"/>
      <c r="F6207" s="12" t="inlineStr">
        <is>
          <t xml:space="preserve">CO2 compression 3 x ~19 MW + dehydration: rooftop HVAC, exhaust fans, </t>
        </is>
      </c>
      <c r="G6207" s="12" t="inlineStr">
        <is>
          <t>JB-CO2 compression 3 -AI01</t>
        </is>
      </c>
      <c r="H6207" s="12" t="inlineStr">
        <is>
          <t xml:space="preserve">CO2 compression 3 x ~19 MW + dehydration: rooftop HVAC, exhaust fans, </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20</v>
      </c>
      <c r="O6207" s="12" t="n">
        <v>1</v>
      </c>
      <c r="P6207" s="12" t="n"/>
      <c r="Q6207" s="12" t="n"/>
      <c r="R6207" s="12" t="n"/>
      <c r="S6207" s="12" t="inlineStr">
        <is>
          <t>Tray / conduit</t>
        </is>
      </c>
      <c r="T6207" s="17" t="n">
        <v>161</v>
      </c>
      <c r="U6207" s="17" t="n">
        <v>10</v>
      </c>
      <c r="V6207" s="17">
        <f>ROUNDUP((T6207+U6207+2*'Read Me'!$B$13)*(1+'Read Me'!$B$12),-1)</f>
        <v/>
      </c>
      <c r="W6207" s="17">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C-I-0082</t>
        </is>
      </c>
      <c r="B6208" s="12" t="inlineStr">
        <is>
          <t>C</t>
        </is>
      </c>
      <c r="C6208" s="12" t="inlineStr">
        <is>
          <t>Grid interface</t>
        </is>
      </c>
      <c r="D6208" s="12" t="inlineStr">
        <is>
          <t>Home run JB-CO2 compression 3 -AI01 to the control / marshalling room</t>
        </is>
      </c>
      <c r="E6208" s="12" t="inlineStr">
        <is>
          <t>R1</t>
        </is>
      </c>
      <c r="F6208" s="12" t="inlineStr">
        <is>
          <t>R1: main electrical building (64 x 180 ft)</t>
        </is>
      </c>
      <c r="G6208" s="12" t="inlineStr">
        <is>
          <t>JB-CO2 compression 3 -AI01</t>
        </is>
      </c>
      <c r="H6208" s="12" t="inlineStr">
        <is>
          <t xml:space="preserve">CO2 compression 3 x ~19 MW + dehydration: rooftop HVAC, exhaust fans, </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Tray</t>
        </is>
      </c>
      <c r="T6208" s="17" t="n">
        <v>2186</v>
      </c>
      <c r="U6208" s="17" t="n">
        <v>268</v>
      </c>
      <c r="V6208" s="17">
        <f>ROUNDUP((T6208+U6208+2*'Read Me'!$B$13)*(1+'Read Me'!$B$12),-1)</f>
        <v/>
      </c>
      <c r="W6208" s="17">
        <f>V6208*N6208*O6208</f>
        <v/>
      </c>
      <c r="X6208" s="12">
        <f>IF(LEFT(I6208,2)="MV",2*N6208*IF(L6208="1/C",O6208,1),0)</f>
        <v/>
      </c>
      <c r="Y6208" s="12">
        <f>IF(OR(LEFT(K6208,4)="LVAX",LEFT(K6208,6)="MV15AX",LEFT(K6208,4)="CTAX",LEFT(K6208,2)="W|"),2*N6208*O6208,0)</f>
        <v/>
      </c>
      <c r="Z6208" s="12" t="inlineStr"/>
      <c r="AA6208" s="12">
        <f>N6208*O6208</f>
        <v/>
      </c>
    </row>
    <row r="6209">
      <c r="A6209" s="12" t="inlineStr">
        <is>
          <t>C-I-0083</t>
        </is>
      </c>
      <c r="B6209" s="12" t="inlineStr">
        <is>
          <t>C</t>
        </is>
      </c>
      <c r="C6209" s="12" t="inlineStr">
        <is>
          <t>Grid interface</t>
        </is>
      </c>
      <c r="D6209" s="12" t="inlineStr">
        <is>
          <t>Analog instrument to JB JB-CO2 compression 3 -AI02: 20 x 1 pr (field cables)</t>
        </is>
      </c>
      <c r="E6209" s="12" t="inlineStr"/>
      <c r="F6209" s="12" t="inlineStr">
        <is>
          <t xml:space="preserve">CO2 compression 3 x ~19 MW + dehydration: rooftop HVAC, exhaust fans, </t>
        </is>
      </c>
      <c r="G6209" s="12" t="inlineStr">
        <is>
          <t>JB-CO2 compression 3 -AI02</t>
        </is>
      </c>
      <c r="H6209" s="12" t="inlineStr">
        <is>
          <t xml:space="preserve">CO2 compression 3 x ~19 MW + dehydration: rooftop HVAC, exhaust fans, </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7" t="n">
        <v>161</v>
      </c>
      <c r="U6209" s="17" t="n">
        <v>10</v>
      </c>
      <c r="V6209" s="17">
        <f>ROUNDUP((T6209+U6209+2*'Read Me'!$B$13)*(1+'Read Me'!$B$12),-1)</f>
        <v/>
      </c>
      <c r="W6209" s="17">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C-I-0084</t>
        </is>
      </c>
      <c r="B6210" s="12" t="inlineStr">
        <is>
          <t>C</t>
        </is>
      </c>
      <c r="C6210" s="12" t="inlineStr">
        <is>
          <t>Grid interface</t>
        </is>
      </c>
      <c r="D6210" s="12" t="inlineStr">
        <is>
          <t>Home run JB-CO2 compression 3 -AI02 to the control / marshalling room</t>
        </is>
      </c>
      <c r="E6210" s="12" t="inlineStr">
        <is>
          <t>R1</t>
        </is>
      </c>
      <c r="F6210" s="12" t="inlineStr">
        <is>
          <t>R1: main electrical building (64 x 180 ft)</t>
        </is>
      </c>
      <c r="G6210" s="12" t="inlineStr">
        <is>
          <t>JB-CO2 compression 3 -AI02</t>
        </is>
      </c>
      <c r="H6210" s="12" t="inlineStr">
        <is>
          <t xml:space="preserve">CO2 compression 3 x ~19 MW + dehydration: rooftop HVAC, exhaust fans, </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Tray</t>
        </is>
      </c>
      <c r="T6210" s="17" t="n">
        <v>2186</v>
      </c>
      <c r="U6210" s="17" t="n">
        <v>268</v>
      </c>
      <c r="V6210" s="17">
        <f>ROUNDUP((T6210+U6210+2*'Read Me'!$B$13)*(1+'Read Me'!$B$12),-1)</f>
        <v/>
      </c>
      <c r="W6210" s="17">
        <f>V6210*N6210*O6210</f>
        <v/>
      </c>
      <c r="X6210" s="12">
        <f>IF(LEFT(I6210,2)="MV",2*N6210*IF(L6210="1/C",O6210,1),0)</f>
        <v/>
      </c>
      <c r="Y6210" s="12">
        <f>IF(OR(LEFT(K6210,4)="LVAX",LEFT(K6210,6)="MV15AX",LEFT(K6210,4)="CTAX",LEFT(K6210,2)="W|"),2*N6210*O6210,0)</f>
        <v/>
      </c>
      <c r="Z6210" s="12" t="inlineStr"/>
      <c r="AA6210" s="12">
        <f>N6210*O6210</f>
        <v/>
      </c>
    </row>
    <row r="6211">
      <c r="A6211" s="12" t="inlineStr">
        <is>
          <t>C-I-0085</t>
        </is>
      </c>
      <c r="B6211" s="12" t="inlineStr">
        <is>
          <t>C</t>
        </is>
      </c>
      <c r="C6211" s="12" t="inlineStr">
        <is>
          <t>Grid interface</t>
        </is>
      </c>
      <c r="D6211" s="12" t="inlineStr">
        <is>
          <t>Analog instrument to JB JB-CO2 compression 3 -AI03: 20 x 1 pr (field cables)</t>
        </is>
      </c>
      <c r="E6211" s="12" t="inlineStr"/>
      <c r="F6211" s="12" t="inlineStr">
        <is>
          <t xml:space="preserve">CO2 compression 3 x ~19 MW + dehydration: rooftop HVAC, exhaust fans, </t>
        </is>
      </c>
      <c r="G6211" s="12" t="inlineStr">
        <is>
          <t>JB-CO2 compression 3 -AI03</t>
        </is>
      </c>
      <c r="H6211" s="12" t="inlineStr">
        <is>
          <t xml:space="preserve">CO2 compression 3 x ~19 MW + dehydration: rooftop HVAC, exhaust fans, </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7" t="n">
        <v>161</v>
      </c>
      <c r="U6211" s="17" t="n">
        <v>10</v>
      </c>
      <c r="V6211" s="17">
        <f>ROUNDUP((T6211+U6211+2*'Read Me'!$B$13)*(1+'Read Me'!$B$12),-1)</f>
        <v/>
      </c>
      <c r="W6211" s="17">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C-I-0086</t>
        </is>
      </c>
      <c r="B6212" s="12" t="inlineStr">
        <is>
          <t>C</t>
        </is>
      </c>
      <c r="C6212" s="12" t="inlineStr">
        <is>
          <t>Grid interface</t>
        </is>
      </c>
      <c r="D6212" s="12" t="inlineStr">
        <is>
          <t>Home run JB-CO2 compression 3 -AI03 to the control / marshalling room</t>
        </is>
      </c>
      <c r="E6212" s="12" t="inlineStr">
        <is>
          <t>R1</t>
        </is>
      </c>
      <c r="F6212" s="12" t="inlineStr">
        <is>
          <t>R1: main electrical building (64 x 180 ft)</t>
        </is>
      </c>
      <c r="G6212" s="12" t="inlineStr">
        <is>
          <t>JB-CO2 compression 3 -AI03</t>
        </is>
      </c>
      <c r="H6212" s="12" t="inlineStr">
        <is>
          <t xml:space="preserve">CO2 compression 3 x ~19 MW + dehydration: rooftop HVAC, exhaust fans, </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Tray</t>
        </is>
      </c>
      <c r="T6212" s="17" t="n">
        <v>2186</v>
      </c>
      <c r="U6212" s="17" t="n">
        <v>268</v>
      </c>
      <c r="V6212" s="17">
        <f>ROUNDUP((T6212+U6212+2*'Read Me'!$B$13)*(1+'Read Me'!$B$12),-1)</f>
        <v/>
      </c>
      <c r="W6212" s="17">
        <f>V6212*N6212*O6212</f>
        <v/>
      </c>
      <c r="X6212" s="12">
        <f>IF(LEFT(I6212,2)="MV",2*N6212*IF(L6212="1/C",O6212,1),0)</f>
        <v/>
      </c>
      <c r="Y6212" s="12">
        <f>IF(OR(LEFT(K6212,4)="LVAX",LEFT(K6212,6)="MV15AX",LEFT(K6212,4)="CTAX",LEFT(K6212,2)="W|"),2*N6212*O6212,0)</f>
        <v/>
      </c>
      <c r="Z6212" s="12" t="inlineStr"/>
      <c r="AA6212" s="12">
        <f>N6212*O6212</f>
        <v/>
      </c>
    </row>
    <row r="6213">
      <c r="A6213" s="12" t="inlineStr">
        <is>
          <t>C-I-0087</t>
        </is>
      </c>
      <c r="B6213" s="12" t="inlineStr">
        <is>
          <t>C</t>
        </is>
      </c>
      <c r="C6213" s="12" t="inlineStr">
        <is>
          <t>Grid interface</t>
        </is>
      </c>
      <c r="D6213" s="12" t="inlineStr">
        <is>
          <t>Analog instrument to JB JB-CO2 compression 3 -AI04: 20 x 1 pr (field cables)</t>
        </is>
      </c>
      <c r="E6213" s="12" t="inlineStr"/>
      <c r="F6213" s="12" t="inlineStr">
        <is>
          <t xml:space="preserve">CO2 compression 3 x ~19 MW + dehydration: rooftop HVAC, exhaust fans, </t>
        </is>
      </c>
      <c r="G6213" s="12" t="inlineStr">
        <is>
          <t>JB-CO2 compression 3 -AI04</t>
        </is>
      </c>
      <c r="H6213" s="12" t="inlineStr">
        <is>
          <t xml:space="preserve">CO2 compression 3 x ~19 MW + dehydration: rooftop HVAC, exhaust fans, </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7" t="n">
        <v>161</v>
      </c>
      <c r="U6213" s="17" t="n">
        <v>10</v>
      </c>
      <c r="V6213" s="17">
        <f>ROUNDUP((T6213+U6213+2*'Read Me'!$B$13)*(1+'Read Me'!$B$12),-1)</f>
        <v/>
      </c>
      <c r="W6213" s="17">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C-I-0088</t>
        </is>
      </c>
      <c r="B6214" s="12" t="inlineStr">
        <is>
          <t>C</t>
        </is>
      </c>
      <c r="C6214" s="12" t="inlineStr">
        <is>
          <t>Grid interface</t>
        </is>
      </c>
      <c r="D6214" s="12" t="inlineStr">
        <is>
          <t>Home run JB-CO2 compression 3 -AI04 to the control / marshalling room</t>
        </is>
      </c>
      <c r="E6214" s="12" t="inlineStr">
        <is>
          <t>R1</t>
        </is>
      </c>
      <c r="F6214" s="12" t="inlineStr">
        <is>
          <t>R1: main electrical building (64 x 180 ft)</t>
        </is>
      </c>
      <c r="G6214" s="12" t="inlineStr">
        <is>
          <t>JB-CO2 compression 3 -AI04</t>
        </is>
      </c>
      <c r="H6214" s="12" t="inlineStr">
        <is>
          <t xml:space="preserve">CO2 compression 3 x ~19 MW + dehydration: rooftop HVAC, exhaust fans, </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Tray</t>
        </is>
      </c>
      <c r="T6214" s="17" t="n">
        <v>2186</v>
      </c>
      <c r="U6214" s="17" t="n">
        <v>268</v>
      </c>
      <c r="V6214" s="17">
        <f>ROUNDUP((T6214+U6214+2*'Read Me'!$B$13)*(1+'Read Me'!$B$12),-1)</f>
        <v/>
      </c>
      <c r="W6214" s="17">
        <f>V6214*N6214*O6214</f>
        <v/>
      </c>
      <c r="X6214" s="12">
        <f>IF(LEFT(I6214,2)="MV",2*N6214*IF(L6214="1/C",O6214,1),0)</f>
        <v/>
      </c>
      <c r="Y6214" s="12">
        <f>IF(OR(LEFT(K6214,4)="LVAX",LEFT(K6214,6)="MV15AX",LEFT(K6214,4)="CTAX",LEFT(K6214,2)="W|"),2*N6214*O6214,0)</f>
        <v/>
      </c>
      <c r="Z6214" s="12" t="inlineStr"/>
      <c r="AA6214" s="12">
        <f>N6214*O6214</f>
        <v/>
      </c>
    </row>
    <row r="6215">
      <c r="A6215" s="12" t="inlineStr">
        <is>
          <t>C-I-0089</t>
        </is>
      </c>
      <c r="B6215" s="12" t="inlineStr">
        <is>
          <t>C</t>
        </is>
      </c>
      <c r="C6215" s="12" t="inlineStr">
        <is>
          <t>Grid interface</t>
        </is>
      </c>
      <c r="D6215" s="12" t="inlineStr">
        <is>
          <t>Analog instrument to JB JB-CO2 compression 3 -AI05: 20 x 1 pr (field cables)</t>
        </is>
      </c>
      <c r="E6215" s="12" t="inlineStr"/>
      <c r="F6215" s="12" t="inlineStr">
        <is>
          <t xml:space="preserve">CO2 compression 3 x ~19 MW + dehydration: rooftop HVAC, exhaust fans, </t>
        </is>
      </c>
      <c r="G6215" s="12" t="inlineStr">
        <is>
          <t>JB-CO2 compression 3 -AI05</t>
        </is>
      </c>
      <c r="H6215" s="12" t="inlineStr">
        <is>
          <t xml:space="preserve">CO2 compression 3 x ~19 MW + dehydration: rooftop HVAC, exhaust fans, </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7" t="n">
        <v>161</v>
      </c>
      <c r="U6215" s="17" t="n">
        <v>10</v>
      </c>
      <c r="V6215" s="17">
        <f>ROUNDUP((T6215+U6215+2*'Read Me'!$B$13)*(1+'Read Me'!$B$12),-1)</f>
        <v/>
      </c>
      <c r="W6215" s="17">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C-I-0090</t>
        </is>
      </c>
      <c r="B6216" s="12" t="inlineStr">
        <is>
          <t>C</t>
        </is>
      </c>
      <c r="C6216" s="12" t="inlineStr">
        <is>
          <t>Grid interface</t>
        </is>
      </c>
      <c r="D6216" s="12" t="inlineStr">
        <is>
          <t>Home run JB-CO2 compression 3 -AI05 to the control / marshalling room</t>
        </is>
      </c>
      <c r="E6216" s="12" t="inlineStr">
        <is>
          <t>R1</t>
        </is>
      </c>
      <c r="F6216" s="12" t="inlineStr">
        <is>
          <t>R1: main electrical building (64 x 180 ft)</t>
        </is>
      </c>
      <c r="G6216" s="12" t="inlineStr">
        <is>
          <t>JB-CO2 compression 3 -AI05</t>
        </is>
      </c>
      <c r="H6216" s="12" t="inlineStr">
        <is>
          <t xml:space="preserve">CO2 compression 3 x ~19 MW + dehydration: rooftop HVAC, exhaust fans, </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Tray</t>
        </is>
      </c>
      <c r="T6216" s="17" t="n">
        <v>2186</v>
      </c>
      <c r="U6216" s="17" t="n">
        <v>268</v>
      </c>
      <c r="V6216" s="17">
        <f>ROUNDUP((T6216+U6216+2*'Read Me'!$B$13)*(1+'Read Me'!$B$12),-1)</f>
        <v/>
      </c>
      <c r="W6216" s="17">
        <f>V6216*N6216*O6216</f>
        <v/>
      </c>
      <c r="X6216" s="12">
        <f>IF(LEFT(I6216,2)="MV",2*N6216*IF(L6216="1/C",O6216,1),0)</f>
        <v/>
      </c>
      <c r="Y6216" s="12">
        <f>IF(OR(LEFT(K6216,4)="LVAX",LEFT(K6216,6)="MV15AX",LEFT(K6216,4)="CTAX",LEFT(K6216,2)="W|"),2*N6216*O6216,0)</f>
        <v/>
      </c>
      <c r="Z6216" s="12" t="inlineStr"/>
      <c r="AA6216" s="12">
        <f>N6216*O6216</f>
        <v/>
      </c>
    </row>
    <row r="6217">
      <c r="A6217" s="12" t="inlineStr">
        <is>
          <t>C-I-0091</t>
        </is>
      </c>
      <c r="B6217" s="12" t="inlineStr">
        <is>
          <t>C</t>
        </is>
      </c>
      <c r="C6217" s="12" t="inlineStr">
        <is>
          <t>Grid interface</t>
        </is>
      </c>
      <c r="D6217" s="12" t="inlineStr">
        <is>
          <t>Analog instrument to JB JB-CO2 compression 3 -AI06: 20 x 1 pr (field cables)</t>
        </is>
      </c>
      <c r="E6217" s="12" t="inlineStr"/>
      <c r="F6217" s="12" t="inlineStr">
        <is>
          <t xml:space="preserve">CO2 compression 3 x ~19 MW + dehydration: rooftop HVAC, exhaust fans, </t>
        </is>
      </c>
      <c r="G6217" s="12" t="inlineStr">
        <is>
          <t>JB-CO2 compression 3 -AI06</t>
        </is>
      </c>
      <c r="H6217" s="12" t="inlineStr">
        <is>
          <t xml:space="preserve">CO2 compression 3 x ~19 MW + dehydration: rooftop HVAC, exhaust fans, </t>
        </is>
      </c>
      <c r="I6217" s="12" t="inlineStr">
        <is>
          <t>Instrumentation</t>
        </is>
      </c>
      <c r="J6217" s="12" t="inlineStr">
        <is>
          <t>Instrumentation PLTC / TC-ER 300 V, #18 twisted shielded pairs, overall shield</t>
        </is>
      </c>
      <c r="K6217" s="12" t="inlineStr">
        <is>
          <t>PLTC|1 pr|16</t>
        </is>
      </c>
      <c r="L6217" s="12" t="inlineStr">
        <is>
          <t>1 pr</t>
        </is>
      </c>
      <c r="M6217" s="12" t="inlineStr">
        <is>
          <t>16</t>
        </is>
      </c>
      <c r="N6217" s="12" t="n">
        <v>20</v>
      </c>
      <c r="O6217" s="12" t="n">
        <v>1</v>
      </c>
      <c r="P6217" s="12" t="n"/>
      <c r="Q6217" s="12" t="n"/>
      <c r="R6217" s="12" t="n"/>
      <c r="S6217" s="12" t="inlineStr">
        <is>
          <t>Tray / conduit</t>
        </is>
      </c>
      <c r="T6217" s="17" t="n">
        <v>161</v>
      </c>
      <c r="U6217" s="17" t="n">
        <v>10</v>
      </c>
      <c r="V6217" s="17">
        <f>ROUNDUP((T6217+U6217+2*'Read Me'!$B$13)*(1+'Read Me'!$B$12),-1)</f>
        <v/>
      </c>
      <c r="W6217" s="17">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C-I-0092</t>
        </is>
      </c>
      <c r="B6218" s="12" t="inlineStr">
        <is>
          <t>C</t>
        </is>
      </c>
      <c r="C6218" s="12" t="inlineStr">
        <is>
          <t>Grid interface</t>
        </is>
      </c>
      <c r="D6218" s="12" t="inlineStr">
        <is>
          <t>Home run JB-CO2 compression 3 -AI06 to the control / marshalling room</t>
        </is>
      </c>
      <c r="E6218" s="12" t="inlineStr">
        <is>
          <t>R1</t>
        </is>
      </c>
      <c r="F6218" s="12" t="inlineStr">
        <is>
          <t>R1: main electrical building (64 x 180 ft)</t>
        </is>
      </c>
      <c r="G6218" s="12" t="inlineStr">
        <is>
          <t>JB-CO2 compression 3 -AI06</t>
        </is>
      </c>
      <c r="H6218" s="12" t="inlineStr">
        <is>
          <t xml:space="preserve">CO2 compression 3 x ~19 MW + dehydration: rooftop HVAC, exhaust fans, </t>
        </is>
      </c>
      <c r="I6218" s="12" t="inlineStr">
        <is>
          <t>Instrumentation</t>
        </is>
      </c>
      <c r="J6218" s="12" t="inlineStr">
        <is>
          <t>Instrumentation PLTC / TC-ER 300 V, #18 twisted shielded pairs, overall shield</t>
        </is>
      </c>
      <c r="K6218" s="12" t="inlineStr">
        <is>
          <t>PLTC|24 pr|18</t>
        </is>
      </c>
      <c r="L6218" s="12" t="inlineStr">
        <is>
          <t>24 pr</t>
        </is>
      </c>
      <c r="M6218" s="12" t="inlineStr">
        <is>
          <t>18</t>
        </is>
      </c>
      <c r="N6218" s="12" t="n">
        <v>1</v>
      </c>
      <c r="O6218" s="12" t="n">
        <v>1</v>
      </c>
      <c r="P6218" s="12" t="n"/>
      <c r="Q6218" s="12" t="n"/>
      <c r="R6218" s="12" t="n"/>
      <c r="S6218" s="12" t="inlineStr">
        <is>
          <t>Tray</t>
        </is>
      </c>
      <c r="T6218" s="17" t="n">
        <v>2186</v>
      </c>
      <c r="U6218" s="17" t="n">
        <v>268</v>
      </c>
      <c r="V6218" s="17">
        <f>ROUNDUP((T6218+U6218+2*'Read Me'!$B$13)*(1+'Read Me'!$B$12),-1)</f>
        <v/>
      </c>
      <c r="W6218" s="17">
        <f>V6218*N6218*O6218</f>
        <v/>
      </c>
      <c r="X6218" s="12">
        <f>IF(LEFT(I6218,2)="MV",2*N6218*IF(L6218="1/C",O6218,1),0)</f>
        <v/>
      </c>
      <c r="Y6218" s="12">
        <f>IF(OR(LEFT(K6218,4)="LVAX",LEFT(K6218,6)="MV15AX",LEFT(K6218,4)="CTAX",LEFT(K6218,2)="W|"),2*N6218*O6218,0)</f>
        <v/>
      </c>
      <c r="Z6218" s="12" t="inlineStr"/>
      <c r="AA6218" s="12">
        <f>N6218*O6218</f>
        <v/>
      </c>
    </row>
    <row r="6219">
      <c r="A6219" s="12" t="inlineStr">
        <is>
          <t>C-I-0093</t>
        </is>
      </c>
      <c r="B6219" s="12" t="inlineStr">
        <is>
          <t>C</t>
        </is>
      </c>
      <c r="C6219" s="12" t="inlineStr">
        <is>
          <t>Grid interface</t>
        </is>
      </c>
      <c r="D6219" s="12" t="inlineStr">
        <is>
          <t>Analog instrument to JB JB-CO2 compression 3 -AI07: 20 x 1 pr (field cables)</t>
        </is>
      </c>
      <c r="E6219" s="12" t="inlineStr"/>
      <c r="F6219" s="12" t="inlineStr">
        <is>
          <t xml:space="preserve">CO2 compression 3 x ~19 MW + dehydration: rooftop HVAC, exhaust fans, </t>
        </is>
      </c>
      <c r="G6219" s="12" t="inlineStr">
        <is>
          <t>JB-CO2 compression 3 -AI07</t>
        </is>
      </c>
      <c r="H6219" s="12" t="inlineStr">
        <is>
          <t xml:space="preserve">CO2 compression 3 x ~19 MW + dehydration: rooftop HVAC, exhaust fans, </t>
        </is>
      </c>
      <c r="I6219" s="12" t="inlineStr">
        <is>
          <t>Instrumentation</t>
        </is>
      </c>
      <c r="J6219" s="12" t="inlineStr">
        <is>
          <t>Instrumentation PLTC / TC-ER 300 V, #18 twisted shielded pairs, overall shield</t>
        </is>
      </c>
      <c r="K6219" s="12" t="inlineStr">
        <is>
          <t>PLTC|1 pr|16</t>
        </is>
      </c>
      <c r="L6219" s="12" t="inlineStr">
        <is>
          <t>1 pr</t>
        </is>
      </c>
      <c r="M6219" s="12" t="inlineStr">
        <is>
          <t>16</t>
        </is>
      </c>
      <c r="N6219" s="12" t="n">
        <v>20</v>
      </c>
      <c r="O6219" s="12" t="n">
        <v>1</v>
      </c>
      <c r="P6219" s="12" t="n"/>
      <c r="Q6219" s="12" t="n"/>
      <c r="R6219" s="12" t="n"/>
      <c r="S6219" s="12" t="inlineStr">
        <is>
          <t>Tray / conduit</t>
        </is>
      </c>
      <c r="T6219" s="17" t="n">
        <v>161</v>
      </c>
      <c r="U6219" s="17" t="n">
        <v>10</v>
      </c>
      <c r="V6219" s="17">
        <f>ROUNDUP((T6219+U6219+2*'Read Me'!$B$13)*(1+'Read Me'!$B$12),-1)</f>
        <v/>
      </c>
      <c r="W6219" s="17">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C-I-0094</t>
        </is>
      </c>
      <c r="B6220" s="12" t="inlineStr">
        <is>
          <t>C</t>
        </is>
      </c>
      <c r="C6220" s="12" t="inlineStr">
        <is>
          <t>Grid interface</t>
        </is>
      </c>
      <c r="D6220" s="12" t="inlineStr">
        <is>
          <t>Home run JB-CO2 compression 3 -AI07 to the control / marshalling room</t>
        </is>
      </c>
      <c r="E6220" s="12" t="inlineStr">
        <is>
          <t>R1</t>
        </is>
      </c>
      <c r="F6220" s="12" t="inlineStr">
        <is>
          <t>R1: main electrical building (64 x 180 ft)</t>
        </is>
      </c>
      <c r="G6220" s="12" t="inlineStr">
        <is>
          <t>JB-CO2 compression 3 -AI07</t>
        </is>
      </c>
      <c r="H6220" s="12" t="inlineStr">
        <is>
          <t xml:space="preserve">CO2 compression 3 x ~19 MW + dehydration: rooftop HVAC, exhaust fans, </t>
        </is>
      </c>
      <c r="I6220" s="12" t="inlineStr">
        <is>
          <t>Instrumentation</t>
        </is>
      </c>
      <c r="J6220" s="12" t="inlineStr">
        <is>
          <t>Instrumentation PLTC / TC-ER 300 V, #18 twisted shielded pairs, overall shield</t>
        </is>
      </c>
      <c r="K6220" s="12" t="inlineStr">
        <is>
          <t>PLTC|24 pr|18</t>
        </is>
      </c>
      <c r="L6220" s="12" t="inlineStr">
        <is>
          <t>24 pr</t>
        </is>
      </c>
      <c r="M6220" s="12" t="inlineStr">
        <is>
          <t>18</t>
        </is>
      </c>
      <c r="N6220" s="12" t="n">
        <v>1</v>
      </c>
      <c r="O6220" s="12" t="n">
        <v>1</v>
      </c>
      <c r="P6220" s="12" t="n"/>
      <c r="Q6220" s="12" t="n"/>
      <c r="R6220" s="12" t="n"/>
      <c r="S6220" s="12" t="inlineStr">
        <is>
          <t>Tray</t>
        </is>
      </c>
      <c r="T6220" s="17" t="n">
        <v>2186</v>
      </c>
      <c r="U6220" s="17" t="n">
        <v>268</v>
      </c>
      <c r="V6220" s="17">
        <f>ROUNDUP((T6220+U6220+2*'Read Me'!$B$13)*(1+'Read Me'!$B$12),-1)</f>
        <v/>
      </c>
      <c r="W6220" s="17">
        <f>V6220*N6220*O6220</f>
        <v/>
      </c>
      <c r="X6220" s="12">
        <f>IF(LEFT(I6220,2)="MV",2*N6220*IF(L6220="1/C",O6220,1),0)</f>
        <v/>
      </c>
      <c r="Y6220" s="12">
        <f>IF(OR(LEFT(K6220,4)="LVAX",LEFT(K6220,6)="MV15AX",LEFT(K6220,4)="CTAX",LEFT(K6220,2)="W|"),2*N6220*O6220,0)</f>
        <v/>
      </c>
      <c r="Z6220" s="12" t="inlineStr"/>
      <c r="AA6220" s="12">
        <f>N6220*O6220</f>
        <v/>
      </c>
    </row>
    <row r="6221">
      <c r="A6221" s="12" t="inlineStr">
        <is>
          <t>C-I-0095</t>
        </is>
      </c>
      <c r="B6221" s="12" t="inlineStr">
        <is>
          <t>C</t>
        </is>
      </c>
      <c r="C6221" s="12" t="inlineStr">
        <is>
          <t>Grid interface</t>
        </is>
      </c>
      <c r="D6221" s="12" t="inlineStr">
        <is>
          <t>Analog instrument to JB JB-CO2 compression 3 -AI08: 10 x 1 pr (field cables)</t>
        </is>
      </c>
      <c r="E6221" s="12" t="inlineStr"/>
      <c r="F6221" s="12" t="inlineStr">
        <is>
          <t xml:space="preserve">CO2 compression 3 x ~19 MW + dehydration: rooftop HVAC, exhaust fans, </t>
        </is>
      </c>
      <c r="G6221" s="12" t="inlineStr">
        <is>
          <t>JB-CO2 compression 3 -AI08</t>
        </is>
      </c>
      <c r="H6221" s="12" t="inlineStr">
        <is>
          <t xml:space="preserve">CO2 compression 3 x ~19 MW + dehydration: rooftop HVAC, exhaust fans, </t>
        </is>
      </c>
      <c r="I6221" s="12" t="inlineStr">
        <is>
          <t>Instrumentation</t>
        </is>
      </c>
      <c r="J6221" s="12" t="inlineStr">
        <is>
          <t>Instrumentation PLTC / TC-ER 300 V, #18 twisted shielded pairs, overall shield</t>
        </is>
      </c>
      <c r="K6221" s="12" t="inlineStr">
        <is>
          <t>PLTC|1 pr|16</t>
        </is>
      </c>
      <c r="L6221" s="12" t="inlineStr">
        <is>
          <t>1 pr</t>
        </is>
      </c>
      <c r="M6221" s="12" t="inlineStr">
        <is>
          <t>16</t>
        </is>
      </c>
      <c r="N6221" s="12" t="n">
        <v>10</v>
      </c>
      <c r="O6221" s="12" t="n">
        <v>1</v>
      </c>
      <c r="P6221" s="12" t="n"/>
      <c r="Q6221" s="12" t="n"/>
      <c r="R6221" s="12" t="n"/>
      <c r="S6221" s="12" t="inlineStr">
        <is>
          <t>Tray / conduit</t>
        </is>
      </c>
      <c r="T6221" s="17" t="n">
        <v>161</v>
      </c>
      <c r="U6221" s="17" t="n">
        <v>10</v>
      </c>
      <c r="V6221" s="17">
        <f>ROUNDUP((T6221+U6221+2*'Read Me'!$B$13)*(1+'Read Me'!$B$12),-1)</f>
        <v/>
      </c>
      <c r="W6221" s="17">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C-I-0096</t>
        </is>
      </c>
      <c r="B6222" s="12" t="inlineStr">
        <is>
          <t>C</t>
        </is>
      </c>
      <c r="C6222" s="12" t="inlineStr">
        <is>
          <t>Grid interface</t>
        </is>
      </c>
      <c r="D6222" s="12" t="inlineStr">
        <is>
          <t>Home run JB-CO2 compression 3 -AI08 to the control / marshalling room</t>
        </is>
      </c>
      <c r="E6222" s="12" t="inlineStr">
        <is>
          <t>R1</t>
        </is>
      </c>
      <c r="F6222" s="12" t="inlineStr">
        <is>
          <t>R1: main electrical building (64 x 180 ft)</t>
        </is>
      </c>
      <c r="G6222" s="12" t="inlineStr">
        <is>
          <t>JB-CO2 compression 3 -AI08</t>
        </is>
      </c>
      <c r="H6222" s="12" t="inlineStr">
        <is>
          <t xml:space="preserve">CO2 compression 3 x ~19 MW + dehydration: rooftop HVAC, exhaust fans, </t>
        </is>
      </c>
      <c r="I6222" s="12" t="inlineStr">
        <is>
          <t>Instrumentation</t>
        </is>
      </c>
      <c r="J6222" s="12" t="inlineStr">
        <is>
          <t>Instrumentation PLTC / TC-ER 300 V, #18 twisted shielded pairs, overall shield</t>
        </is>
      </c>
      <c r="K6222" s="12" t="inlineStr">
        <is>
          <t>PLTC|24 pr|18</t>
        </is>
      </c>
      <c r="L6222" s="12" t="inlineStr">
        <is>
          <t>24 pr</t>
        </is>
      </c>
      <c r="M6222" s="12" t="inlineStr">
        <is>
          <t>18</t>
        </is>
      </c>
      <c r="N6222" s="12" t="n">
        <v>1</v>
      </c>
      <c r="O6222" s="12" t="n">
        <v>1</v>
      </c>
      <c r="P6222" s="12" t="n"/>
      <c r="Q6222" s="12" t="n"/>
      <c r="R6222" s="12" t="n"/>
      <c r="S6222" s="12" t="inlineStr">
        <is>
          <t>Tray</t>
        </is>
      </c>
      <c r="T6222" s="17" t="n">
        <v>2186</v>
      </c>
      <c r="U6222" s="17" t="n">
        <v>268</v>
      </c>
      <c r="V6222" s="17">
        <f>ROUNDUP((T6222+U6222+2*'Read Me'!$B$13)*(1+'Read Me'!$B$12),-1)</f>
        <v/>
      </c>
      <c r="W6222" s="17">
        <f>V6222*N6222*O6222</f>
        <v/>
      </c>
      <c r="X6222" s="12">
        <f>IF(LEFT(I6222,2)="MV",2*N6222*IF(L6222="1/C",O6222,1),0)</f>
        <v/>
      </c>
      <c r="Y6222" s="12">
        <f>IF(OR(LEFT(K6222,4)="LVAX",LEFT(K6222,6)="MV15AX",LEFT(K6222,4)="CTAX",LEFT(K6222,2)="W|"),2*N6222*O6222,0)</f>
        <v/>
      </c>
      <c r="Z6222" s="12" t="inlineStr"/>
      <c r="AA6222" s="12">
        <f>N6222*O6222</f>
        <v/>
      </c>
    </row>
    <row r="6223">
      <c r="A6223" s="12" t="inlineStr">
        <is>
          <t>C-I-0097</t>
        </is>
      </c>
      <c r="B6223" s="12" t="inlineStr">
        <is>
          <t>C</t>
        </is>
      </c>
      <c r="C6223" s="12" t="inlineStr">
        <is>
          <t>Grid interface</t>
        </is>
      </c>
      <c r="D6223" s="12" t="inlineStr">
        <is>
          <t>Discrete device to JB JB-CO2 compression 3 -DI01: 20 x 1 pr (field cables)</t>
        </is>
      </c>
      <c r="E6223" s="12" t="inlineStr"/>
      <c r="F6223" s="12" t="inlineStr">
        <is>
          <t xml:space="preserve">CO2 compression 3 x ~19 MW + dehydration: rooftop HVAC, exhaust fans, </t>
        </is>
      </c>
      <c r="G6223" s="12" t="inlineStr">
        <is>
          <t>JB-CO2 compression 3 -DI01</t>
        </is>
      </c>
      <c r="H6223" s="12" t="inlineStr">
        <is>
          <t xml:space="preserve">CO2 compression 3 x ~19 MW + dehydration: rooftop HVAC, exhaust fans, </t>
        </is>
      </c>
      <c r="I6223" s="12" t="inlineStr">
        <is>
          <t>Instrumentation</t>
        </is>
      </c>
      <c r="J6223" s="12" t="inlineStr">
        <is>
          <t>Instrumentation PLTC / TC-ER 300 V, #18 twisted shielded pairs, overall shield</t>
        </is>
      </c>
      <c r="K6223" s="12" t="inlineStr">
        <is>
          <t>PLTC|1 pr|16</t>
        </is>
      </c>
      <c r="L6223" s="12" t="inlineStr">
        <is>
          <t>1 pr</t>
        </is>
      </c>
      <c r="M6223" s="12" t="inlineStr">
        <is>
          <t>16</t>
        </is>
      </c>
      <c r="N6223" s="12" t="n">
        <v>20</v>
      </c>
      <c r="O6223" s="12" t="n">
        <v>1</v>
      </c>
      <c r="P6223" s="12" t="n"/>
      <c r="Q6223" s="12" t="n"/>
      <c r="R6223" s="12" t="n"/>
      <c r="S6223" s="12" t="inlineStr">
        <is>
          <t>Tray / conduit</t>
        </is>
      </c>
      <c r="T6223" s="17" t="n">
        <v>161</v>
      </c>
      <c r="U6223" s="17" t="n">
        <v>10</v>
      </c>
      <c r="V6223" s="17">
        <f>ROUNDUP((T6223+U6223+2*'Read Me'!$B$13)*(1+'Read Me'!$B$12),-1)</f>
        <v/>
      </c>
      <c r="W6223" s="17">
        <f>V6223*N6223*O6223</f>
        <v/>
      </c>
      <c r="X6223" s="12">
        <f>IF(LEFT(I6223,2)="MV",2*N6223*IF(L6223="1/C",O6223,1),0)</f>
        <v/>
      </c>
      <c r="Y6223" s="12">
        <f>IF(OR(LEFT(K6223,4)="LVAX",LEFT(K6223,6)="MV15AX",LEFT(K6223,4)="CTAX",LEFT(K6223,2)="W|"),2*N6223*O6223,0)</f>
        <v/>
      </c>
      <c r="Z6223" s="12" t="inlineStr">
        <is>
          <t>device-to-JB field wiring, one cable per device</t>
        </is>
      </c>
      <c r="AA6223" s="12">
        <f>N6223*O6223</f>
        <v/>
      </c>
    </row>
    <row r="6224">
      <c r="A6224" s="12" t="inlineStr">
        <is>
          <t>C-I-0098</t>
        </is>
      </c>
      <c r="B6224" s="12" t="inlineStr">
        <is>
          <t>C</t>
        </is>
      </c>
      <c r="C6224" s="12" t="inlineStr">
        <is>
          <t>Grid interface</t>
        </is>
      </c>
      <c r="D6224" s="12" t="inlineStr">
        <is>
          <t>Home run JB-CO2 compression 3 -DI01 to the control / marshalling room</t>
        </is>
      </c>
      <c r="E6224" s="12" t="inlineStr">
        <is>
          <t>R1</t>
        </is>
      </c>
      <c r="F6224" s="12" t="inlineStr">
        <is>
          <t>R1: main electrical building (64 x 180 ft)</t>
        </is>
      </c>
      <c r="G6224" s="12" t="inlineStr">
        <is>
          <t>JB-CO2 compression 3 -DI01</t>
        </is>
      </c>
      <c r="H6224" s="12" t="inlineStr">
        <is>
          <t xml:space="preserve">CO2 compression 3 x ~19 MW + dehydration: rooftop HVAC, exhaust fans, </t>
        </is>
      </c>
      <c r="I6224" s="12" t="inlineStr">
        <is>
          <t>Instrumentation</t>
        </is>
      </c>
      <c r="J6224" s="12" t="inlineStr">
        <is>
          <t>Instrumentation PLTC / TC-ER 300 V, #18 twisted shielded pairs, overall shield</t>
        </is>
      </c>
      <c r="K6224" s="12" t="inlineStr">
        <is>
          <t>PLTC|24 pr|18</t>
        </is>
      </c>
      <c r="L6224" s="12" t="inlineStr">
        <is>
          <t>24 pr</t>
        </is>
      </c>
      <c r="M6224" s="12" t="inlineStr">
        <is>
          <t>18</t>
        </is>
      </c>
      <c r="N6224" s="12" t="n">
        <v>1</v>
      </c>
      <c r="O6224" s="12" t="n">
        <v>1</v>
      </c>
      <c r="P6224" s="12" t="n"/>
      <c r="Q6224" s="12" t="n"/>
      <c r="R6224" s="12" t="n"/>
      <c r="S6224" s="12" t="inlineStr">
        <is>
          <t>Tray</t>
        </is>
      </c>
      <c r="T6224" s="17" t="n">
        <v>2186</v>
      </c>
      <c r="U6224" s="17" t="n">
        <v>268</v>
      </c>
      <c r="V6224" s="17">
        <f>ROUNDUP((T6224+U6224+2*'Read Me'!$B$13)*(1+'Read Me'!$B$12),-1)</f>
        <v/>
      </c>
      <c r="W6224" s="17">
        <f>V6224*N6224*O6224</f>
        <v/>
      </c>
      <c r="X6224" s="12">
        <f>IF(LEFT(I6224,2)="MV",2*N6224*IF(L6224="1/C",O6224,1),0)</f>
        <v/>
      </c>
      <c r="Y6224" s="12">
        <f>IF(OR(LEFT(K6224,4)="LVAX",LEFT(K6224,6)="MV15AX",LEFT(K6224,4)="CTAX",LEFT(K6224,2)="W|"),2*N6224*O6224,0)</f>
        <v/>
      </c>
      <c r="Z6224" s="12" t="inlineStr"/>
      <c r="AA6224" s="12">
        <f>N6224*O6224</f>
        <v/>
      </c>
    </row>
    <row r="6225">
      <c r="A6225" s="12" t="inlineStr">
        <is>
          <t>C-I-0099</t>
        </is>
      </c>
      <c r="B6225" s="12" t="inlineStr">
        <is>
          <t>C</t>
        </is>
      </c>
      <c r="C6225" s="12" t="inlineStr">
        <is>
          <t>Grid interface</t>
        </is>
      </c>
      <c r="D6225" s="12" t="inlineStr">
        <is>
          <t>Discrete device to JB JB-CO2 compression 3 -DI02: 20 x 1 pr (field cables)</t>
        </is>
      </c>
      <c r="E6225" s="12" t="inlineStr"/>
      <c r="F6225" s="12" t="inlineStr">
        <is>
          <t xml:space="preserve">CO2 compression 3 x ~19 MW + dehydration: rooftop HVAC, exhaust fans, </t>
        </is>
      </c>
      <c r="G6225" s="12" t="inlineStr">
        <is>
          <t>JB-CO2 compression 3 -DI02</t>
        </is>
      </c>
      <c r="H6225" s="12" t="inlineStr">
        <is>
          <t xml:space="preserve">CO2 compression 3 x ~19 MW + dehydration: rooftop HVAC, exhaust fans, </t>
        </is>
      </c>
      <c r="I6225" s="12" t="inlineStr">
        <is>
          <t>Instrumentation</t>
        </is>
      </c>
      <c r="J6225" s="12" t="inlineStr">
        <is>
          <t>Instrumentation PLTC / TC-ER 300 V, #18 twisted shielded pairs, overall shield</t>
        </is>
      </c>
      <c r="K6225" s="12" t="inlineStr">
        <is>
          <t>PLTC|1 pr|16</t>
        </is>
      </c>
      <c r="L6225" s="12" t="inlineStr">
        <is>
          <t>1 pr</t>
        </is>
      </c>
      <c r="M6225" s="12" t="inlineStr">
        <is>
          <t>16</t>
        </is>
      </c>
      <c r="N6225" s="12" t="n">
        <v>20</v>
      </c>
      <c r="O6225" s="12" t="n">
        <v>1</v>
      </c>
      <c r="P6225" s="12" t="n"/>
      <c r="Q6225" s="12" t="n"/>
      <c r="R6225" s="12" t="n"/>
      <c r="S6225" s="12" t="inlineStr">
        <is>
          <t>Tray / conduit</t>
        </is>
      </c>
      <c r="T6225" s="17" t="n">
        <v>161</v>
      </c>
      <c r="U6225" s="17" t="n">
        <v>10</v>
      </c>
      <c r="V6225" s="17">
        <f>ROUNDUP((T6225+U6225+2*'Read Me'!$B$13)*(1+'Read Me'!$B$12),-1)</f>
        <v/>
      </c>
      <c r="W6225" s="17">
        <f>V6225*N6225*O6225</f>
        <v/>
      </c>
      <c r="X6225" s="12">
        <f>IF(LEFT(I6225,2)="MV",2*N6225*IF(L6225="1/C",O6225,1),0)</f>
        <v/>
      </c>
      <c r="Y6225" s="12">
        <f>IF(OR(LEFT(K6225,4)="LVAX",LEFT(K6225,6)="MV15AX",LEFT(K6225,4)="CTAX",LEFT(K6225,2)="W|"),2*N6225*O6225,0)</f>
        <v/>
      </c>
      <c r="Z6225" s="12" t="inlineStr">
        <is>
          <t>device-to-JB field wiring, one cable per device</t>
        </is>
      </c>
      <c r="AA6225" s="12">
        <f>N6225*O6225</f>
        <v/>
      </c>
    </row>
    <row r="6226">
      <c r="A6226" s="12" t="inlineStr">
        <is>
          <t>C-I-0100</t>
        </is>
      </c>
      <c r="B6226" s="12" t="inlineStr">
        <is>
          <t>C</t>
        </is>
      </c>
      <c r="C6226" s="12" t="inlineStr">
        <is>
          <t>Grid interface</t>
        </is>
      </c>
      <c r="D6226" s="12" t="inlineStr">
        <is>
          <t>Home run JB-CO2 compression 3 -DI02 to the control / marshalling room</t>
        </is>
      </c>
      <c r="E6226" s="12" t="inlineStr">
        <is>
          <t>R1</t>
        </is>
      </c>
      <c r="F6226" s="12" t="inlineStr">
        <is>
          <t>R1: main electrical building (64 x 180 ft)</t>
        </is>
      </c>
      <c r="G6226" s="12" t="inlineStr">
        <is>
          <t>JB-CO2 compression 3 -DI02</t>
        </is>
      </c>
      <c r="H6226" s="12" t="inlineStr">
        <is>
          <t xml:space="preserve">CO2 compression 3 x ~19 MW + dehydration: rooftop HVAC, exhaust fans, </t>
        </is>
      </c>
      <c r="I6226" s="12" t="inlineStr">
        <is>
          <t>Instrumentation</t>
        </is>
      </c>
      <c r="J6226" s="12" t="inlineStr">
        <is>
          <t>Instrumentation PLTC / TC-ER 300 V, #18 twisted shielded pairs, overall shield</t>
        </is>
      </c>
      <c r="K6226" s="12" t="inlineStr">
        <is>
          <t>PLTC|24 pr|18</t>
        </is>
      </c>
      <c r="L6226" s="12" t="inlineStr">
        <is>
          <t>24 pr</t>
        </is>
      </c>
      <c r="M6226" s="12" t="inlineStr">
        <is>
          <t>18</t>
        </is>
      </c>
      <c r="N6226" s="12" t="n">
        <v>1</v>
      </c>
      <c r="O6226" s="12" t="n">
        <v>1</v>
      </c>
      <c r="P6226" s="12" t="n"/>
      <c r="Q6226" s="12" t="n"/>
      <c r="R6226" s="12" t="n"/>
      <c r="S6226" s="12" t="inlineStr">
        <is>
          <t>Tray</t>
        </is>
      </c>
      <c r="T6226" s="17" t="n">
        <v>2186</v>
      </c>
      <c r="U6226" s="17" t="n">
        <v>268</v>
      </c>
      <c r="V6226" s="17">
        <f>ROUNDUP((T6226+U6226+2*'Read Me'!$B$13)*(1+'Read Me'!$B$12),-1)</f>
        <v/>
      </c>
      <c r="W6226" s="17">
        <f>V6226*N6226*O6226</f>
        <v/>
      </c>
      <c r="X6226" s="12">
        <f>IF(LEFT(I6226,2)="MV",2*N6226*IF(L6226="1/C",O6226,1),0)</f>
        <v/>
      </c>
      <c r="Y6226" s="12">
        <f>IF(OR(LEFT(K6226,4)="LVAX",LEFT(K6226,6)="MV15AX",LEFT(K6226,4)="CTAX",LEFT(K6226,2)="W|"),2*N6226*O6226,0)</f>
        <v/>
      </c>
      <c r="Z6226" s="12" t="inlineStr"/>
      <c r="AA6226" s="12">
        <f>N6226*O6226</f>
        <v/>
      </c>
    </row>
    <row r="6227">
      <c r="A6227" s="12" t="inlineStr">
        <is>
          <t>C-I-0101</t>
        </is>
      </c>
      <c r="B6227" s="12" t="inlineStr">
        <is>
          <t>C</t>
        </is>
      </c>
      <c r="C6227" s="12" t="inlineStr">
        <is>
          <t>Grid interface</t>
        </is>
      </c>
      <c r="D6227" s="12" t="inlineStr">
        <is>
          <t>Discrete device to JB JB-CO2 compression 3 -DI03: 20 x 1 pr (field cables)</t>
        </is>
      </c>
      <c r="E6227" s="12" t="inlineStr"/>
      <c r="F6227" s="12" t="inlineStr">
        <is>
          <t xml:space="preserve">CO2 compression 3 x ~19 MW + dehydration: rooftop HVAC, exhaust fans, </t>
        </is>
      </c>
      <c r="G6227" s="12" t="inlineStr">
        <is>
          <t>JB-CO2 compression 3 -DI03</t>
        </is>
      </c>
      <c r="H6227" s="12" t="inlineStr">
        <is>
          <t xml:space="preserve">CO2 compression 3 x ~19 MW + dehydration: rooftop HVAC, exhaust fans, </t>
        </is>
      </c>
      <c r="I6227" s="12" t="inlineStr">
        <is>
          <t>Instrumentation</t>
        </is>
      </c>
      <c r="J6227" s="12" t="inlineStr">
        <is>
          <t>Instrumentation PLTC / TC-ER 300 V, #18 twisted shielded pairs, overall shield</t>
        </is>
      </c>
      <c r="K6227" s="12" t="inlineStr">
        <is>
          <t>PLTC|1 pr|16</t>
        </is>
      </c>
      <c r="L6227" s="12" t="inlineStr">
        <is>
          <t>1 pr</t>
        </is>
      </c>
      <c r="M6227" s="12" t="inlineStr">
        <is>
          <t>16</t>
        </is>
      </c>
      <c r="N6227" s="12" t="n">
        <v>20</v>
      </c>
      <c r="O6227" s="12" t="n">
        <v>1</v>
      </c>
      <c r="P6227" s="12" t="n"/>
      <c r="Q6227" s="12" t="n"/>
      <c r="R6227" s="12" t="n"/>
      <c r="S6227" s="12" t="inlineStr">
        <is>
          <t>Tray / conduit</t>
        </is>
      </c>
      <c r="T6227" s="17" t="n">
        <v>161</v>
      </c>
      <c r="U6227" s="17" t="n">
        <v>10</v>
      </c>
      <c r="V6227" s="17">
        <f>ROUNDUP((T6227+U6227+2*'Read Me'!$B$13)*(1+'Read Me'!$B$12),-1)</f>
        <v/>
      </c>
      <c r="W6227" s="17">
        <f>V6227*N6227*O6227</f>
        <v/>
      </c>
      <c r="X6227" s="12">
        <f>IF(LEFT(I6227,2)="MV",2*N6227*IF(L6227="1/C",O6227,1),0)</f>
        <v/>
      </c>
      <c r="Y6227" s="12">
        <f>IF(OR(LEFT(K6227,4)="LVAX",LEFT(K6227,6)="MV15AX",LEFT(K6227,4)="CTAX",LEFT(K6227,2)="W|"),2*N6227*O6227,0)</f>
        <v/>
      </c>
      <c r="Z6227" s="12" t="inlineStr">
        <is>
          <t>device-to-JB field wiring, one cable per device</t>
        </is>
      </c>
      <c r="AA6227" s="12">
        <f>N6227*O6227</f>
        <v/>
      </c>
    </row>
    <row r="6228">
      <c r="A6228" s="12" t="inlineStr">
        <is>
          <t>C-I-0102</t>
        </is>
      </c>
      <c r="B6228" s="12" t="inlineStr">
        <is>
          <t>C</t>
        </is>
      </c>
      <c r="C6228" s="12" t="inlineStr">
        <is>
          <t>Grid interface</t>
        </is>
      </c>
      <c r="D6228" s="12" t="inlineStr">
        <is>
          <t>Home run JB-CO2 compression 3 -DI03 to the control / marshalling room</t>
        </is>
      </c>
      <c r="E6228" s="12" t="inlineStr">
        <is>
          <t>R1</t>
        </is>
      </c>
      <c r="F6228" s="12" t="inlineStr">
        <is>
          <t>R1: main electrical building (64 x 180 ft)</t>
        </is>
      </c>
      <c r="G6228" s="12" t="inlineStr">
        <is>
          <t>JB-CO2 compression 3 -DI03</t>
        </is>
      </c>
      <c r="H6228" s="12" t="inlineStr">
        <is>
          <t xml:space="preserve">CO2 compression 3 x ~19 MW + dehydration: rooftop HVAC, exhaust fans, </t>
        </is>
      </c>
      <c r="I6228" s="12" t="inlineStr">
        <is>
          <t>Instrumentation</t>
        </is>
      </c>
      <c r="J6228" s="12" t="inlineStr">
        <is>
          <t>Instrumentation PLTC / TC-ER 300 V, #18 twisted shielded pairs, overall shield</t>
        </is>
      </c>
      <c r="K6228" s="12" t="inlineStr">
        <is>
          <t>PLTC|24 pr|18</t>
        </is>
      </c>
      <c r="L6228" s="12" t="inlineStr">
        <is>
          <t>24 pr</t>
        </is>
      </c>
      <c r="M6228" s="12" t="inlineStr">
        <is>
          <t>18</t>
        </is>
      </c>
      <c r="N6228" s="12" t="n">
        <v>1</v>
      </c>
      <c r="O6228" s="12" t="n">
        <v>1</v>
      </c>
      <c r="P6228" s="12" t="n"/>
      <c r="Q6228" s="12" t="n"/>
      <c r="R6228" s="12" t="n"/>
      <c r="S6228" s="12" t="inlineStr">
        <is>
          <t>Tray</t>
        </is>
      </c>
      <c r="T6228" s="17" t="n">
        <v>2186</v>
      </c>
      <c r="U6228" s="17" t="n">
        <v>268</v>
      </c>
      <c r="V6228" s="17">
        <f>ROUNDUP((T6228+U6228+2*'Read Me'!$B$13)*(1+'Read Me'!$B$12),-1)</f>
        <v/>
      </c>
      <c r="W6228" s="17">
        <f>V6228*N6228*O6228</f>
        <v/>
      </c>
      <c r="X6228" s="12">
        <f>IF(LEFT(I6228,2)="MV",2*N6228*IF(L6228="1/C",O6228,1),0)</f>
        <v/>
      </c>
      <c r="Y6228" s="12">
        <f>IF(OR(LEFT(K6228,4)="LVAX",LEFT(K6228,6)="MV15AX",LEFT(K6228,4)="CTAX",LEFT(K6228,2)="W|"),2*N6228*O6228,0)</f>
        <v/>
      </c>
      <c r="Z6228" s="12" t="inlineStr"/>
      <c r="AA6228" s="12">
        <f>N6228*O6228</f>
        <v/>
      </c>
    </row>
    <row r="6229">
      <c r="A6229" s="12" t="inlineStr">
        <is>
          <t>C-I-0103</t>
        </is>
      </c>
      <c r="B6229" s="12" t="inlineStr">
        <is>
          <t>C</t>
        </is>
      </c>
      <c r="C6229" s="12" t="inlineStr">
        <is>
          <t>Grid interface</t>
        </is>
      </c>
      <c r="D6229" s="12" t="inlineStr">
        <is>
          <t>Discrete device to JB JB-CO2 compression 3 -DI04: 20 x 1 pr (field cables)</t>
        </is>
      </c>
      <c r="E6229" s="12" t="inlineStr"/>
      <c r="F6229" s="12" t="inlineStr">
        <is>
          <t xml:space="preserve">CO2 compression 3 x ~19 MW + dehydration: rooftop HVAC, exhaust fans, </t>
        </is>
      </c>
      <c r="G6229" s="12" t="inlineStr">
        <is>
          <t>JB-CO2 compression 3 -DI04</t>
        </is>
      </c>
      <c r="H6229" s="12" t="inlineStr">
        <is>
          <t xml:space="preserve">CO2 compression 3 x ~19 MW + dehydration: rooftop HVAC, exhaust fans, </t>
        </is>
      </c>
      <c r="I6229" s="12" t="inlineStr">
        <is>
          <t>Instrumentation</t>
        </is>
      </c>
      <c r="J6229" s="12" t="inlineStr">
        <is>
          <t>Instrumentation PLTC / TC-ER 300 V, #18 twisted shielded pairs, overall shield</t>
        </is>
      </c>
      <c r="K6229" s="12" t="inlineStr">
        <is>
          <t>PLTC|1 pr|16</t>
        </is>
      </c>
      <c r="L6229" s="12" t="inlineStr">
        <is>
          <t>1 pr</t>
        </is>
      </c>
      <c r="M6229" s="12" t="inlineStr">
        <is>
          <t>16</t>
        </is>
      </c>
      <c r="N6229" s="12" t="n">
        <v>20</v>
      </c>
      <c r="O6229" s="12" t="n">
        <v>1</v>
      </c>
      <c r="P6229" s="12" t="n"/>
      <c r="Q6229" s="12" t="n"/>
      <c r="R6229" s="12" t="n"/>
      <c r="S6229" s="12" t="inlineStr">
        <is>
          <t>Tray / conduit</t>
        </is>
      </c>
      <c r="T6229" s="17" t="n">
        <v>161</v>
      </c>
      <c r="U6229" s="17" t="n">
        <v>10</v>
      </c>
      <c r="V6229" s="17">
        <f>ROUNDUP((T6229+U6229+2*'Read Me'!$B$13)*(1+'Read Me'!$B$12),-1)</f>
        <v/>
      </c>
      <c r="W6229" s="17">
        <f>V6229*N6229*O6229</f>
        <v/>
      </c>
      <c r="X6229" s="12">
        <f>IF(LEFT(I6229,2)="MV",2*N6229*IF(L6229="1/C",O6229,1),0)</f>
        <v/>
      </c>
      <c r="Y6229" s="12">
        <f>IF(OR(LEFT(K6229,4)="LVAX",LEFT(K6229,6)="MV15AX",LEFT(K6229,4)="CTAX",LEFT(K6229,2)="W|"),2*N6229*O6229,0)</f>
        <v/>
      </c>
      <c r="Z6229" s="12" t="inlineStr">
        <is>
          <t>device-to-JB field wiring, one cable per device</t>
        </is>
      </c>
      <c r="AA6229" s="12">
        <f>N6229*O6229</f>
        <v/>
      </c>
    </row>
    <row r="6230">
      <c r="A6230" s="12" t="inlineStr">
        <is>
          <t>C-I-0104</t>
        </is>
      </c>
      <c r="B6230" s="12" t="inlineStr">
        <is>
          <t>C</t>
        </is>
      </c>
      <c r="C6230" s="12" t="inlineStr">
        <is>
          <t>Grid interface</t>
        </is>
      </c>
      <c r="D6230" s="12" t="inlineStr">
        <is>
          <t>Home run JB-CO2 compression 3 -DI04 to the control / marshalling room</t>
        </is>
      </c>
      <c r="E6230" s="12" t="inlineStr">
        <is>
          <t>R1</t>
        </is>
      </c>
      <c r="F6230" s="12" t="inlineStr">
        <is>
          <t>R1: main electrical building (64 x 180 ft)</t>
        </is>
      </c>
      <c r="G6230" s="12" t="inlineStr">
        <is>
          <t>JB-CO2 compression 3 -DI04</t>
        </is>
      </c>
      <c r="H6230" s="12" t="inlineStr">
        <is>
          <t xml:space="preserve">CO2 compression 3 x ~19 MW + dehydration: rooftop HVAC, exhaust fans, </t>
        </is>
      </c>
      <c r="I6230" s="12" t="inlineStr">
        <is>
          <t>Instrumentation</t>
        </is>
      </c>
      <c r="J6230" s="12" t="inlineStr">
        <is>
          <t>Instrumentation PLTC / TC-ER 300 V, #18 twisted shielded pairs, overall shield</t>
        </is>
      </c>
      <c r="K6230" s="12" t="inlineStr">
        <is>
          <t>PLTC|24 pr|18</t>
        </is>
      </c>
      <c r="L6230" s="12" t="inlineStr">
        <is>
          <t>24 pr</t>
        </is>
      </c>
      <c r="M6230" s="12" t="inlineStr">
        <is>
          <t>18</t>
        </is>
      </c>
      <c r="N6230" s="12" t="n">
        <v>1</v>
      </c>
      <c r="O6230" s="12" t="n">
        <v>1</v>
      </c>
      <c r="P6230" s="12" t="n"/>
      <c r="Q6230" s="12" t="n"/>
      <c r="R6230" s="12" t="n"/>
      <c r="S6230" s="12" t="inlineStr">
        <is>
          <t>Tray</t>
        </is>
      </c>
      <c r="T6230" s="17" t="n">
        <v>2186</v>
      </c>
      <c r="U6230" s="17" t="n">
        <v>268</v>
      </c>
      <c r="V6230" s="17">
        <f>ROUNDUP((T6230+U6230+2*'Read Me'!$B$13)*(1+'Read Me'!$B$12),-1)</f>
        <v/>
      </c>
      <c r="W6230" s="17">
        <f>V6230*N6230*O6230</f>
        <v/>
      </c>
      <c r="X6230" s="12">
        <f>IF(LEFT(I6230,2)="MV",2*N6230*IF(L6230="1/C",O6230,1),0)</f>
        <v/>
      </c>
      <c r="Y6230" s="12">
        <f>IF(OR(LEFT(K6230,4)="LVAX",LEFT(K6230,6)="MV15AX",LEFT(K6230,4)="CTAX",LEFT(K6230,2)="W|"),2*N6230*O6230,0)</f>
        <v/>
      </c>
      <c r="Z6230" s="12" t="inlineStr"/>
      <c r="AA6230" s="12">
        <f>N6230*O6230</f>
        <v/>
      </c>
    </row>
    <row r="6231">
      <c r="A6231" s="12" t="inlineStr">
        <is>
          <t>C-I-0105</t>
        </is>
      </c>
      <c r="B6231" s="12" t="inlineStr">
        <is>
          <t>C</t>
        </is>
      </c>
      <c r="C6231" s="12" t="inlineStr">
        <is>
          <t>Grid interface</t>
        </is>
      </c>
      <c r="D6231" s="12" t="inlineStr">
        <is>
          <t>Discrete device to JB JB-CO2 compression 3 -DI05: 20 x 1 pr (field cables)</t>
        </is>
      </c>
      <c r="E6231" s="12" t="inlineStr"/>
      <c r="F6231" s="12" t="inlineStr">
        <is>
          <t xml:space="preserve">CO2 compression 3 x ~19 MW + dehydration: rooftop HVAC, exhaust fans, </t>
        </is>
      </c>
      <c r="G6231" s="12" t="inlineStr">
        <is>
          <t>JB-CO2 compression 3 -DI05</t>
        </is>
      </c>
      <c r="H6231" s="12" t="inlineStr">
        <is>
          <t xml:space="preserve">CO2 compression 3 x ~19 MW + dehydration: rooftop HVAC, exhaust fans, </t>
        </is>
      </c>
      <c r="I6231" s="12" t="inlineStr">
        <is>
          <t>Instrumentation</t>
        </is>
      </c>
      <c r="J6231" s="12" t="inlineStr">
        <is>
          <t>Instrumentation PLTC / TC-ER 300 V, #18 twisted shielded pairs, overall shield</t>
        </is>
      </c>
      <c r="K6231" s="12" t="inlineStr">
        <is>
          <t>PLTC|1 pr|16</t>
        </is>
      </c>
      <c r="L6231" s="12" t="inlineStr">
        <is>
          <t>1 pr</t>
        </is>
      </c>
      <c r="M6231" s="12" t="inlineStr">
        <is>
          <t>16</t>
        </is>
      </c>
      <c r="N6231" s="12" t="n">
        <v>20</v>
      </c>
      <c r="O6231" s="12" t="n">
        <v>1</v>
      </c>
      <c r="P6231" s="12" t="n"/>
      <c r="Q6231" s="12" t="n"/>
      <c r="R6231" s="12" t="n"/>
      <c r="S6231" s="12" t="inlineStr">
        <is>
          <t>Tray / conduit</t>
        </is>
      </c>
      <c r="T6231" s="17" t="n">
        <v>161</v>
      </c>
      <c r="U6231" s="17" t="n">
        <v>10</v>
      </c>
      <c r="V6231" s="17">
        <f>ROUNDUP((T6231+U6231+2*'Read Me'!$B$13)*(1+'Read Me'!$B$12),-1)</f>
        <v/>
      </c>
      <c r="W6231" s="17">
        <f>V6231*N6231*O6231</f>
        <v/>
      </c>
      <c r="X6231" s="12">
        <f>IF(LEFT(I6231,2)="MV",2*N6231*IF(L6231="1/C",O6231,1),0)</f>
        <v/>
      </c>
      <c r="Y6231" s="12">
        <f>IF(OR(LEFT(K6231,4)="LVAX",LEFT(K6231,6)="MV15AX",LEFT(K6231,4)="CTAX",LEFT(K6231,2)="W|"),2*N6231*O6231,0)</f>
        <v/>
      </c>
      <c r="Z6231" s="12" t="inlineStr">
        <is>
          <t>device-to-JB field wiring, one cable per device</t>
        </is>
      </c>
      <c r="AA6231" s="12">
        <f>N6231*O6231</f>
        <v/>
      </c>
    </row>
    <row r="6232">
      <c r="A6232" s="12" t="inlineStr">
        <is>
          <t>C-I-0106</t>
        </is>
      </c>
      <c r="B6232" s="12" t="inlineStr">
        <is>
          <t>C</t>
        </is>
      </c>
      <c r="C6232" s="12" t="inlineStr">
        <is>
          <t>Grid interface</t>
        </is>
      </c>
      <c r="D6232" s="12" t="inlineStr">
        <is>
          <t>Home run JB-CO2 compression 3 -DI05 to the control / marshalling room</t>
        </is>
      </c>
      <c r="E6232" s="12" t="inlineStr">
        <is>
          <t>R1</t>
        </is>
      </c>
      <c r="F6232" s="12" t="inlineStr">
        <is>
          <t>R1: main electrical building (64 x 180 ft)</t>
        </is>
      </c>
      <c r="G6232" s="12" t="inlineStr">
        <is>
          <t>JB-CO2 compression 3 -DI05</t>
        </is>
      </c>
      <c r="H6232" s="12" t="inlineStr">
        <is>
          <t xml:space="preserve">CO2 compression 3 x ~19 MW + dehydration: rooftop HVAC, exhaust fans, </t>
        </is>
      </c>
      <c r="I6232" s="12" t="inlineStr">
        <is>
          <t>Instrumentation</t>
        </is>
      </c>
      <c r="J6232" s="12" t="inlineStr">
        <is>
          <t>Instrumentation PLTC / TC-ER 300 V, #18 twisted shielded pairs, overall shield</t>
        </is>
      </c>
      <c r="K6232" s="12" t="inlineStr">
        <is>
          <t>PLTC|24 pr|18</t>
        </is>
      </c>
      <c r="L6232" s="12" t="inlineStr">
        <is>
          <t>24 pr</t>
        </is>
      </c>
      <c r="M6232" s="12" t="inlineStr">
        <is>
          <t>18</t>
        </is>
      </c>
      <c r="N6232" s="12" t="n">
        <v>1</v>
      </c>
      <c r="O6232" s="12" t="n">
        <v>1</v>
      </c>
      <c r="P6232" s="12" t="n"/>
      <c r="Q6232" s="12" t="n"/>
      <c r="R6232" s="12" t="n"/>
      <c r="S6232" s="12" t="inlineStr">
        <is>
          <t>Tray</t>
        </is>
      </c>
      <c r="T6232" s="17" t="n">
        <v>2186</v>
      </c>
      <c r="U6232" s="17" t="n">
        <v>268</v>
      </c>
      <c r="V6232" s="17">
        <f>ROUNDUP((T6232+U6232+2*'Read Me'!$B$13)*(1+'Read Me'!$B$12),-1)</f>
        <v/>
      </c>
      <c r="W6232" s="17">
        <f>V6232*N6232*O6232</f>
        <v/>
      </c>
      <c r="X6232" s="12">
        <f>IF(LEFT(I6232,2)="MV",2*N6232*IF(L6232="1/C",O6232,1),0)</f>
        <v/>
      </c>
      <c r="Y6232" s="12">
        <f>IF(OR(LEFT(K6232,4)="LVAX",LEFT(K6232,6)="MV15AX",LEFT(K6232,4)="CTAX",LEFT(K6232,2)="W|"),2*N6232*O6232,0)</f>
        <v/>
      </c>
      <c r="Z6232" s="12" t="inlineStr"/>
      <c r="AA6232" s="12">
        <f>N6232*O6232</f>
        <v/>
      </c>
    </row>
    <row r="6233">
      <c r="A6233" s="12" t="inlineStr">
        <is>
          <t>C-I-0107</t>
        </is>
      </c>
      <c r="B6233" s="12" t="inlineStr">
        <is>
          <t>C</t>
        </is>
      </c>
      <c r="C6233" s="12" t="inlineStr">
        <is>
          <t>Grid interface</t>
        </is>
      </c>
      <c r="D6233" s="12" t="inlineStr">
        <is>
          <t>RTD to JB JB-CO2 compression 3 -RTD01: 10 x 1 tri (field cables)</t>
        </is>
      </c>
      <c r="E6233" s="12" t="inlineStr"/>
      <c r="F6233" s="12" t="inlineStr">
        <is>
          <t xml:space="preserve">CO2 compression 3 x ~19 MW + dehydration: rooftop HVAC, exhaust fans, </t>
        </is>
      </c>
      <c r="G6233" s="12" t="inlineStr">
        <is>
          <t>JB-CO2 compression 3 -RTD01</t>
        </is>
      </c>
      <c r="H6233" s="12" t="inlineStr">
        <is>
          <t xml:space="preserve">CO2 compression 3 x ~19 MW + dehydration: rooftop HVAC, exhaust fans, </t>
        </is>
      </c>
      <c r="I6233" s="12" t="inlineStr">
        <is>
          <t>Instrumentation</t>
        </is>
      </c>
      <c r="J6233" s="12" t="inlineStr">
        <is>
          <t>RTD cable, #18 shielded triads, PLTC</t>
        </is>
      </c>
      <c r="K6233" s="12" t="inlineStr">
        <is>
          <t>RTD|1 tri|18</t>
        </is>
      </c>
      <c r="L6233" s="12" t="inlineStr">
        <is>
          <t>1 tri</t>
        </is>
      </c>
      <c r="M6233" s="12" t="inlineStr">
        <is>
          <t>18</t>
        </is>
      </c>
      <c r="N6233" s="12" t="n">
        <v>10</v>
      </c>
      <c r="O6233" s="12" t="n">
        <v>1</v>
      </c>
      <c r="P6233" s="12" t="n"/>
      <c r="Q6233" s="12" t="n"/>
      <c r="R6233" s="12" t="n"/>
      <c r="S6233" s="12" t="inlineStr">
        <is>
          <t>Tray / conduit</t>
        </is>
      </c>
      <c r="T6233" s="17" t="n">
        <v>161</v>
      </c>
      <c r="U6233" s="17" t="n">
        <v>10</v>
      </c>
      <c r="V6233" s="17">
        <f>ROUNDUP((T6233+U6233+2*'Read Me'!$B$13)*(1+'Read Me'!$B$12),-1)</f>
        <v/>
      </c>
      <c r="W6233" s="17">
        <f>V6233*N6233*O6233</f>
        <v/>
      </c>
      <c r="X6233" s="12">
        <f>IF(LEFT(I6233,2)="MV",2*N6233*IF(L6233="1/C",O6233,1),0)</f>
        <v/>
      </c>
      <c r="Y6233" s="12">
        <f>IF(OR(LEFT(K6233,4)="LVAX",LEFT(K6233,6)="MV15AX",LEFT(K6233,4)="CTAX",LEFT(K6233,2)="W|"),2*N6233*O6233,0)</f>
        <v/>
      </c>
      <c r="Z6233" s="12" t="inlineStr">
        <is>
          <t>device-to-JB field wiring, one cable per device</t>
        </is>
      </c>
      <c r="AA6233" s="12">
        <f>N6233*O6233</f>
        <v/>
      </c>
    </row>
    <row r="6234">
      <c r="A6234" s="12" t="inlineStr">
        <is>
          <t>C-I-0108</t>
        </is>
      </c>
      <c r="B6234" s="12" t="inlineStr">
        <is>
          <t>C</t>
        </is>
      </c>
      <c r="C6234" s="12" t="inlineStr">
        <is>
          <t>Grid interface</t>
        </is>
      </c>
      <c r="D6234" s="12" t="inlineStr">
        <is>
          <t>Home run JB-CO2 compression 3 -RTD01 to the control / marshalling room</t>
        </is>
      </c>
      <c r="E6234" s="12" t="inlineStr">
        <is>
          <t>R1</t>
        </is>
      </c>
      <c r="F6234" s="12" t="inlineStr">
        <is>
          <t>R1: main electrical building (64 x 180 ft)</t>
        </is>
      </c>
      <c r="G6234" s="12" t="inlineStr">
        <is>
          <t>JB-CO2 compression 3 -RTD01</t>
        </is>
      </c>
      <c r="H6234" s="12" t="inlineStr">
        <is>
          <t xml:space="preserve">CO2 compression 3 x ~19 MW + dehydration: rooftop HVAC, exhaust fans, </t>
        </is>
      </c>
      <c r="I6234" s="12" t="inlineStr">
        <is>
          <t>Instrumentation</t>
        </is>
      </c>
      <c r="J6234" s="12" t="inlineStr">
        <is>
          <t>RTD cable, #18 shielded triads, PLTC</t>
        </is>
      </c>
      <c r="K6234" s="12" t="inlineStr">
        <is>
          <t>RTD|12 tri|18</t>
        </is>
      </c>
      <c r="L6234" s="12" t="inlineStr">
        <is>
          <t>12 tri</t>
        </is>
      </c>
      <c r="M6234" s="12" t="inlineStr">
        <is>
          <t>18</t>
        </is>
      </c>
      <c r="N6234" s="12" t="n">
        <v>1</v>
      </c>
      <c r="O6234" s="12" t="n">
        <v>1</v>
      </c>
      <c r="P6234" s="12" t="n"/>
      <c r="Q6234" s="12" t="n"/>
      <c r="R6234" s="12" t="n"/>
      <c r="S6234" s="12" t="inlineStr">
        <is>
          <t>Tray</t>
        </is>
      </c>
      <c r="T6234" s="17" t="n">
        <v>2186</v>
      </c>
      <c r="U6234" s="17" t="n">
        <v>268</v>
      </c>
      <c r="V6234" s="17">
        <f>ROUNDUP((T6234+U6234+2*'Read Me'!$B$13)*(1+'Read Me'!$B$12),-1)</f>
        <v/>
      </c>
      <c r="W6234" s="17">
        <f>V6234*N6234*O6234</f>
        <v/>
      </c>
      <c r="X6234" s="12">
        <f>IF(LEFT(I6234,2)="MV",2*N6234*IF(L6234="1/C",O6234,1),0)</f>
        <v/>
      </c>
      <c r="Y6234" s="12">
        <f>IF(OR(LEFT(K6234,4)="LVAX",LEFT(K6234,6)="MV15AX",LEFT(K6234,4)="CTAX",LEFT(K6234,2)="W|"),2*N6234*O6234,0)</f>
        <v/>
      </c>
      <c r="Z6234" s="12" t="inlineStr"/>
      <c r="AA6234" s="12">
        <f>N6234*O6234</f>
        <v/>
      </c>
    </row>
    <row r="6235">
      <c r="A6235" s="12" t="inlineStr">
        <is>
          <t>C-I-0109</t>
        </is>
      </c>
      <c r="B6235" s="12" t="inlineStr">
        <is>
          <t>C</t>
        </is>
      </c>
      <c r="C6235" s="12" t="inlineStr">
        <is>
          <t>Grid interface</t>
        </is>
      </c>
      <c r="D6235" s="12" t="inlineStr">
        <is>
          <t>RTD to JB JB-CO2 compression 3 -RTD02: 10 x 1 tri (field cables)</t>
        </is>
      </c>
      <c r="E6235" s="12" t="inlineStr"/>
      <c r="F6235" s="12" t="inlineStr">
        <is>
          <t xml:space="preserve">CO2 compression 3 x ~19 MW + dehydration: rooftop HVAC, exhaust fans, </t>
        </is>
      </c>
      <c r="G6235" s="12" t="inlineStr">
        <is>
          <t>JB-CO2 compression 3 -RTD02</t>
        </is>
      </c>
      <c r="H6235" s="12" t="inlineStr">
        <is>
          <t xml:space="preserve">CO2 compression 3 x ~19 MW + dehydration: rooftop HVAC, exhaust fans, </t>
        </is>
      </c>
      <c r="I6235" s="12" t="inlineStr">
        <is>
          <t>Instrumentation</t>
        </is>
      </c>
      <c r="J6235" s="12" t="inlineStr">
        <is>
          <t>RTD cable, #18 shielded triads, PLTC</t>
        </is>
      </c>
      <c r="K6235" s="12" t="inlineStr">
        <is>
          <t>RTD|1 tri|18</t>
        </is>
      </c>
      <c r="L6235" s="12" t="inlineStr">
        <is>
          <t>1 tri</t>
        </is>
      </c>
      <c r="M6235" s="12" t="inlineStr">
        <is>
          <t>18</t>
        </is>
      </c>
      <c r="N6235" s="12" t="n">
        <v>10</v>
      </c>
      <c r="O6235" s="12" t="n">
        <v>1</v>
      </c>
      <c r="P6235" s="12" t="n"/>
      <c r="Q6235" s="12" t="n"/>
      <c r="R6235" s="12" t="n"/>
      <c r="S6235" s="12" t="inlineStr">
        <is>
          <t>Tray / conduit</t>
        </is>
      </c>
      <c r="T6235" s="17" t="n">
        <v>161</v>
      </c>
      <c r="U6235" s="17" t="n">
        <v>10</v>
      </c>
      <c r="V6235" s="17">
        <f>ROUNDUP((T6235+U6235+2*'Read Me'!$B$13)*(1+'Read Me'!$B$12),-1)</f>
        <v/>
      </c>
      <c r="W6235" s="17">
        <f>V6235*N6235*O6235</f>
        <v/>
      </c>
      <c r="X6235" s="12">
        <f>IF(LEFT(I6235,2)="MV",2*N6235*IF(L6235="1/C",O6235,1),0)</f>
        <v/>
      </c>
      <c r="Y6235" s="12">
        <f>IF(OR(LEFT(K6235,4)="LVAX",LEFT(K6235,6)="MV15AX",LEFT(K6235,4)="CTAX",LEFT(K6235,2)="W|"),2*N6235*O6235,0)</f>
        <v/>
      </c>
      <c r="Z6235" s="12" t="inlineStr">
        <is>
          <t>device-to-JB field wiring, one cable per device</t>
        </is>
      </c>
      <c r="AA6235" s="12">
        <f>N6235*O6235</f>
        <v/>
      </c>
    </row>
    <row r="6236">
      <c r="A6236" s="12" t="inlineStr">
        <is>
          <t>C-I-0110</t>
        </is>
      </c>
      <c r="B6236" s="12" t="inlineStr">
        <is>
          <t>C</t>
        </is>
      </c>
      <c r="C6236" s="12" t="inlineStr">
        <is>
          <t>Grid interface</t>
        </is>
      </c>
      <c r="D6236" s="12" t="inlineStr">
        <is>
          <t>Home run JB-CO2 compression 3 -RTD02 to the control / marshalling room</t>
        </is>
      </c>
      <c r="E6236" s="12" t="inlineStr">
        <is>
          <t>R1</t>
        </is>
      </c>
      <c r="F6236" s="12" t="inlineStr">
        <is>
          <t>R1: main electrical building (64 x 180 ft)</t>
        </is>
      </c>
      <c r="G6236" s="12" t="inlineStr">
        <is>
          <t>JB-CO2 compression 3 -RTD02</t>
        </is>
      </c>
      <c r="H6236" s="12" t="inlineStr">
        <is>
          <t xml:space="preserve">CO2 compression 3 x ~19 MW + dehydration: rooftop HVAC, exhaust fans, </t>
        </is>
      </c>
      <c r="I6236" s="12" t="inlineStr">
        <is>
          <t>Instrumentation</t>
        </is>
      </c>
      <c r="J6236" s="12" t="inlineStr">
        <is>
          <t>RTD cable, #18 shielded triads, PLTC</t>
        </is>
      </c>
      <c r="K6236" s="12" t="inlineStr">
        <is>
          <t>RTD|12 tri|18</t>
        </is>
      </c>
      <c r="L6236" s="12" t="inlineStr">
        <is>
          <t>12 tri</t>
        </is>
      </c>
      <c r="M6236" s="12" t="inlineStr">
        <is>
          <t>18</t>
        </is>
      </c>
      <c r="N6236" s="12" t="n">
        <v>1</v>
      </c>
      <c r="O6236" s="12" t="n">
        <v>1</v>
      </c>
      <c r="P6236" s="12" t="n"/>
      <c r="Q6236" s="12" t="n"/>
      <c r="R6236" s="12" t="n"/>
      <c r="S6236" s="12" t="inlineStr">
        <is>
          <t>Tray</t>
        </is>
      </c>
      <c r="T6236" s="17" t="n">
        <v>2186</v>
      </c>
      <c r="U6236" s="17" t="n">
        <v>268</v>
      </c>
      <c r="V6236" s="17">
        <f>ROUNDUP((T6236+U6236+2*'Read Me'!$B$13)*(1+'Read Me'!$B$12),-1)</f>
        <v/>
      </c>
      <c r="W6236" s="17">
        <f>V6236*N6236*O6236</f>
        <v/>
      </c>
      <c r="X6236" s="12">
        <f>IF(LEFT(I6236,2)="MV",2*N6236*IF(L6236="1/C",O6236,1),0)</f>
        <v/>
      </c>
      <c r="Y6236" s="12">
        <f>IF(OR(LEFT(K6236,4)="LVAX",LEFT(K6236,6)="MV15AX",LEFT(K6236,4)="CTAX",LEFT(K6236,2)="W|"),2*N6236*O6236,0)</f>
        <v/>
      </c>
      <c r="Z6236" s="12" t="inlineStr"/>
      <c r="AA6236" s="12">
        <f>N6236*O6236</f>
        <v/>
      </c>
    </row>
    <row r="6237">
      <c r="A6237" s="12" t="inlineStr">
        <is>
          <t>C-I-0111</t>
        </is>
      </c>
      <c r="B6237" s="12" t="inlineStr">
        <is>
          <t>C</t>
        </is>
      </c>
      <c r="C6237" s="12" t="inlineStr">
        <is>
          <t>Grid interface</t>
        </is>
      </c>
      <c r="D6237" s="12" t="inlineStr">
        <is>
          <t>RTD to JB JB-CO2 compression 3 -RTD03: 10 x 1 tri (field cables)</t>
        </is>
      </c>
      <c r="E6237" s="12" t="inlineStr"/>
      <c r="F6237" s="12" t="inlineStr">
        <is>
          <t xml:space="preserve">CO2 compression 3 x ~19 MW + dehydration: rooftop HVAC, exhaust fans, </t>
        </is>
      </c>
      <c r="G6237" s="12" t="inlineStr">
        <is>
          <t>JB-CO2 compression 3 -RTD03</t>
        </is>
      </c>
      <c r="H6237" s="12" t="inlineStr">
        <is>
          <t xml:space="preserve">CO2 compression 3 x ~19 MW + dehydration: rooftop HVAC, exhaust fans, </t>
        </is>
      </c>
      <c r="I6237" s="12" t="inlineStr">
        <is>
          <t>Instrumentation</t>
        </is>
      </c>
      <c r="J6237" s="12" t="inlineStr">
        <is>
          <t>RTD cable, #18 shielded triads, PLTC</t>
        </is>
      </c>
      <c r="K6237" s="12" t="inlineStr">
        <is>
          <t>RTD|1 tri|18</t>
        </is>
      </c>
      <c r="L6237" s="12" t="inlineStr">
        <is>
          <t>1 tri</t>
        </is>
      </c>
      <c r="M6237" s="12" t="inlineStr">
        <is>
          <t>18</t>
        </is>
      </c>
      <c r="N6237" s="12" t="n">
        <v>10</v>
      </c>
      <c r="O6237" s="12" t="n">
        <v>1</v>
      </c>
      <c r="P6237" s="12" t="n"/>
      <c r="Q6237" s="12" t="n"/>
      <c r="R6237" s="12" t="n"/>
      <c r="S6237" s="12" t="inlineStr">
        <is>
          <t>Tray / conduit</t>
        </is>
      </c>
      <c r="T6237" s="17" t="n">
        <v>161</v>
      </c>
      <c r="U6237" s="17" t="n">
        <v>10</v>
      </c>
      <c r="V6237" s="17">
        <f>ROUNDUP((T6237+U6237+2*'Read Me'!$B$13)*(1+'Read Me'!$B$12),-1)</f>
        <v/>
      </c>
      <c r="W6237" s="17">
        <f>V6237*N6237*O6237</f>
        <v/>
      </c>
      <c r="X6237" s="12">
        <f>IF(LEFT(I6237,2)="MV",2*N6237*IF(L6237="1/C",O6237,1),0)</f>
        <v/>
      </c>
      <c r="Y6237" s="12">
        <f>IF(OR(LEFT(K6237,4)="LVAX",LEFT(K6237,6)="MV15AX",LEFT(K6237,4)="CTAX",LEFT(K6237,2)="W|"),2*N6237*O6237,0)</f>
        <v/>
      </c>
      <c r="Z6237" s="12" t="inlineStr">
        <is>
          <t>device-to-JB field wiring, one cable per device</t>
        </is>
      </c>
      <c r="AA6237" s="12">
        <f>N6237*O6237</f>
        <v/>
      </c>
    </row>
    <row r="6238">
      <c r="A6238" s="12" t="inlineStr">
        <is>
          <t>C-I-0112</t>
        </is>
      </c>
      <c r="B6238" s="12" t="inlineStr">
        <is>
          <t>C</t>
        </is>
      </c>
      <c r="C6238" s="12" t="inlineStr">
        <is>
          <t>Grid interface</t>
        </is>
      </c>
      <c r="D6238" s="12" t="inlineStr">
        <is>
          <t>Home run JB-CO2 compression 3 -RTD03 to the control / marshalling room</t>
        </is>
      </c>
      <c r="E6238" s="12" t="inlineStr">
        <is>
          <t>R1</t>
        </is>
      </c>
      <c r="F6238" s="12" t="inlineStr">
        <is>
          <t>R1: main electrical building (64 x 180 ft)</t>
        </is>
      </c>
      <c r="G6238" s="12" t="inlineStr">
        <is>
          <t>JB-CO2 compression 3 -RTD03</t>
        </is>
      </c>
      <c r="H6238" s="12" t="inlineStr">
        <is>
          <t xml:space="preserve">CO2 compression 3 x ~19 MW + dehydration: rooftop HVAC, exhaust fans, </t>
        </is>
      </c>
      <c r="I6238" s="12" t="inlineStr">
        <is>
          <t>Instrumentation</t>
        </is>
      </c>
      <c r="J6238" s="12" t="inlineStr">
        <is>
          <t>RTD cable, #18 shielded triads, PLTC</t>
        </is>
      </c>
      <c r="K6238" s="12" t="inlineStr">
        <is>
          <t>RTD|12 tri|18</t>
        </is>
      </c>
      <c r="L6238" s="12" t="inlineStr">
        <is>
          <t>12 tri</t>
        </is>
      </c>
      <c r="M6238" s="12" t="inlineStr">
        <is>
          <t>18</t>
        </is>
      </c>
      <c r="N6238" s="12" t="n">
        <v>1</v>
      </c>
      <c r="O6238" s="12" t="n">
        <v>1</v>
      </c>
      <c r="P6238" s="12" t="n"/>
      <c r="Q6238" s="12" t="n"/>
      <c r="R6238" s="12" t="n"/>
      <c r="S6238" s="12" t="inlineStr">
        <is>
          <t>Tray</t>
        </is>
      </c>
      <c r="T6238" s="17" t="n">
        <v>2186</v>
      </c>
      <c r="U6238" s="17" t="n">
        <v>268</v>
      </c>
      <c r="V6238" s="17">
        <f>ROUNDUP((T6238+U6238+2*'Read Me'!$B$13)*(1+'Read Me'!$B$12),-1)</f>
        <v/>
      </c>
      <c r="W6238" s="17">
        <f>V6238*N6238*O6238</f>
        <v/>
      </c>
      <c r="X6238" s="12">
        <f>IF(LEFT(I6238,2)="MV",2*N6238*IF(L6238="1/C",O6238,1),0)</f>
        <v/>
      </c>
      <c r="Y6238" s="12">
        <f>IF(OR(LEFT(K6238,4)="LVAX",LEFT(K6238,6)="MV15AX",LEFT(K6238,4)="CTAX",LEFT(K6238,2)="W|"),2*N6238*O6238,0)</f>
        <v/>
      </c>
      <c r="Z6238" s="12" t="inlineStr"/>
      <c r="AA6238" s="12">
        <f>N6238*O6238</f>
        <v/>
      </c>
    </row>
    <row r="6239">
      <c r="A6239" s="12" t="inlineStr">
        <is>
          <t>C-I-0113</t>
        </is>
      </c>
      <c r="B6239" s="12" t="inlineStr">
        <is>
          <t>C</t>
        </is>
      </c>
      <c r="C6239" s="12" t="inlineStr">
        <is>
          <t>Grid interface</t>
        </is>
      </c>
      <c r="D6239" s="12" t="inlineStr">
        <is>
          <t>RTD to JB JB-CO2 compression 3 -RTD04: 6 x 1 tri (field cables)</t>
        </is>
      </c>
      <c r="E6239" s="12" t="inlineStr"/>
      <c r="F6239" s="12" t="inlineStr">
        <is>
          <t xml:space="preserve">CO2 compression 3 x ~19 MW + dehydration: rooftop HVAC, exhaust fans, </t>
        </is>
      </c>
      <c r="G6239" s="12" t="inlineStr">
        <is>
          <t>JB-CO2 compression 3 -RTD04</t>
        </is>
      </c>
      <c r="H6239" s="12" t="inlineStr">
        <is>
          <t xml:space="preserve">CO2 compression 3 x ~19 MW + dehydration: rooftop HVAC, exhaust fans, </t>
        </is>
      </c>
      <c r="I6239" s="12" t="inlineStr">
        <is>
          <t>Instrumentation</t>
        </is>
      </c>
      <c r="J6239" s="12" t="inlineStr">
        <is>
          <t>RTD cable, #18 shielded triads, PLTC</t>
        </is>
      </c>
      <c r="K6239" s="12" t="inlineStr">
        <is>
          <t>RTD|1 tri|18</t>
        </is>
      </c>
      <c r="L6239" s="12" t="inlineStr">
        <is>
          <t>1 tri</t>
        </is>
      </c>
      <c r="M6239" s="12" t="inlineStr">
        <is>
          <t>18</t>
        </is>
      </c>
      <c r="N6239" s="12" t="n">
        <v>6</v>
      </c>
      <c r="O6239" s="12" t="n">
        <v>1</v>
      </c>
      <c r="P6239" s="12" t="n"/>
      <c r="Q6239" s="12" t="n"/>
      <c r="R6239" s="12" t="n"/>
      <c r="S6239" s="12" t="inlineStr">
        <is>
          <t>Tray / conduit</t>
        </is>
      </c>
      <c r="T6239" s="17" t="n">
        <v>161</v>
      </c>
      <c r="U6239" s="17" t="n">
        <v>10</v>
      </c>
      <c r="V6239" s="17">
        <f>ROUNDUP((T6239+U6239+2*'Read Me'!$B$13)*(1+'Read Me'!$B$12),-1)</f>
        <v/>
      </c>
      <c r="W6239" s="17">
        <f>V6239*N6239*O6239</f>
        <v/>
      </c>
      <c r="X6239" s="12">
        <f>IF(LEFT(I6239,2)="MV",2*N6239*IF(L6239="1/C",O6239,1),0)</f>
        <v/>
      </c>
      <c r="Y6239" s="12">
        <f>IF(OR(LEFT(K6239,4)="LVAX",LEFT(K6239,6)="MV15AX",LEFT(K6239,4)="CTAX",LEFT(K6239,2)="W|"),2*N6239*O6239,0)</f>
        <v/>
      </c>
      <c r="Z6239" s="12" t="inlineStr">
        <is>
          <t>device-to-JB field wiring, one cable per device</t>
        </is>
      </c>
      <c r="AA6239" s="12">
        <f>N6239*O6239</f>
        <v/>
      </c>
    </row>
    <row r="6240">
      <c r="A6240" s="12" t="inlineStr">
        <is>
          <t>C-I-0114</t>
        </is>
      </c>
      <c r="B6240" s="12" t="inlineStr">
        <is>
          <t>C</t>
        </is>
      </c>
      <c r="C6240" s="12" t="inlineStr">
        <is>
          <t>Grid interface</t>
        </is>
      </c>
      <c r="D6240" s="12" t="inlineStr">
        <is>
          <t>Home run JB-CO2 compression 3 -RTD04 to the control / marshalling room</t>
        </is>
      </c>
      <c r="E6240" s="12" t="inlineStr">
        <is>
          <t>R1</t>
        </is>
      </c>
      <c r="F6240" s="12" t="inlineStr">
        <is>
          <t>R1: main electrical building (64 x 180 ft)</t>
        </is>
      </c>
      <c r="G6240" s="12" t="inlineStr">
        <is>
          <t>JB-CO2 compression 3 -RTD04</t>
        </is>
      </c>
      <c r="H6240" s="12" t="inlineStr">
        <is>
          <t xml:space="preserve">CO2 compression 3 x ~19 MW + dehydration: rooftop HVAC, exhaust fans, </t>
        </is>
      </c>
      <c r="I6240" s="12" t="inlineStr">
        <is>
          <t>Instrumentation</t>
        </is>
      </c>
      <c r="J6240" s="12" t="inlineStr">
        <is>
          <t>RTD cable, #18 shielded triads, PLTC</t>
        </is>
      </c>
      <c r="K6240" s="12" t="inlineStr">
        <is>
          <t>RTD|12 tri|18</t>
        </is>
      </c>
      <c r="L6240" s="12" t="inlineStr">
        <is>
          <t>12 tri</t>
        </is>
      </c>
      <c r="M6240" s="12" t="inlineStr">
        <is>
          <t>18</t>
        </is>
      </c>
      <c r="N6240" s="12" t="n">
        <v>1</v>
      </c>
      <c r="O6240" s="12" t="n">
        <v>1</v>
      </c>
      <c r="P6240" s="12" t="n"/>
      <c r="Q6240" s="12" t="n"/>
      <c r="R6240" s="12" t="n"/>
      <c r="S6240" s="12" t="inlineStr">
        <is>
          <t>Tray</t>
        </is>
      </c>
      <c r="T6240" s="17" t="n">
        <v>2186</v>
      </c>
      <c r="U6240" s="17" t="n">
        <v>268</v>
      </c>
      <c r="V6240" s="17">
        <f>ROUNDUP((T6240+U6240+2*'Read Me'!$B$13)*(1+'Read Me'!$B$12),-1)</f>
        <v/>
      </c>
      <c r="W6240" s="17">
        <f>V6240*N6240*O6240</f>
        <v/>
      </c>
      <c r="X6240" s="12">
        <f>IF(LEFT(I6240,2)="MV",2*N6240*IF(L6240="1/C",O6240,1),0)</f>
        <v/>
      </c>
      <c r="Y6240" s="12">
        <f>IF(OR(LEFT(K6240,4)="LVAX",LEFT(K6240,6)="MV15AX",LEFT(K6240,4)="CTAX",LEFT(K6240,2)="W|"),2*N6240*O6240,0)</f>
        <v/>
      </c>
      <c r="Z6240" s="12" t="inlineStr"/>
      <c r="AA6240" s="12">
        <f>N6240*O6240</f>
        <v/>
      </c>
    </row>
    <row r="6241">
      <c r="A6241" s="12" t="inlineStr">
        <is>
          <t>C-I-0115</t>
        </is>
      </c>
      <c r="B6241" s="12" t="inlineStr">
        <is>
          <t>C</t>
        </is>
      </c>
      <c r="C6241" s="12" t="inlineStr">
        <is>
          <t>Grid interface</t>
        </is>
      </c>
      <c r="D6241" s="12" t="inlineStr">
        <is>
          <t>Analog instrument to JB JB-Small-bore piping:-AI01: 10 x 1 pr (field cables)</t>
        </is>
      </c>
      <c r="E6241" s="12" t="inlineStr"/>
      <c r="F6241" s="12" t="inlineStr">
        <is>
          <t>Small-bore piping: instrument air, service water, nitrogen, HRSG drain</t>
        </is>
      </c>
      <c r="G6241" s="12" t="inlineStr">
        <is>
          <t>JB-Small-bore piping:-AI01</t>
        </is>
      </c>
      <c r="H6241" s="12" t="inlineStr">
        <is>
          <t>Small-bore piping: instrument air, service water, nitrogen, HRSG drain</t>
        </is>
      </c>
      <c r="I6241" s="12" t="inlineStr">
        <is>
          <t>Instrumentation</t>
        </is>
      </c>
      <c r="J6241" s="12" t="inlineStr">
        <is>
          <t>Instrumentation PLTC / TC-ER 300 V, #18 twisted shielded pairs, overall shield</t>
        </is>
      </c>
      <c r="K6241" s="12" t="inlineStr">
        <is>
          <t>PLTC|1 pr|16</t>
        </is>
      </c>
      <c r="L6241" s="12" t="inlineStr">
        <is>
          <t>1 pr</t>
        </is>
      </c>
      <c r="M6241" s="12" t="inlineStr">
        <is>
          <t>16</t>
        </is>
      </c>
      <c r="N6241" s="12" t="n">
        <v>10</v>
      </c>
      <c r="O6241" s="12" t="n">
        <v>1</v>
      </c>
      <c r="P6241" s="12" t="n"/>
      <c r="Q6241" s="12" t="n"/>
      <c r="R6241" s="12" t="n"/>
      <c r="S6241" s="12" t="inlineStr">
        <is>
          <t>Tray / conduit</t>
        </is>
      </c>
      <c r="T6241" s="17" t="n">
        <v>250</v>
      </c>
      <c r="U6241" s="17" t="n">
        <v>10</v>
      </c>
      <c r="V6241" s="17">
        <f>ROUNDUP((T6241+U6241+2*'Read Me'!$B$13)*(1+'Read Me'!$B$12),-1)</f>
        <v/>
      </c>
      <c r="W6241" s="17">
        <f>V6241*N6241*O6241</f>
        <v/>
      </c>
      <c r="X6241" s="12">
        <f>IF(LEFT(I6241,2)="MV",2*N6241*IF(L6241="1/C",O6241,1),0)</f>
        <v/>
      </c>
      <c r="Y6241" s="12">
        <f>IF(OR(LEFT(K6241,4)="LVAX",LEFT(K6241,6)="MV15AX",LEFT(K6241,4)="CTAX",LEFT(K6241,2)="W|"),2*N6241*O6241,0)</f>
        <v/>
      </c>
      <c r="Z6241" s="12" t="inlineStr">
        <is>
          <t>device-to-JB field wiring, one cable per device</t>
        </is>
      </c>
      <c r="AA6241" s="12">
        <f>N6241*O6241</f>
        <v/>
      </c>
    </row>
    <row r="6242">
      <c r="A6242" s="12" t="inlineStr">
        <is>
          <t>C-I-0116</t>
        </is>
      </c>
      <c r="B6242" s="12" t="inlineStr">
        <is>
          <t>C</t>
        </is>
      </c>
      <c r="C6242" s="12" t="inlineStr">
        <is>
          <t>Grid interface</t>
        </is>
      </c>
      <c r="D6242" s="12" t="inlineStr">
        <is>
          <t>Home run JB-Small-bore piping:-AI01 to the control / marshalling room</t>
        </is>
      </c>
      <c r="E6242" s="12" t="inlineStr">
        <is>
          <t>R1</t>
        </is>
      </c>
      <c r="F6242" s="12" t="inlineStr">
        <is>
          <t>R1: main electrical building (64 x 180 ft)</t>
        </is>
      </c>
      <c r="G6242" s="12" t="inlineStr">
        <is>
          <t>JB-Small-bore piping:-AI01</t>
        </is>
      </c>
      <c r="H6242" s="12" t="inlineStr">
        <is>
          <t>Small-bore piping: instrument air, service water, nitrogen, HRSG drain</t>
        </is>
      </c>
      <c r="I6242" s="12" t="inlineStr">
        <is>
          <t>Instrumentation</t>
        </is>
      </c>
      <c r="J6242" s="12" t="inlineStr">
        <is>
          <t>Instrumentation PLTC / TC-ER 300 V, #18 twisted shielded pairs, overall shield</t>
        </is>
      </c>
      <c r="K6242" s="12" t="inlineStr">
        <is>
          <t>PLTC|24 pr|18</t>
        </is>
      </c>
      <c r="L6242" s="12" t="inlineStr">
        <is>
          <t>24 pr</t>
        </is>
      </c>
      <c r="M6242" s="12" t="inlineStr">
        <is>
          <t>18</t>
        </is>
      </c>
      <c r="N6242" s="12" t="n">
        <v>1</v>
      </c>
      <c r="O6242" s="12" t="n">
        <v>1</v>
      </c>
      <c r="P6242" s="12" t="n"/>
      <c r="Q6242" s="12" t="n"/>
      <c r="R6242" s="12" t="n"/>
      <c r="S6242" s="12" t="inlineStr">
        <is>
          <t>Tray</t>
        </is>
      </c>
      <c r="T6242" s="17" t="n">
        <v>1218</v>
      </c>
      <c r="U6242" s="17" t="n">
        <v>200</v>
      </c>
      <c r="V6242" s="17">
        <f>ROUNDUP((T6242+U6242+2*'Read Me'!$B$13)*(1+'Read Me'!$B$12),-1)</f>
        <v/>
      </c>
      <c r="W6242" s="17">
        <f>V6242*N6242*O6242</f>
        <v/>
      </c>
      <c r="X6242" s="12">
        <f>IF(LEFT(I6242,2)="MV",2*N6242*IF(L6242="1/C",O6242,1),0)</f>
        <v/>
      </c>
      <c r="Y6242" s="12">
        <f>IF(OR(LEFT(K6242,4)="LVAX",LEFT(K6242,6)="MV15AX",LEFT(K6242,4)="CTAX",LEFT(K6242,2)="W|"),2*N6242*O6242,0)</f>
        <v/>
      </c>
      <c r="Z6242" s="12" t="inlineStr"/>
      <c r="AA6242" s="12">
        <f>N6242*O6242</f>
        <v/>
      </c>
    </row>
    <row r="6243">
      <c r="A6243" s="12" t="inlineStr">
        <is>
          <t>C-I-0117</t>
        </is>
      </c>
      <c r="B6243" s="12" t="inlineStr">
        <is>
          <t>C</t>
        </is>
      </c>
      <c r="C6243" s="12" t="inlineStr">
        <is>
          <t>Grid interface</t>
        </is>
      </c>
      <c r="D6243" s="12" t="inlineStr">
        <is>
          <t>Discrete device to JB JB-Small-bore piping:-DI01: 10 x 1 pr (field cables)</t>
        </is>
      </c>
      <c r="E6243" s="12" t="inlineStr"/>
      <c r="F6243" s="12" t="inlineStr">
        <is>
          <t>Small-bore piping: instrument air, service water, nitrogen, HRSG drain</t>
        </is>
      </c>
      <c r="G6243" s="12" t="inlineStr">
        <is>
          <t>JB-Small-bore piping:-DI01</t>
        </is>
      </c>
      <c r="H6243" s="12" t="inlineStr">
        <is>
          <t>Small-bore piping: instrument air, service water, nitrogen, HRSG drain</t>
        </is>
      </c>
      <c r="I6243" s="12" t="inlineStr">
        <is>
          <t>Instrumentation</t>
        </is>
      </c>
      <c r="J6243" s="12" t="inlineStr">
        <is>
          <t>Instrumentation PLTC / TC-ER 300 V, #18 twisted shielded pairs, overall shield</t>
        </is>
      </c>
      <c r="K6243" s="12" t="inlineStr">
        <is>
          <t>PLTC|1 pr|16</t>
        </is>
      </c>
      <c r="L6243" s="12" t="inlineStr">
        <is>
          <t>1 pr</t>
        </is>
      </c>
      <c r="M6243" s="12" t="inlineStr">
        <is>
          <t>16</t>
        </is>
      </c>
      <c r="N6243" s="12" t="n">
        <v>10</v>
      </c>
      <c r="O6243" s="12" t="n">
        <v>1</v>
      </c>
      <c r="P6243" s="12" t="n"/>
      <c r="Q6243" s="12" t="n"/>
      <c r="R6243" s="12" t="n"/>
      <c r="S6243" s="12" t="inlineStr">
        <is>
          <t>Tray / conduit</t>
        </is>
      </c>
      <c r="T6243" s="17" t="n">
        <v>250</v>
      </c>
      <c r="U6243" s="17" t="n">
        <v>10</v>
      </c>
      <c r="V6243" s="17">
        <f>ROUNDUP((T6243+U6243+2*'Read Me'!$B$13)*(1+'Read Me'!$B$12),-1)</f>
        <v/>
      </c>
      <c r="W6243" s="17">
        <f>V6243*N6243*O6243</f>
        <v/>
      </c>
      <c r="X6243" s="12">
        <f>IF(LEFT(I6243,2)="MV",2*N6243*IF(L6243="1/C",O6243,1),0)</f>
        <v/>
      </c>
      <c r="Y6243" s="12">
        <f>IF(OR(LEFT(K6243,4)="LVAX",LEFT(K6243,6)="MV15AX",LEFT(K6243,4)="CTAX",LEFT(K6243,2)="W|"),2*N6243*O6243,0)</f>
        <v/>
      </c>
      <c r="Z6243" s="12" t="inlineStr">
        <is>
          <t>device-to-JB field wiring, one cable per device</t>
        </is>
      </c>
      <c r="AA6243" s="12">
        <f>N6243*O6243</f>
        <v/>
      </c>
    </row>
    <row r="6244">
      <c r="A6244" s="12" t="inlineStr">
        <is>
          <t>C-I-0118</t>
        </is>
      </c>
      <c r="B6244" s="12" t="inlineStr">
        <is>
          <t>C</t>
        </is>
      </c>
      <c r="C6244" s="12" t="inlineStr">
        <is>
          <t>Grid interface</t>
        </is>
      </c>
      <c r="D6244" s="12" t="inlineStr">
        <is>
          <t>Home run JB-Small-bore piping:-DI01 to the control / marshalling room</t>
        </is>
      </c>
      <c r="E6244" s="12" t="inlineStr">
        <is>
          <t>R1</t>
        </is>
      </c>
      <c r="F6244" s="12" t="inlineStr">
        <is>
          <t>R1: main electrical building (64 x 180 ft)</t>
        </is>
      </c>
      <c r="G6244" s="12" t="inlineStr">
        <is>
          <t>JB-Small-bore piping:-DI01</t>
        </is>
      </c>
      <c r="H6244" s="12" t="inlineStr">
        <is>
          <t>Small-bore piping: instrument air, service water, nitrogen, HRSG drain</t>
        </is>
      </c>
      <c r="I6244" s="12" t="inlineStr">
        <is>
          <t>Instrumentation</t>
        </is>
      </c>
      <c r="J6244" s="12" t="inlineStr">
        <is>
          <t>Instrumentation PLTC / TC-ER 300 V, #18 twisted shielded pairs, overall shield</t>
        </is>
      </c>
      <c r="K6244" s="12" t="inlineStr">
        <is>
          <t>PLTC|24 pr|18</t>
        </is>
      </c>
      <c r="L6244" s="12" t="inlineStr">
        <is>
          <t>24 pr</t>
        </is>
      </c>
      <c r="M6244" s="12" t="inlineStr">
        <is>
          <t>18</t>
        </is>
      </c>
      <c r="N6244" s="12" t="n">
        <v>1</v>
      </c>
      <c r="O6244" s="12" t="n">
        <v>1</v>
      </c>
      <c r="P6244" s="12" t="n"/>
      <c r="Q6244" s="12" t="n"/>
      <c r="R6244" s="12" t="n"/>
      <c r="S6244" s="12" t="inlineStr">
        <is>
          <t>Tray</t>
        </is>
      </c>
      <c r="T6244" s="17" t="n">
        <v>1218</v>
      </c>
      <c r="U6244" s="17" t="n">
        <v>200</v>
      </c>
      <c r="V6244" s="17">
        <f>ROUNDUP((T6244+U6244+2*'Read Me'!$B$13)*(1+'Read Me'!$B$12),-1)</f>
        <v/>
      </c>
      <c r="W6244" s="17">
        <f>V6244*N6244*O6244</f>
        <v/>
      </c>
      <c r="X6244" s="12">
        <f>IF(LEFT(I6244,2)="MV",2*N6244*IF(L6244="1/C",O6244,1),0)</f>
        <v/>
      </c>
      <c r="Y6244" s="12">
        <f>IF(OR(LEFT(K6244,4)="LVAX",LEFT(K6244,6)="MV15AX",LEFT(K6244,4)="CTAX",LEFT(K6244,2)="W|"),2*N6244*O6244,0)</f>
        <v/>
      </c>
      <c r="Z6244" s="12" t="inlineStr"/>
      <c r="AA6244" s="12">
        <f>N6244*O6244</f>
        <v/>
      </c>
    </row>
    <row r="6245">
      <c r="A6245" s="12" t="inlineStr">
        <is>
          <t>C-I-0119</t>
        </is>
      </c>
      <c r="B6245" s="12" t="inlineStr">
        <is>
          <t>C</t>
        </is>
      </c>
      <c r="C6245" s="12" t="inlineStr">
        <is>
          <t>Grid interface</t>
        </is>
      </c>
      <c r="D6245" s="12" t="inlineStr">
        <is>
          <t>Analog instrument to JB JB-Wastewater treatme-AI01: 20 x 1 pr (field cables)</t>
        </is>
      </c>
      <c r="E6245" s="12" t="inlineStr"/>
      <c r="F6245" s="12" t="inlineStr">
        <is>
          <t>Wastewater treatment: rooftop HVAC, exhaust fans, vents</t>
        </is>
      </c>
      <c r="G6245" s="12" t="inlineStr">
        <is>
          <t>JB-Wastewater treatme-AI01</t>
        </is>
      </c>
      <c r="H6245" s="12" t="inlineStr">
        <is>
          <t>Wastewater treatment: rooftop HVAC, exhaust fans, vents</t>
        </is>
      </c>
      <c r="I6245" s="12" t="inlineStr">
        <is>
          <t>Instrumentation</t>
        </is>
      </c>
      <c r="J6245" s="12" t="inlineStr">
        <is>
          <t>Instrumentation PLTC / TC-ER 300 V, #18 twisted shielded pairs, overall shield</t>
        </is>
      </c>
      <c r="K6245" s="12" t="inlineStr">
        <is>
          <t>PLTC|1 pr|16</t>
        </is>
      </c>
      <c r="L6245" s="12" t="inlineStr">
        <is>
          <t>1 pr</t>
        </is>
      </c>
      <c r="M6245" s="12" t="inlineStr">
        <is>
          <t>16</t>
        </is>
      </c>
      <c r="N6245" s="12" t="n">
        <v>20</v>
      </c>
      <c r="O6245" s="12" t="n">
        <v>1</v>
      </c>
      <c r="P6245" s="12" t="n"/>
      <c r="Q6245" s="12" t="n"/>
      <c r="R6245" s="12" t="n"/>
      <c r="S6245" s="12" t="inlineStr">
        <is>
          <t>Tray / conduit</t>
        </is>
      </c>
      <c r="T6245" s="17" t="n">
        <v>89</v>
      </c>
      <c r="U6245" s="17" t="n">
        <v>10</v>
      </c>
      <c r="V6245" s="17">
        <f>ROUNDUP((T6245+U6245+2*'Read Me'!$B$13)*(1+'Read Me'!$B$12),-1)</f>
        <v/>
      </c>
      <c r="W6245" s="17">
        <f>V6245*N6245*O6245</f>
        <v/>
      </c>
      <c r="X6245" s="12">
        <f>IF(LEFT(I6245,2)="MV",2*N6245*IF(L6245="1/C",O6245,1),0)</f>
        <v/>
      </c>
      <c r="Y6245" s="12">
        <f>IF(OR(LEFT(K6245,4)="LVAX",LEFT(K6245,6)="MV15AX",LEFT(K6245,4)="CTAX",LEFT(K6245,2)="W|"),2*N6245*O6245,0)</f>
        <v/>
      </c>
      <c r="Z6245" s="12" t="inlineStr">
        <is>
          <t>device-to-JB field wiring, one cable per device</t>
        </is>
      </c>
      <c r="AA6245" s="12">
        <f>N6245*O6245</f>
        <v/>
      </c>
    </row>
    <row r="6246">
      <c r="A6246" s="12" t="inlineStr">
        <is>
          <t>C-I-0120</t>
        </is>
      </c>
      <c r="B6246" s="12" t="inlineStr">
        <is>
          <t>C</t>
        </is>
      </c>
      <c r="C6246" s="12" t="inlineStr">
        <is>
          <t>Grid interface</t>
        </is>
      </c>
      <c r="D6246" s="12" t="inlineStr">
        <is>
          <t>Home run JB-Wastewater treatme-AI01 to the control / marshalling room</t>
        </is>
      </c>
      <c r="E6246" s="12" t="inlineStr">
        <is>
          <t>R1</t>
        </is>
      </c>
      <c r="F6246" s="12" t="inlineStr">
        <is>
          <t>R1: main electrical building (64 x 180 ft)</t>
        </is>
      </c>
      <c r="G6246" s="12" t="inlineStr">
        <is>
          <t>JB-Wastewater treatme-AI01</t>
        </is>
      </c>
      <c r="H6246" s="12" t="inlineStr">
        <is>
          <t>Wastewater treatment: rooftop HVAC, exhaust fans, vents</t>
        </is>
      </c>
      <c r="I6246" s="12" t="inlineStr">
        <is>
          <t>Instrumentation</t>
        </is>
      </c>
      <c r="J6246" s="12" t="inlineStr">
        <is>
          <t>Instrumentation PLTC / TC-ER 300 V, #18 twisted shielded pairs, overall shield</t>
        </is>
      </c>
      <c r="K6246" s="12" t="inlineStr">
        <is>
          <t>PLTC|24 pr|18</t>
        </is>
      </c>
      <c r="L6246" s="12" t="inlineStr">
        <is>
          <t>24 pr</t>
        </is>
      </c>
      <c r="M6246" s="12" t="inlineStr">
        <is>
          <t>18</t>
        </is>
      </c>
      <c r="N6246" s="12" t="n">
        <v>1</v>
      </c>
      <c r="O6246" s="12" t="n">
        <v>1</v>
      </c>
      <c r="P6246" s="12" t="n"/>
      <c r="Q6246" s="12" t="n"/>
      <c r="R6246" s="12" t="n"/>
      <c r="S6246" s="12" t="inlineStr">
        <is>
          <t>Duct bank</t>
        </is>
      </c>
      <c r="T6246" s="17" t="n">
        <v>1215</v>
      </c>
      <c r="U6246" s="17" t="n">
        <v>99</v>
      </c>
      <c r="V6246" s="17">
        <f>ROUNDUP((T6246+U6246+2*'Read Me'!$B$13)*(1+'Read Me'!$B$12),-1)</f>
        <v/>
      </c>
      <c r="W6246" s="17">
        <f>V6246*N6246*O6246</f>
        <v/>
      </c>
      <c r="X6246" s="12">
        <f>IF(LEFT(I6246,2)="MV",2*N6246*IF(L6246="1/C",O6246,1),0)</f>
        <v/>
      </c>
      <c r="Y6246" s="12">
        <f>IF(OR(LEFT(K6246,4)="LVAX",LEFT(K6246,6)="MV15AX",LEFT(K6246,4)="CTAX",LEFT(K6246,2)="W|"),2*N6246*O6246,0)</f>
        <v/>
      </c>
      <c r="Z6246" s="12" t="inlineStr"/>
      <c r="AA6246" s="12">
        <f>N6246*O6246</f>
        <v/>
      </c>
    </row>
    <row r="6247">
      <c r="A6247" s="12" t="inlineStr">
        <is>
          <t>C-I-0121</t>
        </is>
      </c>
      <c r="B6247" s="12" t="inlineStr">
        <is>
          <t>C</t>
        </is>
      </c>
      <c r="C6247" s="12" t="inlineStr">
        <is>
          <t>Grid interface</t>
        </is>
      </c>
      <c r="D6247" s="12" t="inlineStr">
        <is>
          <t>Discrete device to JB JB-Wastewater treatme-DI01: 20 x 1 pr (field cables)</t>
        </is>
      </c>
      <c r="E6247" s="12" t="inlineStr"/>
      <c r="F6247" s="12" t="inlineStr">
        <is>
          <t>Wastewater treatment: rooftop HVAC, exhaust fans, vents</t>
        </is>
      </c>
      <c r="G6247" s="12" t="inlineStr">
        <is>
          <t>JB-Wastewater treatme-DI01</t>
        </is>
      </c>
      <c r="H6247" s="12" t="inlineStr">
        <is>
          <t>Wastewater treatment: rooftop HVAC, exhaust fans, vents</t>
        </is>
      </c>
      <c r="I6247" s="12" t="inlineStr">
        <is>
          <t>Instrumentation</t>
        </is>
      </c>
      <c r="J6247" s="12" t="inlineStr">
        <is>
          <t>Instrumentation PLTC / TC-ER 300 V, #18 twisted shielded pairs, overall shield</t>
        </is>
      </c>
      <c r="K6247" s="12" t="inlineStr">
        <is>
          <t>PLTC|1 pr|16</t>
        </is>
      </c>
      <c r="L6247" s="12" t="inlineStr">
        <is>
          <t>1 pr</t>
        </is>
      </c>
      <c r="M6247" s="12" t="inlineStr">
        <is>
          <t>16</t>
        </is>
      </c>
      <c r="N6247" s="12" t="n">
        <v>20</v>
      </c>
      <c r="O6247" s="12" t="n">
        <v>1</v>
      </c>
      <c r="P6247" s="12" t="n"/>
      <c r="Q6247" s="12" t="n"/>
      <c r="R6247" s="12" t="n"/>
      <c r="S6247" s="12" t="inlineStr">
        <is>
          <t>Tray / conduit</t>
        </is>
      </c>
      <c r="T6247" s="17" t="n">
        <v>89</v>
      </c>
      <c r="U6247" s="17" t="n">
        <v>10</v>
      </c>
      <c r="V6247" s="17">
        <f>ROUNDUP((T6247+U6247+2*'Read Me'!$B$13)*(1+'Read Me'!$B$12),-1)</f>
        <v/>
      </c>
      <c r="W6247" s="17">
        <f>V6247*N6247*O6247</f>
        <v/>
      </c>
      <c r="X6247" s="12">
        <f>IF(LEFT(I6247,2)="MV",2*N6247*IF(L6247="1/C",O6247,1),0)</f>
        <v/>
      </c>
      <c r="Y6247" s="12">
        <f>IF(OR(LEFT(K6247,4)="LVAX",LEFT(K6247,6)="MV15AX",LEFT(K6247,4)="CTAX",LEFT(K6247,2)="W|"),2*N6247*O6247,0)</f>
        <v/>
      </c>
      <c r="Z6247" s="12" t="inlineStr">
        <is>
          <t>device-to-JB field wiring, one cable per device</t>
        </is>
      </c>
      <c r="AA6247" s="12">
        <f>N6247*O6247</f>
        <v/>
      </c>
    </row>
    <row r="6248">
      <c r="A6248" s="12" t="inlineStr">
        <is>
          <t>C-I-0122</t>
        </is>
      </c>
      <c r="B6248" s="12" t="inlineStr">
        <is>
          <t>C</t>
        </is>
      </c>
      <c r="C6248" s="12" t="inlineStr">
        <is>
          <t>Grid interface</t>
        </is>
      </c>
      <c r="D6248" s="12" t="inlineStr">
        <is>
          <t>Home run JB-Wastewater treatme-DI01 to the control / marshalling room</t>
        </is>
      </c>
      <c r="E6248" s="12" t="inlineStr">
        <is>
          <t>R1</t>
        </is>
      </c>
      <c r="F6248" s="12" t="inlineStr">
        <is>
          <t>R1: main electrical building (64 x 180 ft)</t>
        </is>
      </c>
      <c r="G6248" s="12" t="inlineStr">
        <is>
          <t>JB-Wastewater treatme-DI01</t>
        </is>
      </c>
      <c r="H6248" s="12" t="inlineStr">
        <is>
          <t>Wastewater treatment: rooftop HVAC, exhaust fans, vents</t>
        </is>
      </c>
      <c r="I6248" s="12" t="inlineStr">
        <is>
          <t>Instrumentation</t>
        </is>
      </c>
      <c r="J6248" s="12" t="inlineStr">
        <is>
          <t>Instrumentation PLTC / TC-ER 300 V, #18 twisted shielded pairs, overall shield</t>
        </is>
      </c>
      <c r="K6248" s="12" t="inlineStr">
        <is>
          <t>PLTC|24 pr|18</t>
        </is>
      </c>
      <c r="L6248" s="12" t="inlineStr">
        <is>
          <t>24 pr</t>
        </is>
      </c>
      <c r="M6248" s="12" t="inlineStr">
        <is>
          <t>18</t>
        </is>
      </c>
      <c r="N6248" s="12" t="n">
        <v>1</v>
      </c>
      <c r="O6248" s="12" t="n">
        <v>1</v>
      </c>
      <c r="P6248" s="12" t="n"/>
      <c r="Q6248" s="12" t="n"/>
      <c r="R6248" s="12" t="n"/>
      <c r="S6248" s="12" t="inlineStr">
        <is>
          <t>Duct bank</t>
        </is>
      </c>
      <c r="T6248" s="17" t="n">
        <v>1215</v>
      </c>
      <c r="U6248" s="17" t="n">
        <v>99</v>
      </c>
      <c r="V6248" s="17">
        <f>ROUNDUP((T6248+U6248+2*'Read Me'!$B$13)*(1+'Read Me'!$B$12),-1)</f>
        <v/>
      </c>
      <c r="W6248" s="17">
        <f>V6248*N6248*O6248</f>
        <v/>
      </c>
      <c r="X6248" s="12">
        <f>IF(LEFT(I6248,2)="MV",2*N6248*IF(L6248="1/C",O6248,1),0)</f>
        <v/>
      </c>
      <c r="Y6248" s="12">
        <f>IF(OR(LEFT(K6248,4)="LVAX",LEFT(K6248,6)="MV15AX",LEFT(K6248,4)="CTAX",LEFT(K6248,2)="W|"),2*N6248*O6248,0)</f>
        <v/>
      </c>
      <c r="Z6248" s="12" t="inlineStr"/>
      <c r="AA6248" s="12">
        <f>N6248*O6248</f>
        <v/>
      </c>
    </row>
    <row r="6249">
      <c r="A6249" s="12" t="inlineStr">
        <is>
          <t>C-I-0123</t>
        </is>
      </c>
      <c r="B6249" s="12" t="inlineStr">
        <is>
          <t>C</t>
        </is>
      </c>
      <c r="C6249" s="12" t="inlineStr">
        <is>
          <t>Grid interface</t>
        </is>
      </c>
      <c r="D6249" s="12" t="inlineStr">
        <is>
          <t>Discrete device to JB JB-Wastewater treatme-DI02: 10 x 1 pr (field cables)</t>
        </is>
      </c>
      <c r="E6249" s="12" t="inlineStr"/>
      <c r="F6249" s="12" t="inlineStr">
        <is>
          <t>Wastewater treatment: rooftop HVAC, exhaust fans, vents</t>
        </is>
      </c>
      <c r="G6249" s="12" t="inlineStr">
        <is>
          <t>JB-Wastewater treatme-DI02</t>
        </is>
      </c>
      <c r="H6249" s="12" t="inlineStr">
        <is>
          <t>Wastewater treatment: rooftop HVAC, exhaust fans, vents</t>
        </is>
      </c>
      <c r="I6249" s="12" t="inlineStr">
        <is>
          <t>Instrumentation</t>
        </is>
      </c>
      <c r="J6249" s="12" t="inlineStr">
        <is>
          <t>Instrumentation PLTC / TC-ER 300 V, #18 twisted shielded pairs, overall shield</t>
        </is>
      </c>
      <c r="K6249" s="12" t="inlineStr">
        <is>
          <t>PLTC|1 pr|16</t>
        </is>
      </c>
      <c r="L6249" s="12" t="inlineStr">
        <is>
          <t>1 pr</t>
        </is>
      </c>
      <c r="M6249" s="12" t="inlineStr">
        <is>
          <t>16</t>
        </is>
      </c>
      <c r="N6249" s="12" t="n">
        <v>10</v>
      </c>
      <c r="O6249" s="12" t="n">
        <v>1</v>
      </c>
      <c r="P6249" s="12" t="n"/>
      <c r="Q6249" s="12" t="n"/>
      <c r="R6249" s="12" t="n"/>
      <c r="S6249" s="12" t="inlineStr">
        <is>
          <t>Tray / conduit</t>
        </is>
      </c>
      <c r="T6249" s="17" t="n">
        <v>89</v>
      </c>
      <c r="U6249" s="17" t="n">
        <v>10</v>
      </c>
      <c r="V6249" s="17">
        <f>ROUNDUP((T6249+U6249+2*'Read Me'!$B$13)*(1+'Read Me'!$B$12),-1)</f>
        <v/>
      </c>
      <c r="W6249" s="17">
        <f>V6249*N6249*O6249</f>
        <v/>
      </c>
      <c r="X6249" s="12">
        <f>IF(LEFT(I6249,2)="MV",2*N6249*IF(L6249="1/C",O6249,1),0)</f>
        <v/>
      </c>
      <c r="Y6249" s="12">
        <f>IF(OR(LEFT(K6249,4)="LVAX",LEFT(K6249,6)="MV15AX",LEFT(K6249,4)="CTAX",LEFT(K6249,2)="W|"),2*N6249*O6249,0)</f>
        <v/>
      </c>
      <c r="Z6249" s="12" t="inlineStr">
        <is>
          <t>device-to-JB field wiring, one cable per device</t>
        </is>
      </c>
      <c r="AA6249" s="12">
        <f>N6249*O6249</f>
        <v/>
      </c>
    </row>
    <row r="6250">
      <c r="A6250" s="12" t="inlineStr">
        <is>
          <t>C-I-0124</t>
        </is>
      </c>
      <c r="B6250" s="12" t="inlineStr">
        <is>
          <t>C</t>
        </is>
      </c>
      <c r="C6250" s="12" t="inlineStr">
        <is>
          <t>Grid interface</t>
        </is>
      </c>
      <c r="D6250" s="12" t="inlineStr">
        <is>
          <t>Home run JB-Wastewater treatme-DI02 to the control / marshalling room</t>
        </is>
      </c>
      <c r="E6250" s="12" t="inlineStr">
        <is>
          <t>R1</t>
        </is>
      </c>
      <c r="F6250" s="12" t="inlineStr">
        <is>
          <t>R1: main electrical building (64 x 180 ft)</t>
        </is>
      </c>
      <c r="G6250" s="12" t="inlineStr">
        <is>
          <t>JB-Wastewater treatme-DI02</t>
        </is>
      </c>
      <c r="H6250" s="12" t="inlineStr">
        <is>
          <t>Wastewater treatment: rooftop HVAC, exhaust fans, vents</t>
        </is>
      </c>
      <c r="I6250" s="12" t="inlineStr">
        <is>
          <t>Instrumentation</t>
        </is>
      </c>
      <c r="J6250" s="12" t="inlineStr">
        <is>
          <t>Instrumentation PLTC / TC-ER 300 V, #18 twisted shielded pairs, overall shield</t>
        </is>
      </c>
      <c r="K6250" s="12" t="inlineStr">
        <is>
          <t>PLTC|24 pr|18</t>
        </is>
      </c>
      <c r="L6250" s="12" t="inlineStr">
        <is>
          <t>24 pr</t>
        </is>
      </c>
      <c r="M6250" s="12" t="inlineStr">
        <is>
          <t>18</t>
        </is>
      </c>
      <c r="N6250" s="12" t="n">
        <v>1</v>
      </c>
      <c r="O6250" s="12" t="n">
        <v>1</v>
      </c>
      <c r="P6250" s="12" t="n"/>
      <c r="Q6250" s="12" t="n"/>
      <c r="R6250" s="12" t="n"/>
      <c r="S6250" s="12" t="inlineStr">
        <is>
          <t>Duct bank</t>
        </is>
      </c>
      <c r="T6250" s="17" t="n">
        <v>1215</v>
      </c>
      <c r="U6250" s="17" t="n">
        <v>99</v>
      </c>
      <c r="V6250" s="17">
        <f>ROUNDUP((T6250+U6250+2*'Read Me'!$B$13)*(1+'Read Me'!$B$12),-1)</f>
        <v/>
      </c>
      <c r="W6250" s="17">
        <f>V6250*N6250*O6250</f>
        <v/>
      </c>
      <c r="X6250" s="12">
        <f>IF(LEFT(I6250,2)="MV",2*N6250*IF(L6250="1/C",O6250,1),0)</f>
        <v/>
      </c>
      <c r="Y6250" s="12">
        <f>IF(OR(LEFT(K6250,4)="LVAX",LEFT(K6250,6)="MV15AX",LEFT(K6250,4)="CTAX",LEFT(K6250,2)="W|"),2*N6250*O6250,0)</f>
        <v/>
      </c>
      <c r="Z6250" s="12" t="inlineStr"/>
      <c r="AA6250" s="12">
        <f>N6250*O6250</f>
        <v/>
      </c>
    </row>
    <row r="6251">
      <c r="A6251" s="12" t="inlineStr">
        <is>
          <t>C-I-0125</t>
        </is>
      </c>
      <c r="B6251" s="12" t="inlineStr">
        <is>
          <t>C</t>
        </is>
      </c>
      <c r="C6251" s="12" t="inlineStr">
        <is>
          <t>Grid interface</t>
        </is>
      </c>
      <c r="D6251" s="12" t="inlineStr">
        <is>
          <t>Analog instrument to JB JB-Water treatment bu-AI01: 20 x 1 pr (field cables)</t>
        </is>
      </c>
      <c r="E6251" s="12" t="inlineStr"/>
      <c r="F6251" s="12" t="inlineStr">
        <is>
          <t>Water treatment building: rooftop HVAC, exhaust fans, vents</t>
        </is>
      </c>
      <c r="G6251" s="12" t="inlineStr">
        <is>
          <t>JB-Water treatment bu-AI01</t>
        </is>
      </c>
      <c r="H6251" s="12" t="inlineStr">
        <is>
          <t>Water treatment building: rooftop HVAC, exhaust fans, vents</t>
        </is>
      </c>
      <c r="I6251" s="12" t="inlineStr">
        <is>
          <t>Instrumentation</t>
        </is>
      </c>
      <c r="J6251" s="12" t="inlineStr">
        <is>
          <t>Instrumentation PLTC / TC-ER 300 V, #18 twisted shielded pairs, overall shield</t>
        </is>
      </c>
      <c r="K6251" s="12" t="inlineStr">
        <is>
          <t>PLTC|1 pr|16</t>
        </is>
      </c>
      <c r="L6251" s="12" t="inlineStr">
        <is>
          <t>1 pr</t>
        </is>
      </c>
      <c r="M6251" s="12" t="inlineStr">
        <is>
          <t>16</t>
        </is>
      </c>
      <c r="N6251" s="12" t="n">
        <v>20</v>
      </c>
      <c r="O6251" s="12" t="n">
        <v>1</v>
      </c>
      <c r="P6251" s="12" t="n"/>
      <c r="Q6251" s="12" t="n"/>
      <c r="R6251" s="12" t="n"/>
      <c r="S6251" s="12" t="inlineStr">
        <is>
          <t>Tray / conduit</t>
        </is>
      </c>
      <c r="T6251" s="17" t="n">
        <v>162</v>
      </c>
      <c r="U6251" s="17" t="n">
        <v>10</v>
      </c>
      <c r="V6251" s="17">
        <f>ROUNDUP((T6251+U6251+2*'Read Me'!$B$13)*(1+'Read Me'!$B$12),-1)</f>
        <v/>
      </c>
      <c r="W6251" s="17">
        <f>V6251*N6251*O6251</f>
        <v/>
      </c>
      <c r="X6251" s="12">
        <f>IF(LEFT(I6251,2)="MV",2*N6251*IF(L6251="1/C",O6251,1),0)</f>
        <v/>
      </c>
      <c r="Y6251" s="12">
        <f>IF(OR(LEFT(K6251,4)="LVAX",LEFT(K6251,6)="MV15AX",LEFT(K6251,4)="CTAX",LEFT(K6251,2)="W|"),2*N6251*O6251,0)</f>
        <v/>
      </c>
      <c r="Z6251" s="12" t="inlineStr">
        <is>
          <t>device-to-JB field wiring, one cable per device</t>
        </is>
      </c>
      <c r="AA6251" s="12">
        <f>N6251*O6251</f>
        <v/>
      </c>
    </row>
    <row r="6252">
      <c r="A6252" s="12" t="inlineStr">
        <is>
          <t>C-I-0126</t>
        </is>
      </c>
      <c r="B6252" s="12" t="inlineStr">
        <is>
          <t>C</t>
        </is>
      </c>
      <c r="C6252" s="12" t="inlineStr">
        <is>
          <t>Grid interface</t>
        </is>
      </c>
      <c r="D6252" s="12" t="inlineStr">
        <is>
          <t>Home run JB-Water treatment bu-AI01 to the control / marshalling room</t>
        </is>
      </c>
      <c r="E6252" s="12" t="inlineStr">
        <is>
          <t>R1</t>
        </is>
      </c>
      <c r="F6252" s="12" t="inlineStr">
        <is>
          <t>R1: main electrical building (64 x 180 ft)</t>
        </is>
      </c>
      <c r="G6252" s="12" t="inlineStr">
        <is>
          <t>JB-Water treatment bu-AI01</t>
        </is>
      </c>
      <c r="H6252" s="12" t="inlineStr">
        <is>
          <t>Water treatment building: rooftop HVAC, exhaust fans, vents</t>
        </is>
      </c>
      <c r="I6252" s="12" t="inlineStr">
        <is>
          <t>Instrumentation</t>
        </is>
      </c>
      <c r="J6252" s="12" t="inlineStr">
        <is>
          <t>Instrumentation PLTC / TC-ER 300 V, #18 twisted shielded pairs, overall shield</t>
        </is>
      </c>
      <c r="K6252" s="12" t="inlineStr">
        <is>
          <t>PLTC|24 pr|18</t>
        </is>
      </c>
      <c r="L6252" s="12" t="inlineStr">
        <is>
          <t>24 pr</t>
        </is>
      </c>
      <c r="M6252" s="12" t="inlineStr">
        <is>
          <t>18</t>
        </is>
      </c>
      <c r="N6252" s="12" t="n">
        <v>1</v>
      </c>
      <c r="O6252" s="12" t="n">
        <v>1</v>
      </c>
      <c r="P6252" s="12" t="n"/>
      <c r="Q6252" s="12" t="n"/>
      <c r="R6252" s="12" t="n"/>
      <c r="S6252" s="12" t="inlineStr">
        <is>
          <t>Duct bank</t>
        </is>
      </c>
      <c r="T6252" s="17" t="n">
        <v>985</v>
      </c>
      <c r="U6252" s="17" t="n">
        <v>32</v>
      </c>
      <c r="V6252" s="17">
        <f>ROUNDUP((T6252+U6252+2*'Read Me'!$B$13)*(1+'Read Me'!$B$12),-1)</f>
        <v/>
      </c>
      <c r="W6252" s="17">
        <f>V6252*N6252*O6252</f>
        <v/>
      </c>
      <c r="X6252" s="12">
        <f>IF(LEFT(I6252,2)="MV",2*N6252*IF(L6252="1/C",O6252,1),0)</f>
        <v/>
      </c>
      <c r="Y6252" s="12">
        <f>IF(OR(LEFT(K6252,4)="LVAX",LEFT(K6252,6)="MV15AX",LEFT(K6252,4)="CTAX",LEFT(K6252,2)="W|"),2*N6252*O6252,0)</f>
        <v/>
      </c>
      <c r="Z6252" s="12" t="inlineStr"/>
      <c r="AA6252" s="12">
        <f>N6252*O6252</f>
        <v/>
      </c>
    </row>
    <row r="6253">
      <c r="A6253" s="12" t="inlineStr">
        <is>
          <t>C-I-0127</t>
        </is>
      </c>
      <c r="B6253" s="12" t="inlineStr">
        <is>
          <t>C</t>
        </is>
      </c>
      <c r="C6253" s="12" t="inlineStr">
        <is>
          <t>Grid interface</t>
        </is>
      </c>
      <c r="D6253" s="12" t="inlineStr">
        <is>
          <t>Analog instrument to JB JB-Water treatment bu-AI02: 20 x 1 pr (field cables)</t>
        </is>
      </c>
      <c r="E6253" s="12" t="inlineStr"/>
      <c r="F6253" s="12" t="inlineStr">
        <is>
          <t>Water treatment building: rooftop HVAC, exhaust fans, vents</t>
        </is>
      </c>
      <c r="G6253" s="12" t="inlineStr">
        <is>
          <t>JB-Water treatment bu-AI02</t>
        </is>
      </c>
      <c r="H6253" s="12" t="inlineStr">
        <is>
          <t>Water treatment building: rooftop HVAC, exhaust fans, vents</t>
        </is>
      </c>
      <c r="I6253" s="12" t="inlineStr">
        <is>
          <t>Instrumentation</t>
        </is>
      </c>
      <c r="J6253" s="12" t="inlineStr">
        <is>
          <t>Instrumentation PLTC / TC-ER 300 V, #18 twisted shielded pairs, overall shield</t>
        </is>
      </c>
      <c r="K6253" s="12" t="inlineStr">
        <is>
          <t>PLTC|1 pr|16</t>
        </is>
      </c>
      <c r="L6253" s="12" t="inlineStr">
        <is>
          <t>1 pr</t>
        </is>
      </c>
      <c r="M6253" s="12" t="inlineStr">
        <is>
          <t>16</t>
        </is>
      </c>
      <c r="N6253" s="12" t="n">
        <v>20</v>
      </c>
      <c r="O6253" s="12" t="n">
        <v>1</v>
      </c>
      <c r="P6253" s="12" t="n"/>
      <c r="Q6253" s="12" t="n"/>
      <c r="R6253" s="12" t="n"/>
      <c r="S6253" s="12" t="inlineStr">
        <is>
          <t>Tray / conduit</t>
        </is>
      </c>
      <c r="T6253" s="17" t="n">
        <v>162</v>
      </c>
      <c r="U6253" s="17" t="n">
        <v>10</v>
      </c>
      <c r="V6253" s="17">
        <f>ROUNDUP((T6253+U6253+2*'Read Me'!$B$13)*(1+'Read Me'!$B$12),-1)</f>
        <v/>
      </c>
      <c r="W6253" s="17">
        <f>V6253*N6253*O6253</f>
        <v/>
      </c>
      <c r="X6253" s="12">
        <f>IF(LEFT(I6253,2)="MV",2*N6253*IF(L6253="1/C",O6253,1),0)</f>
        <v/>
      </c>
      <c r="Y6253" s="12">
        <f>IF(OR(LEFT(K6253,4)="LVAX",LEFT(K6253,6)="MV15AX",LEFT(K6253,4)="CTAX",LEFT(K6253,2)="W|"),2*N6253*O6253,0)</f>
        <v/>
      </c>
      <c r="Z6253" s="12" t="inlineStr">
        <is>
          <t>device-to-JB field wiring, one cable per device</t>
        </is>
      </c>
      <c r="AA6253" s="12">
        <f>N6253*O6253</f>
        <v/>
      </c>
    </row>
    <row r="6254">
      <c r="A6254" s="12" t="inlineStr">
        <is>
          <t>C-I-0128</t>
        </is>
      </c>
      <c r="B6254" s="12" t="inlineStr">
        <is>
          <t>C</t>
        </is>
      </c>
      <c r="C6254" s="12" t="inlineStr">
        <is>
          <t>Grid interface</t>
        </is>
      </c>
      <c r="D6254" s="12" t="inlineStr">
        <is>
          <t>Home run JB-Water treatment bu-AI02 to the control / marshalling room</t>
        </is>
      </c>
      <c r="E6254" s="12" t="inlineStr">
        <is>
          <t>R1</t>
        </is>
      </c>
      <c r="F6254" s="12" t="inlineStr">
        <is>
          <t>R1: main electrical building (64 x 180 ft)</t>
        </is>
      </c>
      <c r="G6254" s="12" t="inlineStr">
        <is>
          <t>JB-Water treatment bu-AI02</t>
        </is>
      </c>
      <c r="H6254" s="12" t="inlineStr">
        <is>
          <t>Water treatment building: rooftop HVAC, exhaust fans, vents</t>
        </is>
      </c>
      <c r="I6254" s="12" t="inlineStr">
        <is>
          <t>Instrumentation</t>
        </is>
      </c>
      <c r="J6254" s="12" t="inlineStr">
        <is>
          <t>Instrumentation PLTC / TC-ER 300 V, #18 twisted shielded pairs, overall shield</t>
        </is>
      </c>
      <c r="K6254" s="12" t="inlineStr">
        <is>
          <t>PLTC|24 pr|18</t>
        </is>
      </c>
      <c r="L6254" s="12" t="inlineStr">
        <is>
          <t>24 pr</t>
        </is>
      </c>
      <c r="M6254" s="12" t="inlineStr">
        <is>
          <t>18</t>
        </is>
      </c>
      <c r="N6254" s="12" t="n">
        <v>1</v>
      </c>
      <c r="O6254" s="12" t="n">
        <v>1</v>
      </c>
      <c r="P6254" s="12" t="n"/>
      <c r="Q6254" s="12" t="n"/>
      <c r="R6254" s="12" t="n"/>
      <c r="S6254" s="12" t="inlineStr">
        <is>
          <t>Duct bank</t>
        </is>
      </c>
      <c r="T6254" s="17" t="n">
        <v>985</v>
      </c>
      <c r="U6254" s="17" t="n">
        <v>32</v>
      </c>
      <c r="V6254" s="17">
        <f>ROUNDUP((T6254+U6254+2*'Read Me'!$B$13)*(1+'Read Me'!$B$12),-1)</f>
        <v/>
      </c>
      <c r="W6254" s="17">
        <f>V6254*N6254*O6254</f>
        <v/>
      </c>
      <c r="X6254" s="12">
        <f>IF(LEFT(I6254,2)="MV",2*N6254*IF(L6254="1/C",O6254,1),0)</f>
        <v/>
      </c>
      <c r="Y6254" s="12">
        <f>IF(OR(LEFT(K6254,4)="LVAX",LEFT(K6254,6)="MV15AX",LEFT(K6254,4)="CTAX",LEFT(K6254,2)="W|"),2*N6254*O6254,0)</f>
        <v/>
      </c>
      <c r="Z6254" s="12" t="inlineStr"/>
      <c r="AA6254" s="12">
        <f>N6254*O6254</f>
        <v/>
      </c>
    </row>
    <row r="6255">
      <c r="A6255" s="12" t="inlineStr">
        <is>
          <t>C-I-0129</t>
        </is>
      </c>
      <c r="B6255" s="12" t="inlineStr">
        <is>
          <t>C</t>
        </is>
      </c>
      <c r="C6255" s="12" t="inlineStr">
        <is>
          <t>Grid interface</t>
        </is>
      </c>
      <c r="D6255" s="12" t="inlineStr">
        <is>
          <t>Analog instrument to JB JB-Water treatment bu-AI03: 20 x 1 pr (field cables)</t>
        </is>
      </c>
      <c r="E6255" s="12" t="inlineStr"/>
      <c r="F6255" s="12" t="inlineStr">
        <is>
          <t>Water treatment building: rooftop HVAC, exhaust fans, vents</t>
        </is>
      </c>
      <c r="G6255" s="12" t="inlineStr">
        <is>
          <t>JB-Water treatment bu-AI03</t>
        </is>
      </c>
      <c r="H6255" s="12" t="inlineStr">
        <is>
          <t>Water treatment building: rooftop HVAC, exhaust fans, vents</t>
        </is>
      </c>
      <c r="I6255" s="12" t="inlineStr">
        <is>
          <t>Instrumentation</t>
        </is>
      </c>
      <c r="J6255" s="12" t="inlineStr">
        <is>
          <t>Instrumentation PLTC / TC-ER 300 V, #18 twisted shielded pairs, overall shield</t>
        </is>
      </c>
      <c r="K6255" s="12" t="inlineStr">
        <is>
          <t>PLTC|1 pr|16</t>
        </is>
      </c>
      <c r="L6255" s="12" t="inlineStr">
        <is>
          <t>1 pr</t>
        </is>
      </c>
      <c r="M6255" s="12" t="inlineStr">
        <is>
          <t>16</t>
        </is>
      </c>
      <c r="N6255" s="12" t="n">
        <v>20</v>
      </c>
      <c r="O6255" s="12" t="n">
        <v>1</v>
      </c>
      <c r="P6255" s="12" t="n"/>
      <c r="Q6255" s="12" t="n"/>
      <c r="R6255" s="12" t="n"/>
      <c r="S6255" s="12" t="inlineStr">
        <is>
          <t>Tray / conduit</t>
        </is>
      </c>
      <c r="T6255" s="17" t="n">
        <v>162</v>
      </c>
      <c r="U6255" s="17" t="n">
        <v>10</v>
      </c>
      <c r="V6255" s="17">
        <f>ROUNDUP((T6255+U6255+2*'Read Me'!$B$13)*(1+'Read Me'!$B$12),-1)</f>
        <v/>
      </c>
      <c r="W6255" s="17">
        <f>V6255*N6255*O6255</f>
        <v/>
      </c>
      <c r="X6255" s="12">
        <f>IF(LEFT(I6255,2)="MV",2*N6255*IF(L6255="1/C",O6255,1),0)</f>
        <v/>
      </c>
      <c r="Y6255" s="12">
        <f>IF(OR(LEFT(K6255,4)="LVAX",LEFT(K6255,6)="MV15AX",LEFT(K6255,4)="CTAX",LEFT(K6255,2)="W|"),2*N6255*O6255,0)</f>
        <v/>
      </c>
      <c r="Z6255" s="12" t="inlineStr">
        <is>
          <t>device-to-JB field wiring, one cable per device</t>
        </is>
      </c>
      <c r="AA6255" s="12">
        <f>N6255*O6255</f>
        <v/>
      </c>
    </row>
    <row r="6256">
      <c r="A6256" s="12" t="inlineStr">
        <is>
          <t>C-I-0130</t>
        </is>
      </c>
      <c r="B6256" s="12" t="inlineStr">
        <is>
          <t>C</t>
        </is>
      </c>
      <c r="C6256" s="12" t="inlineStr">
        <is>
          <t>Grid interface</t>
        </is>
      </c>
      <c r="D6256" s="12" t="inlineStr">
        <is>
          <t>Home run JB-Water treatment bu-AI03 to the control / marshalling room</t>
        </is>
      </c>
      <c r="E6256" s="12" t="inlineStr">
        <is>
          <t>R1</t>
        </is>
      </c>
      <c r="F6256" s="12" t="inlineStr">
        <is>
          <t>R1: main electrical building (64 x 180 ft)</t>
        </is>
      </c>
      <c r="G6256" s="12" t="inlineStr">
        <is>
          <t>JB-Water treatment bu-AI03</t>
        </is>
      </c>
      <c r="H6256" s="12" t="inlineStr">
        <is>
          <t>Water treatment building: rooftop HVAC, exhaust fans, vents</t>
        </is>
      </c>
      <c r="I6256" s="12" t="inlineStr">
        <is>
          <t>Instrumentation</t>
        </is>
      </c>
      <c r="J6256" s="12" t="inlineStr">
        <is>
          <t>Instrumentation PLTC / TC-ER 300 V, #18 twisted shielded pairs, overall shield</t>
        </is>
      </c>
      <c r="K6256" s="12" t="inlineStr">
        <is>
          <t>PLTC|24 pr|18</t>
        </is>
      </c>
      <c r="L6256" s="12" t="inlineStr">
        <is>
          <t>24 pr</t>
        </is>
      </c>
      <c r="M6256" s="12" t="inlineStr">
        <is>
          <t>18</t>
        </is>
      </c>
      <c r="N6256" s="12" t="n">
        <v>1</v>
      </c>
      <c r="O6256" s="12" t="n">
        <v>1</v>
      </c>
      <c r="P6256" s="12" t="n"/>
      <c r="Q6256" s="12" t="n"/>
      <c r="R6256" s="12" t="n"/>
      <c r="S6256" s="12" t="inlineStr">
        <is>
          <t>Duct bank</t>
        </is>
      </c>
      <c r="T6256" s="17" t="n">
        <v>985</v>
      </c>
      <c r="U6256" s="17" t="n">
        <v>32</v>
      </c>
      <c r="V6256" s="17">
        <f>ROUNDUP((T6256+U6256+2*'Read Me'!$B$13)*(1+'Read Me'!$B$12),-1)</f>
        <v/>
      </c>
      <c r="W6256" s="17">
        <f>V6256*N6256*O6256</f>
        <v/>
      </c>
      <c r="X6256" s="12">
        <f>IF(LEFT(I6256,2)="MV",2*N6256*IF(L6256="1/C",O6256,1),0)</f>
        <v/>
      </c>
      <c r="Y6256" s="12">
        <f>IF(OR(LEFT(K6256,4)="LVAX",LEFT(K6256,6)="MV15AX",LEFT(K6256,4)="CTAX",LEFT(K6256,2)="W|"),2*N6256*O6256,0)</f>
        <v/>
      </c>
      <c r="Z6256" s="12" t="inlineStr"/>
      <c r="AA6256" s="12">
        <f>N6256*O6256</f>
        <v/>
      </c>
    </row>
    <row r="6257">
      <c r="A6257" s="12" t="inlineStr">
        <is>
          <t>C-I-0131</t>
        </is>
      </c>
      <c r="B6257" s="12" t="inlineStr">
        <is>
          <t>C</t>
        </is>
      </c>
      <c r="C6257" s="12" t="inlineStr">
        <is>
          <t>Grid interface</t>
        </is>
      </c>
      <c r="D6257" s="12" t="inlineStr">
        <is>
          <t>Discrete device to JB JB-Water treatment bu-DI01: 20 x 1 pr (field cables)</t>
        </is>
      </c>
      <c r="E6257" s="12" t="inlineStr"/>
      <c r="F6257" s="12" t="inlineStr">
        <is>
          <t>Water treatment building: rooftop HVAC, exhaust fans, vents</t>
        </is>
      </c>
      <c r="G6257" s="12" t="inlineStr">
        <is>
          <t>JB-Water treatment bu-DI01</t>
        </is>
      </c>
      <c r="H6257" s="12" t="inlineStr">
        <is>
          <t>Water treatment building: rooftop HVAC, exhaust fans, vents</t>
        </is>
      </c>
      <c r="I6257" s="12" t="inlineStr">
        <is>
          <t>Instrumentation</t>
        </is>
      </c>
      <c r="J6257" s="12" t="inlineStr">
        <is>
          <t>Instrumentation PLTC / TC-ER 300 V, #18 twisted shielded pairs, overall shield</t>
        </is>
      </c>
      <c r="K6257" s="12" t="inlineStr">
        <is>
          <t>PLTC|1 pr|16</t>
        </is>
      </c>
      <c r="L6257" s="12" t="inlineStr">
        <is>
          <t>1 pr</t>
        </is>
      </c>
      <c r="M6257" s="12" t="inlineStr">
        <is>
          <t>16</t>
        </is>
      </c>
      <c r="N6257" s="12" t="n">
        <v>20</v>
      </c>
      <c r="O6257" s="12" t="n">
        <v>1</v>
      </c>
      <c r="P6257" s="12" t="n"/>
      <c r="Q6257" s="12" t="n"/>
      <c r="R6257" s="12" t="n"/>
      <c r="S6257" s="12" t="inlineStr">
        <is>
          <t>Tray / conduit</t>
        </is>
      </c>
      <c r="T6257" s="17" t="n">
        <v>162</v>
      </c>
      <c r="U6257" s="17" t="n">
        <v>10</v>
      </c>
      <c r="V6257" s="17">
        <f>ROUNDUP((T6257+U6257+2*'Read Me'!$B$13)*(1+'Read Me'!$B$12),-1)</f>
        <v/>
      </c>
      <c r="W6257" s="17">
        <f>V6257*N6257*O6257</f>
        <v/>
      </c>
      <c r="X6257" s="12">
        <f>IF(LEFT(I6257,2)="MV",2*N6257*IF(L6257="1/C",O6257,1),0)</f>
        <v/>
      </c>
      <c r="Y6257" s="12">
        <f>IF(OR(LEFT(K6257,4)="LVAX",LEFT(K6257,6)="MV15AX",LEFT(K6257,4)="CTAX",LEFT(K6257,2)="W|"),2*N6257*O6257,0)</f>
        <v/>
      </c>
      <c r="Z6257" s="12" t="inlineStr">
        <is>
          <t>device-to-JB field wiring, one cable per device</t>
        </is>
      </c>
      <c r="AA6257" s="12">
        <f>N6257*O6257</f>
        <v/>
      </c>
    </row>
    <row r="6258">
      <c r="A6258" s="12" t="inlineStr">
        <is>
          <t>C-I-0132</t>
        </is>
      </c>
      <c r="B6258" s="12" t="inlineStr">
        <is>
          <t>C</t>
        </is>
      </c>
      <c r="C6258" s="12" t="inlineStr">
        <is>
          <t>Grid interface</t>
        </is>
      </c>
      <c r="D6258" s="12" t="inlineStr">
        <is>
          <t>Home run JB-Water treatment bu-DI01 to the control / marshalling room</t>
        </is>
      </c>
      <c r="E6258" s="12" t="inlineStr">
        <is>
          <t>R1</t>
        </is>
      </c>
      <c r="F6258" s="12" t="inlineStr">
        <is>
          <t>R1: main electrical building (64 x 180 ft)</t>
        </is>
      </c>
      <c r="G6258" s="12" t="inlineStr">
        <is>
          <t>JB-Water treatment bu-DI01</t>
        </is>
      </c>
      <c r="H6258" s="12" t="inlineStr">
        <is>
          <t>Water treatment building: rooftop HVAC, exhaust fans, vents</t>
        </is>
      </c>
      <c r="I6258" s="12" t="inlineStr">
        <is>
          <t>Instrumentation</t>
        </is>
      </c>
      <c r="J6258" s="12" t="inlineStr">
        <is>
          <t>Instrumentation PLTC / TC-ER 300 V, #18 twisted shielded pairs, overall shield</t>
        </is>
      </c>
      <c r="K6258" s="12" t="inlineStr">
        <is>
          <t>PLTC|24 pr|18</t>
        </is>
      </c>
      <c r="L6258" s="12" t="inlineStr">
        <is>
          <t>24 pr</t>
        </is>
      </c>
      <c r="M6258" s="12" t="inlineStr">
        <is>
          <t>18</t>
        </is>
      </c>
      <c r="N6258" s="12" t="n">
        <v>1</v>
      </c>
      <c r="O6258" s="12" t="n">
        <v>1</v>
      </c>
      <c r="P6258" s="12" t="n"/>
      <c r="Q6258" s="12" t="n"/>
      <c r="R6258" s="12" t="n"/>
      <c r="S6258" s="12" t="inlineStr">
        <is>
          <t>Duct bank</t>
        </is>
      </c>
      <c r="T6258" s="17" t="n">
        <v>985</v>
      </c>
      <c r="U6258" s="17" t="n">
        <v>32</v>
      </c>
      <c r="V6258" s="17">
        <f>ROUNDUP((T6258+U6258+2*'Read Me'!$B$13)*(1+'Read Me'!$B$12),-1)</f>
        <v/>
      </c>
      <c r="W6258" s="17">
        <f>V6258*N6258*O6258</f>
        <v/>
      </c>
      <c r="X6258" s="12">
        <f>IF(LEFT(I6258,2)="MV",2*N6258*IF(L6258="1/C",O6258,1),0)</f>
        <v/>
      </c>
      <c r="Y6258" s="12">
        <f>IF(OR(LEFT(K6258,4)="LVAX",LEFT(K6258,6)="MV15AX",LEFT(K6258,4)="CTAX",LEFT(K6258,2)="W|"),2*N6258*O6258,0)</f>
        <v/>
      </c>
      <c r="Z6258" s="12" t="inlineStr"/>
      <c r="AA6258" s="12">
        <f>N6258*O6258</f>
        <v/>
      </c>
    </row>
    <row r="6259">
      <c r="A6259" s="12" t="inlineStr">
        <is>
          <t>C-I-0133</t>
        </is>
      </c>
      <c r="B6259" s="12" t="inlineStr">
        <is>
          <t>C</t>
        </is>
      </c>
      <c r="C6259" s="12" t="inlineStr">
        <is>
          <t>Grid interface</t>
        </is>
      </c>
      <c r="D6259" s="12" t="inlineStr">
        <is>
          <t>Discrete device to JB JB-Water treatment bu-DI02: 20 x 1 pr (field cables)</t>
        </is>
      </c>
      <c r="E6259" s="12" t="inlineStr"/>
      <c r="F6259" s="12" t="inlineStr">
        <is>
          <t>Water treatment building: rooftop HVAC, exhaust fans, vents</t>
        </is>
      </c>
      <c r="G6259" s="12" t="inlineStr">
        <is>
          <t>JB-Water treatment bu-DI02</t>
        </is>
      </c>
      <c r="H6259" s="12" t="inlineStr">
        <is>
          <t>Water treatment building: rooftop HVAC, exhaust fans, vents</t>
        </is>
      </c>
      <c r="I6259" s="12" t="inlineStr">
        <is>
          <t>Instrumentation</t>
        </is>
      </c>
      <c r="J6259" s="12" t="inlineStr">
        <is>
          <t>Instrumentation PLTC / TC-ER 300 V, #18 twisted shielded pairs, overall shield</t>
        </is>
      </c>
      <c r="K6259" s="12" t="inlineStr">
        <is>
          <t>PLTC|1 pr|16</t>
        </is>
      </c>
      <c r="L6259" s="12" t="inlineStr">
        <is>
          <t>1 pr</t>
        </is>
      </c>
      <c r="M6259" s="12" t="inlineStr">
        <is>
          <t>16</t>
        </is>
      </c>
      <c r="N6259" s="12" t="n">
        <v>20</v>
      </c>
      <c r="O6259" s="12" t="n">
        <v>1</v>
      </c>
      <c r="P6259" s="12" t="n"/>
      <c r="Q6259" s="12" t="n"/>
      <c r="R6259" s="12" t="n"/>
      <c r="S6259" s="12" t="inlineStr">
        <is>
          <t>Tray / conduit</t>
        </is>
      </c>
      <c r="T6259" s="17" t="n">
        <v>162</v>
      </c>
      <c r="U6259" s="17" t="n">
        <v>10</v>
      </c>
      <c r="V6259" s="17">
        <f>ROUNDUP((T6259+U6259+2*'Read Me'!$B$13)*(1+'Read Me'!$B$12),-1)</f>
        <v/>
      </c>
      <c r="W6259" s="17">
        <f>V6259*N6259*O6259</f>
        <v/>
      </c>
      <c r="X6259" s="12">
        <f>IF(LEFT(I6259,2)="MV",2*N6259*IF(L6259="1/C",O6259,1),0)</f>
        <v/>
      </c>
      <c r="Y6259" s="12">
        <f>IF(OR(LEFT(K6259,4)="LVAX",LEFT(K6259,6)="MV15AX",LEFT(K6259,4)="CTAX",LEFT(K6259,2)="W|"),2*N6259*O6259,0)</f>
        <v/>
      </c>
      <c r="Z6259" s="12" t="inlineStr">
        <is>
          <t>device-to-JB field wiring, one cable per device</t>
        </is>
      </c>
      <c r="AA6259" s="12">
        <f>N6259*O6259</f>
        <v/>
      </c>
    </row>
    <row r="6260">
      <c r="A6260" s="12" t="inlineStr">
        <is>
          <t>C-I-0134</t>
        </is>
      </c>
      <c r="B6260" s="12" t="inlineStr">
        <is>
          <t>C</t>
        </is>
      </c>
      <c r="C6260" s="12" t="inlineStr">
        <is>
          <t>Grid interface</t>
        </is>
      </c>
      <c r="D6260" s="12" t="inlineStr">
        <is>
          <t>Home run JB-Water treatment bu-DI02 to the control / marshalling room</t>
        </is>
      </c>
      <c r="E6260" s="12" t="inlineStr">
        <is>
          <t>R1</t>
        </is>
      </c>
      <c r="F6260" s="12" t="inlineStr">
        <is>
          <t>R1: main electrical building (64 x 180 ft)</t>
        </is>
      </c>
      <c r="G6260" s="12" t="inlineStr">
        <is>
          <t>JB-Water treatment bu-DI02</t>
        </is>
      </c>
      <c r="H6260" s="12" t="inlineStr">
        <is>
          <t>Water treatment building: rooftop HVAC, exhaust fans, vents</t>
        </is>
      </c>
      <c r="I6260" s="12" t="inlineStr">
        <is>
          <t>Instrumentation</t>
        </is>
      </c>
      <c r="J6260" s="12" t="inlineStr">
        <is>
          <t>Instrumentation PLTC / TC-ER 300 V, #18 twisted shielded pairs, overall shield</t>
        </is>
      </c>
      <c r="K6260" s="12" t="inlineStr">
        <is>
          <t>PLTC|24 pr|18</t>
        </is>
      </c>
      <c r="L6260" s="12" t="inlineStr">
        <is>
          <t>24 pr</t>
        </is>
      </c>
      <c r="M6260" s="12" t="inlineStr">
        <is>
          <t>18</t>
        </is>
      </c>
      <c r="N6260" s="12" t="n">
        <v>1</v>
      </c>
      <c r="O6260" s="12" t="n">
        <v>1</v>
      </c>
      <c r="P6260" s="12" t="n"/>
      <c r="Q6260" s="12" t="n"/>
      <c r="R6260" s="12" t="n"/>
      <c r="S6260" s="12" t="inlineStr">
        <is>
          <t>Duct bank</t>
        </is>
      </c>
      <c r="T6260" s="17" t="n">
        <v>985</v>
      </c>
      <c r="U6260" s="17" t="n">
        <v>32</v>
      </c>
      <c r="V6260" s="17">
        <f>ROUNDUP((T6260+U6260+2*'Read Me'!$B$13)*(1+'Read Me'!$B$12),-1)</f>
        <v/>
      </c>
      <c r="W6260" s="17">
        <f>V6260*N6260*O6260</f>
        <v/>
      </c>
      <c r="X6260" s="12">
        <f>IF(LEFT(I6260,2)="MV",2*N6260*IF(L6260="1/C",O6260,1),0)</f>
        <v/>
      </c>
      <c r="Y6260" s="12">
        <f>IF(OR(LEFT(K6260,4)="LVAX",LEFT(K6260,6)="MV15AX",LEFT(K6260,4)="CTAX",LEFT(K6260,2)="W|"),2*N6260*O6260,0)</f>
        <v/>
      </c>
      <c r="Z6260" s="12" t="inlineStr"/>
      <c r="AA6260" s="12">
        <f>N6260*O6260</f>
        <v/>
      </c>
    </row>
    <row r="6261">
      <c r="A6261" s="12" t="inlineStr">
        <is>
          <t>C-I-0135</t>
        </is>
      </c>
      <c r="B6261" s="12" t="inlineStr">
        <is>
          <t>C</t>
        </is>
      </c>
      <c r="C6261" s="12" t="inlineStr">
        <is>
          <t>Grid interface</t>
        </is>
      </c>
      <c r="D6261" s="12" t="inlineStr">
        <is>
          <t>Discrete device to JB JB-Water treatment bu-DI03: 20 x 1 pr (field cables)</t>
        </is>
      </c>
      <c r="E6261" s="12" t="inlineStr"/>
      <c r="F6261" s="12" t="inlineStr">
        <is>
          <t>Water treatment building: rooftop HVAC, exhaust fans, vents</t>
        </is>
      </c>
      <c r="G6261" s="12" t="inlineStr">
        <is>
          <t>JB-Water treatment bu-DI03</t>
        </is>
      </c>
      <c r="H6261" s="12" t="inlineStr">
        <is>
          <t>Water treatment building: rooftop HVAC, exhaust fans, vents</t>
        </is>
      </c>
      <c r="I6261" s="12" t="inlineStr">
        <is>
          <t>Instrumentation</t>
        </is>
      </c>
      <c r="J6261" s="12" t="inlineStr">
        <is>
          <t>Instrumentation PLTC / TC-ER 300 V, #18 twisted shielded pairs, overall shield</t>
        </is>
      </c>
      <c r="K6261" s="12" t="inlineStr">
        <is>
          <t>PLTC|1 pr|16</t>
        </is>
      </c>
      <c r="L6261" s="12" t="inlineStr">
        <is>
          <t>1 pr</t>
        </is>
      </c>
      <c r="M6261" s="12" t="inlineStr">
        <is>
          <t>16</t>
        </is>
      </c>
      <c r="N6261" s="12" t="n">
        <v>20</v>
      </c>
      <c r="O6261" s="12" t="n">
        <v>1</v>
      </c>
      <c r="P6261" s="12" t="n"/>
      <c r="Q6261" s="12" t="n"/>
      <c r="R6261" s="12" t="n"/>
      <c r="S6261" s="12" t="inlineStr">
        <is>
          <t>Tray / conduit</t>
        </is>
      </c>
      <c r="T6261" s="17" t="n">
        <v>162</v>
      </c>
      <c r="U6261" s="17" t="n">
        <v>10</v>
      </c>
      <c r="V6261" s="17">
        <f>ROUNDUP((T6261+U6261+2*'Read Me'!$B$13)*(1+'Read Me'!$B$12),-1)</f>
        <v/>
      </c>
      <c r="W6261" s="17">
        <f>V6261*N6261*O6261</f>
        <v/>
      </c>
      <c r="X6261" s="12">
        <f>IF(LEFT(I6261,2)="MV",2*N6261*IF(L6261="1/C",O6261,1),0)</f>
        <v/>
      </c>
      <c r="Y6261" s="12">
        <f>IF(OR(LEFT(K6261,4)="LVAX",LEFT(K6261,6)="MV15AX",LEFT(K6261,4)="CTAX",LEFT(K6261,2)="W|"),2*N6261*O6261,0)</f>
        <v/>
      </c>
      <c r="Z6261" s="12" t="inlineStr">
        <is>
          <t>device-to-JB field wiring, one cable per device</t>
        </is>
      </c>
      <c r="AA6261" s="12">
        <f>N6261*O6261</f>
        <v/>
      </c>
    </row>
    <row r="6262">
      <c r="A6262" s="12" t="inlineStr">
        <is>
          <t>C-I-0136</t>
        </is>
      </c>
      <c r="B6262" s="12" t="inlineStr">
        <is>
          <t>C</t>
        </is>
      </c>
      <c r="C6262" s="12" t="inlineStr">
        <is>
          <t>Grid interface</t>
        </is>
      </c>
      <c r="D6262" s="12" t="inlineStr">
        <is>
          <t>Home run JB-Water treatment bu-DI03 to the control / marshalling room</t>
        </is>
      </c>
      <c r="E6262" s="12" t="inlineStr">
        <is>
          <t>R1</t>
        </is>
      </c>
      <c r="F6262" s="12" t="inlineStr">
        <is>
          <t>R1: main electrical building (64 x 180 ft)</t>
        </is>
      </c>
      <c r="G6262" s="12" t="inlineStr">
        <is>
          <t>JB-Water treatment bu-DI03</t>
        </is>
      </c>
      <c r="H6262" s="12" t="inlineStr">
        <is>
          <t>Water treatment building: rooftop HVAC, exhaust fans, vents</t>
        </is>
      </c>
      <c r="I6262" s="12" t="inlineStr">
        <is>
          <t>Instrumentation</t>
        </is>
      </c>
      <c r="J6262" s="12" t="inlineStr">
        <is>
          <t>Instrumentation PLTC / TC-ER 300 V, #18 twisted shielded pairs, overall shield</t>
        </is>
      </c>
      <c r="K6262" s="12" t="inlineStr">
        <is>
          <t>PLTC|24 pr|18</t>
        </is>
      </c>
      <c r="L6262" s="12" t="inlineStr">
        <is>
          <t>24 pr</t>
        </is>
      </c>
      <c r="M6262" s="12" t="inlineStr">
        <is>
          <t>18</t>
        </is>
      </c>
      <c r="N6262" s="12" t="n">
        <v>1</v>
      </c>
      <c r="O6262" s="12" t="n">
        <v>1</v>
      </c>
      <c r="P6262" s="12" t="n"/>
      <c r="Q6262" s="12" t="n"/>
      <c r="R6262" s="12" t="n"/>
      <c r="S6262" s="12" t="inlineStr">
        <is>
          <t>Duct bank</t>
        </is>
      </c>
      <c r="T6262" s="17" t="n">
        <v>985</v>
      </c>
      <c r="U6262" s="17" t="n">
        <v>32</v>
      </c>
      <c r="V6262" s="17">
        <f>ROUNDUP((T6262+U6262+2*'Read Me'!$B$13)*(1+'Read Me'!$B$12),-1)</f>
        <v/>
      </c>
      <c r="W6262" s="17">
        <f>V6262*N6262*O6262</f>
        <v/>
      </c>
      <c r="X6262" s="12">
        <f>IF(LEFT(I6262,2)="MV",2*N6262*IF(L6262="1/C",O6262,1),0)</f>
        <v/>
      </c>
      <c r="Y6262" s="12">
        <f>IF(OR(LEFT(K6262,4)="LVAX",LEFT(K6262,6)="MV15AX",LEFT(K6262,4)="CTAX",LEFT(K6262,2)="W|"),2*N6262*O6262,0)</f>
        <v/>
      </c>
      <c r="Z6262" s="12" t="inlineStr"/>
      <c r="AA6262" s="12">
        <f>N6262*O6262</f>
        <v/>
      </c>
    </row>
    <row r="6263">
      <c r="A6263" s="12" t="inlineStr">
        <is>
          <t>C-I-0137</t>
        </is>
      </c>
      <c r="B6263" s="12" t="inlineStr">
        <is>
          <t>C</t>
        </is>
      </c>
      <c r="C6263" s="12" t="inlineStr">
        <is>
          <t>Grid interface</t>
        </is>
      </c>
      <c r="D6263" s="12" t="inlineStr">
        <is>
          <t>Discrete device to JB JB-Water treatment bu-DI04: 20 x 1 pr (field cables)</t>
        </is>
      </c>
      <c r="E6263" s="12" t="inlineStr"/>
      <c r="F6263" s="12" t="inlineStr">
        <is>
          <t>Water treatment building: rooftop HVAC, exhaust fans, vents</t>
        </is>
      </c>
      <c r="G6263" s="12" t="inlineStr">
        <is>
          <t>JB-Water treatment bu-DI04</t>
        </is>
      </c>
      <c r="H6263" s="12" t="inlineStr">
        <is>
          <t>Water treatment building: rooftop HVAC, exhaust fans, vents</t>
        </is>
      </c>
      <c r="I6263" s="12" t="inlineStr">
        <is>
          <t>Instrumentation</t>
        </is>
      </c>
      <c r="J6263" s="12" t="inlineStr">
        <is>
          <t>Instrumentation PLTC / TC-ER 300 V, #18 twisted shielded pairs, overall shield</t>
        </is>
      </c>
      <c r="K6263" s="12" t="inlineStr">
        <is>
          <t>PLTC|1 pr|16</t>
        </is>
      </c>
      <c r="L6263" s="12" t="inlineStr">
        <is>
          <t>1 pr</t>
        </is>
      </c>
      <c r="M6263" s="12" t="inlineStr">
        <is>
          <t>16</t>
        </is>
      </c>
      <c r="N6263" s="12" t="n">
        <v>20</v>
      </c>
      <c r="O6263" s="12" t="n">
        <v>1</v>
      </c>
      <c r="P6263" s="12" t="n"/>
      <c r="Q6263" s="12" t="n"/>
      <c r="R6263" s="12" t="n"/>
      <c r="S6263" s="12" t="inlineStr">
        <is>
          <t>Tray / conduit</t>
        </is>
      </c>
      <c r="T6263" s="17" t="n">
        <v>162</v>
      </c>
      <c r="U6263" s="17" t="n">
        <v>10</v>
      </c>
      <c r="V6263" s="17">
        <f>ROUNDUP((T6263+U6263+2*'Read Me'!$B$13)*(1+'Read Me'!$B$12),-1)</f>
        <v/>
      </c>
      <c r="W6263" s="17">
        <f>V6263*N6263*O6263</f>
        <v/>
      </c>
      <c r="X6263" s="12">
        <f>IF(LEFT(I6263,2)="MV",2*N6263*IF(L6263="1/C",O6263,1),0)</f>
        <v/>
      </c>
      <c r="Y6263" s="12">
        <f>IF(OR(LEFT(K6263,4)="LVAX",LEFT(K6263,6)="MV15AX",LEFT(K6263,4)="CTAX",LEFT(K6263,2)="W|"),2*N6263*O6263,0)</f>
        <v/>
      </c>
      <c r="Z6263" s="12" t="inlineStr">
        <is>
          <t>device-to-JB field wiring, one cable per device</t>
        </is>
      </c>
      <c r="AA6263" s="12">
        <f>N6263*O6263</f>
        <v/>
      </c>
    </row>
    <row r="6264">
      <c r="A6264" s="12" t="inlineStr">
        <is>
          <t>C-I-0138</t>
        </is>
      </c>
      <c r="B6264" s="12" t="inlineStr">
        <is>
          <t>C</t>
        </is>
      </c>
      <c r="C6264" s="12" t="inlineStr">
        <is>
          <t>Grid interface</t>
        </is>
      </c>
      <c r="D6264" s="12" t="inlineStr">
        <is>
          <t>Home run JB-Water treatment bu-DI04 to the control / marshalling room</t>
        </is>
      </c>
      <c r="E6264" s="12" t="inlineStr">
        <is>
          <t>R1</t>
        </is>
      </c>
      <c r="F6264" s="12" t="inlineStr">
        <is>
          <t>R1: main electrical building (64 x 180 ft)</t>
        </is>
      </c>
      <c r="G6264" s="12" t="inlineStr">
        <is>
          <t>JB-Water treatment bu-DI04</t>
        </is>
      </c>
      <c r="H6264" s="12" t="inlineStr">
        <is>
          <t>Water treatment building: rooftop HVAC, exhaust fans, vents</t>
        </is>
      </c>
      <c r="I6264" s="12" t="inlineStr">
        <is>
          <t>Instrumentation</t>
        </is>
      </c>
      <c r="J6264" s="12" t="inlineStr">
        <is>
          <t>Instrumentation PLTC / TC-ER 300 V, #18 twisted shielded pairs, overall shield</t>
        </is>
      </c>
      <c r="K6264" s="12" t="inlineStr">
        <is>
          <t>PLTC|24 pr|18</t>
        </is>
      </c>
      <c r="L6264" s="12" t="inlineStr">
        <is>
          <t>24 pr</t>
        </is>
      </c>
      <c r="M6264" s="12" t="inlineStr">
        <is>
          <t>18</t>
        </is>
      </c>
      <c r="N6264" s="12" t="n">
        <v>1</v>
      </c>
      <c r="O6264" s="12" t="n">
        <v>1</v>
      </c>
      <c r="P6264" s="12" t="n"/>
      <c r="Q6264" s="12" t="n"/>
      <c r="R6264" s="12" t="n"/>
      <c r="S6264" s="12" t="inlineStr">
        <is>
          <t>Duct bank</t>
        </is>
      </c>
      <c r="T6264" s="17" t="n">
        <v>985</v>
      </c>
      <c r="U6264" s="17" t="n">
        <v>32</v>
      </c>
      <c r="V6264" s="17">
        <f>ROUNDUP((T6264+U6264+2*'Read Me'!$B$13)*(1+'Read Me'!$B$12),-1)</f>
        <v/>
      </c>
      <c r="W6264" s="17">
        <f>V6264*N6264*O6264</f>
        <v/>
      </c>
      <c r="X6264" s="12">
        <f>IF(LEFT(I6264,2)="MV",2*N6264*IF(L6264="1/C",O6264,1),0)</f>
        <v/>
      </c>
      <c r="Y6264" s="12">
        <f>IF(OR(LEFT(K6264,4)="LVAX",LEFT(K6264,6)="MV15AX",LEFT(K6264,4)="CTAX",LEFT(K6264,2)="W|"),2*N6264*O6264,0)</f>
        <v/>
      </c>
      <c r="Z6264" s="12" t="inlineStr"/>
      <c r="AA6264" s="12">
        <f>N6264*O6264</f>
        <v/>
      </c>
    </row>
    <row r="6265">
      <c r="A6265" s="12" t="inlineStr">
        <is>
          <t>C-P-0006</t>
        </is>
      </c>
      <c r="B6265" s="12" t="inlineStr">
        <is>
          <t>C</t>
        </is>
      </c>
      <c r="C6265" s="12" t="inlineStr">
        <is>
          <t>Grid interface</t>
        </is>
      </c>
      <c r="D6265" s="12" t="inlineStr">
        <is>
          <t>Motor 1 of 10, 30 kW</t>
        </is>
      </c>
      <c r="E6265" s="12" t="inlineStr">
        <is>
          <t>MCC-C1</t>
        </is>
      </c>
      <c r="F6265" s="12" t="inlineStr">
        <is>
          <t>R1 MCC-C1</t>
        </is>
      </c>
      <c r="G6265" s="12" t="inlineStr"/>
      <c r="H6265" s="12" t="inlineStr">
        <is>
          <t xml:space="preserve">CO2 compression 3 x ~19 MW + dehydration: rooftop HVAC, exhaust fans, </t>
        </is>
      </c>
      <c r="I6265" s="12" t="inlineStr">
        <is>
          <t>LV 600 V</t>
        </is>
      </c>
      <c r="J6265" s="12" t="inlineStr">
        <is>
          <t>Type TC-ER 600 V 3/C Cu XHHW-2 + ground, PVC jacket</t>
        </is>
      </c>
      <c r="K6265" s="12" t="inlineStr">
        <is>
          <t>LV|3/C+G|3/0</t>
        </is>
      </c>
      <c r="L6265" s="12" t="inlineStr">
        <is>
          <t>3/C+G</t>
        </is>
      </c>
      <c r="M6265" s="12" t="inlineStr">
        <is>
          <t>3/0</t>
        </is>
      </c>
      <c r="N6265" s="12" t="n">
        <v>1</v>
      </c>
      <c r="O6265" s="12" t="n">
        <v>1</v>
      </c>
      <c r="P6265" s="12" t="n">
        <v>480</v>
      </c>
      <c r="Q6265" s="12" t="n">
        <v>30</v>
      </c>
      <c r="R6265" s="12" t="n">
        <v>42.5</v>
      </c>
      <c r="S6265" s="12" t="inlineStr">
        <is>
          <t>Tray</t>
        </is>
      </c>
      <c r="T6265" s="17" t="n">
        <v>1744</v>
      </c>
      <c r="U6265" s="17" t="n">
        <v>161</v>
      </c>
      <c r="V6265" s="17">
        <f>ROUNDUP((T6265+U6265+2*'Read Me'!$B$13)*(1+'Read Me'!$B$12),-1)</f>
        <v/>
      </c>
      <c r="W6265" s="17">
        <f>V6265*N6265*O6265</f>
        <v/>
      </c>
      <c r="X6265" s="12">
        <f>IF(LEFT(I6265,2)="MV",2*N6265*IF(L6265="1/C",O6265,1),0)</f>
        <v/>
      </c>
      <c r="Y6265" s="12">
        <f>IF(OR(LEFT(K6265,4)="LVAX",LEFT(K6265,6)="MV15AX",LEFT(K6265,4)="CTAX",LEFT(K6265,2)="W|"),2*N6265*O6265,0)</f>
        <v/>
      </c>
      <c r="Z6265" s="12" t="inlineStr">
        <is>
          <t>VD 2.5 %</t>
        </is>
      </c>
      <c r="AA6265" s="12">
        <f>N6265*O6265</f>
        <v/>
      </c>
    </row>
    <row r="6266">
      <c r="A6266" s="12" t="inlineStr">
        <is>
          <t>C-P-0007</t>
        </is>
      </c>
      <c r="B6266" s="12" t="inlineStr">
        <is>
          <t>C</t>
        </is>
      </c>
      <c r="C6266" s="12" t="inlineStr">
        <is>
          <t>Grid interface</t>
        </is>
      </c>
      <c r="D6266" s="12" t="inlineStr">
        <is>
          <t>Motor 2 of 10, 30 kW</t>
        </is>
      </c>
      <c r="E6266" s="12" t="inlineStr">
        <is>
          <t>MCC-C1</t>
        </is>
      </c>
      <c r="F6266" s="12" t="inlineStr">
        <is>
          <t>R1 MCC-C1</t>
        </is>
      </c>
      <c r="G6266" s="12" t="inlineStr"/>
      <c r="H6266" s="12" t="inlineStr">
        <is>
          <t xml:space="preserve">CO2 compression 3 x ~19 MW + dehydration: rooftop HVAC, exhaust fans, </t>
        </is>
      </c>
      <c r="I6266" s="12" t="inlineStr">
        <is>
          <t>LV 600 V</t>
        </is>
      </c>
      <c r="J6266" s="12" t="inlineStr">
        <is>
          <t>Type TC-ER 600 V 3/C Cu XHHW-2 + ground, PVC jacket</t>
        </is>
      </c>
      <c r="K6266" s="12" t="inlineStr">
        <is>
          <t>LV|3/C+G|3/0</t>
        </is>
      </c>
      <c r="L6266" s="12" t="inlineStr">
        <is>
          <t>3/C+G</t>
        </is>
      </c>
      <c r="M6266" s="12" t="inlineStr">
        <is>
          <t>3/0</t>
        </is>
      </c>
      <c r="N6266" s="12" t="n">
        <v>1</v>
      </c>
      <c r="O6266" s="12" t="n">
        <v>1</v>
      </c>
      <c r="P6266" s="12" t="n">
        <v>480</v>
      </c>
      <c r="Q6266" s="12" t="n">
        <v>30</v>
      </c>
      <c r="R6266" s="12" t="n">
        <v>42.5</v>
      </c>
      <c r="S6266" s="12" t="inlineStr">
        <is>
          <t>Tray</t>
        </is>
      </c>
      <c r="T6266" s="17" t="n">
        <v>1744</v>
      </c>
      <c r="U6266" s="17" t="n">
        <v>161</v>
      </c>
      <c r="V6266" s="17">
        <f>ROUNDUP((T6266+U6266+2*'Read Me'!$B$13)*(1+'Read Me'!$B$12),-1)</f>
        <v/>
      </c>
      <c r="W6266" s="17">
        <f>V6266*N6266*O6266</f>
        <v/>
      </c>
      <c r="X6266" s="12">
        <f>IF(LEFT(I6266,2)="MV",2*N6266*IF(L6266="1/C",O6266,1),0)</f>
        <v/>
      </c>
      <c r="Y6266" s="12">
        <f>IF(OR(LEFT(K6266,4)="LVAX",LEFT(K6266,6)="MV15AX",LEFT(K6266,4)="CTAX",LEFT(K6266,2)="W|"),2*N6266*O6266,0)</f>
        <v/>
      </c>
      <c r="Z6266" s="12" t="inlineStr">
        <is>
          <t>VD 2.5 %</t>
        </is>
      </c>
      <c r="AA6266" s="12">
        <f>N6266*O6266</f>
        <v/>
      </c>
    </row>
    <row r="6267">
      <c r="A6267" s="12" t="inlineStr">
        <is>
          <t>C-P-0008</t>
        </is>
      </c>
      <c r="B6267" s="12" t="inlineStr">
        <is>
          <t>C</t>
        </is>
      </c>
      <c r="C6267" s="12" t="inlineStr">
        <is>
          <t>Grid interface</t>
        </is>
      </c>
      <c r="D6267" s="12" t="inlineStr">
        <is>
          <t>Motor 3 of 10, 30 kW</t>
        </is>
      </c>
      <c r="E6267" s="12" t="inlineStr">
        <is>
          <t>MCC-C1</t>
        </is>
      </c>
      <c r="F6267" s="12" t="inlineStr">
        <is>
          <t>R1 MCC-C1</t>
        </is>
      </c>
      <c r="G6267" s="12" t="inlineStr"/>
      <c r="H6267" s="12" t="inlineStr">
        <is>
          <t xml:space="preserve">CO2 compression 3 x ~19 MW + dehydration: rooftop HVAC, exhaust fans, </t>
        </is>
      </c>
      <c r="I6267" s="12" t="inlineStr">
        <is>
          <t>LV 600 V</t>
        </is>
      </c>
      <c r="J6267" s="12" t="inlineStr">
        <is>
          <t>Type TC-ER 600 V 3/C Cu XHHW-2 + ground, PVC jacket</t>
        </is>
      </c>
      <c r="K6267" s="12" t="inlineStr">
        <is>
          <t>LV|3/C+G|3/0</t>
        </is>
      </c>
      <c r="L6267" s="12" t="inlineStr">
        <is>
          <t>3/C+G</t>
        </is>
      </c>
      <c r="M6267" s="12" t="inlineStr">
        <is>
          <t>3/0</t>
        </is>
      </c>
      <c r="N6267" s="12" t="n">
        <v>1</v>
      </c>
      <c r="O6267" s="12" t="n">
        <v>1</v>
      </c>
      <c r="P6267" s="12" t="n">
        <v>480</v>
      </c>
      <c r="Q6267" s="12" t="n">
        <v>30</v>
      </c>
      <c r="R6267" s="12" t="n">
        <v>42.5</v>
      </c>
      <c r="S6267" s="12" t="inlineStr">
        <is>
          <t>Tray</t>
        </is>
      </c>
      <c r="T6267" s="17" t="n">
        <v>1744</v>
      </c>
      <c r="U6267" s="17" t="n">
        <v>161</v>
      </c>
      <c r="V6267" s="17">
        <f>ROUNDUP((T6267+U6267+2*'Read Me'!$B$13)*(1+'Read Me'!$B$12),-1)</f>
        <v/>
      </c>
      <c r="W6267" s="17">
        <f>V6267*N6267*O6267</f>
        <v/>
      </c>
      <c r="X6267" s="12">
        <f>IF(LEFT(I6267,2)="MV",2*N6267*IF(L6267="1/C",O6267,1),0)</f>
        <v/>
      </c>
      <c r="Y6267" s="12">
        <f>IF(OR(LEFT(K6267,4)="LVAX",LEFT(K6267,6)="MV15AX",LEFT(K6267,4)="CTAX",LEFT(K6267,2)="W|"),2*N6267*O6267,0)</f>
        <v/>
      </c>
      <c r="Z6267" s="12" t="inlineStr">
        <is>
          <t>VD 2.5 %</t>
        </is>
      </c>
      <c r="AA6267" s="12">
        <f>N6267*O6267</f>
        <v/>
      </c>
    </row>
    <row r="6268">
      <c r="A6268" s="12" t="inlineStr">
        <is>
          <t>C-P-0009</t>
        </is>
      </c>
      <c r="B6268" s="12" t="inlineStr">
        <is>
          <t>C</t>
        </is>
      </c>
      <c r="C6268" s="12" t="inlineStr">
        <is>
          <t>Grid interface</t>
        </is>
      </c>
      <c r="D6268" s="12" t="inlineStr">
        <is>
          <t>Motor 4 of 10, 30 kW</t>
        </is>
      </c>
      <c r="E6268" s="12" t="inlineStr">
        <is>
          <t>MCC-C1</t>
        </is>
      </c>
      <c r="F6268" s="12" t="inlineStr">
        <is>
          <t>R1 MCC-C1</t>
        </is>
      </c>
      <c r="G6268" s="12" t="inlineStr"/>
      <c r="H6268" s="12" t="inlineStr">
        <is>
          <t xml:space="preserve">CO2 compression 3 x ~19 MW + dehydration: rooftop HVAC, exhaust fans, </t>
        </is>
      </c>
      <c r="I6268" s="12" t="inlineStr">
        <is>
          <t>LV 600 V</t>
        </is>
      </c>
      <c r="J6268" s="12" t="inlineStr">
        <is>
          <t>Type TC-ER 600 V 3/C Cu XHHW-2 + ground, PVC jacket</t>
        </is>
      </c>
      <c r="K6268" s="12" t="inlineStr">
        <is>
          <t>LV|3/C+G|3/0</t>
        </is>
      </c>
      <c r="L6268" s="12" t="inlineStr">
        <is>
          <t>3/C+G</t>
        </is>
      </c>
      <c r="M6268" s="12" t="inlineStr">
        <is>
          <t>3/0</t>
        </is>
      </c>
      <c r="N6268" s="12" t="n">
        <v>1</v>
      </c>
      <c r="O6268" s="12" t="n">
        <v>1</v>
      </c>
      <c r="P6268" s="12" t="n">
        <v>480</v>
      </c>
      <c r="Q6268" s="12" t="n">
        <v>30</v>
      </c>
      <c r="R6268" s="12" t="n">
        <v>42.5</v>
      </c>
      <c r="S6268" s="12" t="inlineStr">
        <is>
          <t>Tray</t>
        </is>
      </c>
      <c r="T6268" s="17" t="n">
        <v>1744</v>
      </c>
      <c r="U6268" s="17" t="n">
        <v>161</v>
      </c>
      <c r="V6268" s="17">
        <f>ROUNDUP((T6268+U6268+2*'Read Me'!$B$13)*(1+'Read Me'!$B$12),-1)</f>
        <v/>
      </c>
      <c r="W6268" s="17">
        <f>V6268*N6268*O6268</f>
        <v/>
      </c>
      <c r="X6268" s="12">
        <f>IF(LEFT(I6268,2)="MV",2*N6268*IF(L6268="1/C",O6268,1),0)</f>
        <v/>
      </c>
      <c r="Y6268" s="12">
        <f>IF(OR(LEFT(K6268,4)="LVAX",LEFT(K6268,6)="MV15AX",LEFT(K6268,4)="CTAX",LEFT(K6268,2)="W|"),2*N6268*O6268,0)</f>
        <v/>
      </c>
      <c r="Z6268" s="12" t="inlineStr">
        <is>
          <t>VD 2.5 %</t>
        </is>
      </c>
      <c r="AA6268" s="12">
        <f>N6268*O6268</f>
        <v/>
      </c>
    </row>
    <row r="6269">
      <c r="A6269" s="12" t="inlineStr">
        <is>
          <t>C-P-0010</t>
        </is>
      </c>
      <c r="B6269" s="12" t="inlineStr">
        <is>
          <t>C</t>
        </is>
      </c>
      <c r="C6269" s="12" t="inlineStr">
        <is>
          <t>Grid interface</t>
        </is>
      </c>
      <c r="D6269" s="12" t="inlineStr">
        <is>
          <t>Motor 5 of 10, 30 kW</t>
        </is>
      </c>
      <c r="E6269" s="12" t="inlineStr">
        <is>
          <t>MCC-C1</t>
        </is>
      </c>
      <c r="F6269" s="12" t="inlineStr">
        <is>
          <t>R1 MCC-C1</t>
        </is>
      </c>
      <c r="G6269" s="12" t="inlineStr"/>
      <c r="H6269" s="12" t="inlineStr">
        <is>
          <t xml:space="preserve">CO2 compression 3 x ~19 MW + dehydration: rooftop HVAC, exhaust fans, </t>
        </is>
      </c>
      <c r="I6269" s="12" t="inlineStr">
        <is>
          <t>LV 600 V</t>
        </is>
      </c>
      <c r="J6269" s="12" t="inlineStr">
        <is>
          <t>Type TC-ER 600 V 3/C Cu XHHW-2 + ground, PVC jacket</t>
        </is>
      </c>
      <c r="K6269" s="12" t="inlineStr">
        <is>
          <t>LV|3/C+G|3/0</t>
        </is>
      </c>
      <c r="L6269" s="12" t="inlineStr">
        <is>
          <t>3/C+G</t>
        </is>
      </c>
      <c r="M6269" s="12" t="inlineStr">
        <is>
          <t>3/0</t>
        </is>
      </c>
      <c r="N6269" s="12" t="n">
        <v>1</v>
      </c>
      <c r="O6269" s="12" t="n">
        <v>1</v>
      </c>
      <c r="P6269" s="12" t="n">
        <v>480</v>
      </c>
      <c r="Q6269" s="12" t="n">
        <v>30</v>
      </c>
      <c r="R6269" s="12" t="n">
        <v>42.5</v>
      </c>
      <c r="S6269" s="12" t="inlineStr">
        <is>
          <t>Tray</t>
        </is>
      </c>
      <c r="T6269" s="17" t="n">
        <v>1744</v>
      </c>
      <c r="U6269" s="17" t="n">
        <v>161</v>
      </c>
      <c r="V6269" s="17">
        <f>ROUNDUP((T6269+U6269+2*'Read Me'!$B$13)*(1+'Read Me'!$B$12),-1)</f>
        <v/>
      </c>
      <c r="W6269" s="17">
        <f>V6269*N6269*O6269</f>
        <v/>
      </c>
      <c r="X6269" s="12">
        <f>IF(LEFT(I6269,2)="MV",2*N6269*IF(L6269="1/C",O6269,1),0)</f>
        <v/>
      </c>
      <c r="Y6269" s="12">
        <f>IF(OR(LEFT(K6269,4)="LVAX",LEFT(K6269,6)="MV15AX",LEFT(K6269,4)="CTAX",LEFT(K6269,2)="W|"),2*N6269*O6269,0)</f>
        <v/>
      </c>
      <c r="Z6269" s="12" t="inlineStr">
        <is>
          <t>VD 2.5 %</t>
        </is>
      </c>
      <c r="AA6269" s="12">
        <f>N6269*O6269</f>
        <v/>
      </c>
    </row>
    <row r="6270">
      <c r="A6270" s="12" t="inlineStr">
        <is>
          <t>C-P-0011</t>
        </is>
      </c>
      <c r="B6270" s="12" t="inlineStr">
        <is>
          <t>C</t>
        </is>
      </c>
      <c r="C6270" s="12" t="inlineStr">
        <is>
          <t>Grid interface</t>
        </is>
      </c>
      <c r="D6270" s="12" t="inlineStr">
        <is>
          <t>Motor 6 of 10, 30 kW</t>
        </is>
      </c>
      <c r="E6270" s="12" t="inlineStr">
        <is>
          <t>MCC-C1</t>
        </is>
      </c>
      <c r="F6270" s="12" t="inlineStr">
        <is>
          <t>R1 MCC-C1</t>
        </is>
      </c>
      <c r="G6270" s="12" t="inlineStr"/>
      <c r="H6270" s="12" t="inlineStr">
        <is>
          <t xml:space="preserve">CO2 compression 3 x ~19 MW + dehydration: rooftop HVAC, exhaust fans, </t>
        </is>
      </c>
      <c r="I6270" s="12" t="inlineStr">
        <is>
          <t>LV 600 V</t>
        </is>
      </c>
      <c r="J6270" s="12" t="inlineStr">
        <is>
          <t>Type TC-ER 600 V 3/C Cu XHHW-2 + ground, PVC jacket</t>
        </is>
      </c>
      <c r="K6270" s="12" t="inlineStr">
        <is>
          <t>LV|3/C+G|3/0</t>
        </is>
      </c>
      <c r="L6270" s="12" t="inlineStr">
        <is>
          <t>3/C+G</t>
        </is>
      </c>
      <c r="M6270" s="12" t="inlineStr">
        <is>
          <t>3/0</t>
        </is>
      </c>
      <c r="N6270" s="12" t="n">
        <v>1</v>
      </c>
      <c r="O6270" s="12" t="n">
        <v>1</v>
      </c>
      <c r="P6270" s="12" t="n">
        <v>480</v>
      </c>
      <c r="Q6270" s="12" t="n">
        <v>30</v>
      </c>
      <c r="R6270" s="12" t="n">
        <v>42.5</v>
      </c>
      <c r="S6270" s="12" t="inlineStr">
        <is>
          <t>Tray</t>
        </is>
      </c>
      <c r="T6270" s="17" t="n">
        <v>1744</v>
      </c>
      <c r="U6270" s="17" t="n">
        <v>161</v>
      </c>
      <c r="V6270" s="17">
        <f>ROUNDUP((T6270+U6270+2*'Read Me'!$B$13)*(1+'Read Me'!$B$12),-1)</f>
        <v/>
      </c>
      <c r="W6270" s="17">
        <f>V6270*N6270*O6270</f>
        <v/>
      </c>
      <c r="X6270" s="12">
        <f>IF(LEFT(I6270,2)="MV",2*N6270*IF(L6270="1/C",O6270,1),0)</f>
        <v/>
      </c>
      <c r="Y6270" s="12">
        <f>IF(OR(LEFT(K6270,4)="LVAX",LEFT(K6270,6)="MV15AX",LEFT(K6270,4)="CTAX",LEFT(K6270,2)="W|"),2*N6270*O6270,0)</f>
        <v/>
      </c>
      <c r="Z6270" s="12" t="inlineStr">
        <is>
          <t>VD 2.5 %</t>
        </is>
      </c>
      <c r="AA6270" s="12">
        <f>N6270*O6270</f>
        <v/>
      </c>
    </row>
    <row r="6271">
      <c r="A6271" s="12" t="inlineStr">
        <is>
          <t>C-P-0012</t>
        </is>
      </c>
      <c r="B6271" s="12" t="inlineStr">
        <is>
          <t>C</t>
        </is>
      </c>
      <c r="C6271" s="12" t="inlineStr">
        <is>
          <t>Grid interface</t>
        </is>
      </c>
      <c r="D6271" s="12" t="inlineStr">
        <is>
          <t>Motor 7 of 10, 30 kW</t>
        </is>
      </c>
      <c r="E6271" s="12" t="inlineStr">
        <is>
          <t>MCC-C1</t>
        </is>
      </c>
      <c r="F6271" s="12" t="inlineStr">
        <is>
          <t>R1 MCC-C1</t>
        </is>
      </c>
      <c r="G6271" s="12" t="inlineStr"/>
      <c r="H6271" s="12" t="inlineStr">
        <is>
          <t xml:space="preserve">CO2 compression 3 x ~19 MW + dehydration: rooftop HVAC, exhaust fans, </t>
        </is>
      </c>
      <c r="I6271" s="12" t="inlineStr">
        <is>
          <t>LV 600 V</t>
        </is>
      </c>
      <c r="J6271" s="12" t="inlineStr">
        <is>
          <t>Type TC-ER 600 V 3/C Cu XHHW-2 + ground, PVC jacket</t>
        </is>
      </c>
      <c r="K6271" s="12" t="inlineStr">
        <is>
          <t>LV|3/C+G|3/0</t>
        </is>
      </c>
      <c r="L6271" s="12" t="inlineStr">
        <is>
          <t>3/C+G</t>
        </is>
      </c>
      <c r="M6271" s="12" t="inlineStr">
        <is>
          <t>3/0</t>
        </is>
      </c>
      <c r="N6271" s="12" t="n">
        <v>1</v>
      </c>
      <c r="O6271" s="12" t="n">
        <v>1</v>
      </c>
      <c r="P6271" s="12" t="n">
        <v>480</v>
      </c>
      <c r="Q6271" s="12" t="n">
        <v>30</v>
      </c>
      <c r="R6271" s="12" t="n">
        <v>42.5</v>
      </c>
      <c r="S6271" s="12" t="inlineStr">
        <is>
          <t>Tray</t>
        </is>
      </c>
      <c r="T6271" s="17" t="n">
        <v>1744</v>
      </c>
      <c r="U6271" s="17" t="n">
        <v>161</v>
      </c>
      <c r="V6271" s="17">
        <f>ROUNDUP((T6271+U6271+2*'Read Me'!$B$13)*(1+'Read Me'!$B$12),-1)</f>
        <v/>
      </c>
      <c r="W6271" s="17">
        <f>V6271*N6271*O6271</f>
        <v/>
      </c>
      <c r="X6271" s="12">
        <f>IF(LEFT(I6271,2)="MV",2*N6271*IF(L6271="1/C",O6271,1),0)</f>
        <v/>
      </c>
      <c r="Y6271" s="12">
        <f>IF(OR(LEFT(K6271,4)="LVAX",LEFT(K6271,6)="MV15AX",LEFT(K6271,4)="CTAX",LEFT(K6271,2)="W|"),2*N6271*O6271,0)</f>
        <v/>
      </c>
      <c r="Z6271" s="12" t="inlineStr">
        <is>
          <t>VD 2.5 %</t>
        </is>
      </c>
      <c r="AA6271" s="12">
        <f>N6271*O6271</f>
        <v/>
      </c>
    </row>
    <row r="6272">
      <c r="A6272" s="12" t="inlineStr">
        <is>
          <t>C-P-0013</t>
        </is>
      </c>
      <c r="B6272" s="12" t="inlineStr">
        <is>
          <t>C</t>
        </is>
      </c>
      <c r="C6272" s="12" t="inlineStr">
        <is>
          <t>Grid interface</t>
        </is>
      </c>
      <c r="D6272" s="12" t="inlineStr">
        <is>
          <t>Motor 8 of 10, 30 kW</t>
        </is>
      </c>
      <c r="E6272" s="12" t="inlineStr">
        <is>
          <t>MCC-C1</t>
        </is>
      </c>
      <c r="F6272" s="12" t="inlineStr">
        <is>
          <t>R1 MCC-C1</t>
        </is>
      </c>
      <c r="G6272" s="12" t="inlineStr"/>
      <c r="H6272" s="12" t="inlineStr">
        <is>
          <t xml:space="preserve">CO2 compression 3 x ~19 MW + dehydration: rooftop HVAC, exhaust fans, </t>
        </is>
      </c>
      <c r="I6272" s="12" t="inlineStr">
        <is>
          <t>LV 600 V</t>
        </is>
      </c>
      <c r="J6272" s="12" t="inlineStr">
        <is>
          <t>Type TC-ER 600 V 3/C Cu XHHW-2 + ground, PVC jacket</t>
        </is>
      </c>
      <c r="K6272" s="12" t="inlineStr">
        <is>
          <t>LV|3/C+G|3/0</t>
        </is>
      </c>
      <c r="L6272" s="12" t="inlineStr">
        <is>
          <t>3/C+G</t>
        </is>
      </c>
      <c r="M6272" s="12" t="inlineStr">
        <is>
          <t>3/0</t>
        </is>
      </c>
      <c r="N6272" s="12" t="n">
        <v>1</v>
      </c>
      <c r="O6272" s="12" t="n">
        <v>1</v>
      </c>
      <c r="P6272" s="12" t="n">
        <v>480</v>
      </c>
      <c r="Q6272" s="12" t="n">
        <v>30</v>
      </c>
      <c r="R6272" s="12" t="n">
        <v>42.5</v>
      </c>
      <c r="S6272" s="12" t="inlineStr">
        <is>
          <t>Tray</t>
        </is>
      </c>
      <c r="T6272" s="17" t="n">
        <v>1744</v>
      </c>
      <c r="U6272" s="17" t="n">
        <v>161</v>
      </c>
      <c r="V6272" s="17">
        <f>ROUNDUP((T6272+U6272+2*'Read Me'!$B$13)*(1+'Read Me'!$B$12),-1)</f>
        <v/>
      </c>
      <c r="W6272" s="17">
        <f>V6272*N6272*O6272</f>
        <v/>
      </c>
      <c r="X6272" s="12">
        <f>IF(LEFT(I6272,2)="MV",2*N6272*IF(L6272="1/C",O6272,1),0)</f>
        <v/>
      </c>
      <c r="Y6272" s="12">
        <f>IF(OR(LEFT(K6272,4)="LVAX",LEFT(K6272,6)="MV15AX",LEFT(K6272,4)="CTAX",LEFT(K6272,2)="W|"),2*N6272*O6272,0)</f>
        <v/>
      </c>
      <c r="Z6272" s="12" t="inlineStr">
        <is>
          <t>VD 2.5 %</t>
        </is>
      </c>
      <c r="AA6272" s="12">
        <f>N6272*O6272</f>
        <v/>
      </c>
    </row>
    <row r="6273">
      <c r="A6273" s="12" t="inlineStr">
        <is>
          <t>C-P-0014</t>
        </is>
      </c>
      <c r="B6273" s="12" t="inlineStr">
        <is>
          <t>C</t>
        </is>
      </c>
      <c r="C6273" s="12" t="inlineStr">
        <is>
          <t>Grid interface</t>
        </is>
      </c>
      <c r="D6273" s="12" t="inlineStr">
        <is>
          <t>Motor 9 of 10, 30 kW</t>
        </is>
      </c>
      <c r="E6273" s="12" t="inlineStr">
        <is>
          <t>MCC-C1</t>
        </is>
      </c>
      <c r="F6273" s="12" t="inlineStr">
        <is>
          <t>R1 MCC-C1</t>
        </is>
      </c>
      <c r="G6273" s="12" t="inlineStr"/>
      <c r="H6273" s="12" t="inlineStr">
        <is>
          <t xml:space="preserve">CO2 compression 3 x ~19 MW + dehydration: rooftop HVAC, exhaust fans, </t>
        </is>
      </c>
      <c r="I6273" s="12" t="inlineStr">
        <is>
          <t>LV 600 V</t>
        </is>
      </c>
      <c r="J6273" s="12" t="inlineStr">
        <is>
          <t>Type TC-ER 600 V 3/C Cu XHHW-2 + ground, PVC jacket</t>
        </is>
      </c>
      <c r="K6273" s="12" t="inlineStr">
        <is>
          <t>LV|3/C+G|3/0</t>
        </is>
      </c>
      <c r="L6273" s="12" t="inlineStr">
        <is>
          <t>3/C+G</t>
        </is>
      </c>
      <c r="M6273" s="12" t="inlineStr">
        <is>
          <t>3/0</t>
        </is>
      </c>
      <c r="N6273" s="12" t="n">
        <v>1</v>
      </c>
      <c r="O6273" s="12" t="n">
        <v>1</v>
      </c>
      <c r="P6273" s="12" t="n">
        <v>480</v>
      </c>
      <c r="Q6273" s="12" t="n">
        <v>30</v>
      </c>
      <c r="R6273" s="12" t="n">
        <v>42.5</v>
      </c>
      <c r="S6273" s="12" t="inlineStr">
        <is>
          <t>Tray</t>
        </is>
      </c>
      <c r="T6273" s="17" t="n">
        <v>1744</v>
      </c>
      <c r="U6273" s="17" t="n">
        <v>161</v>
      </c>
      <c r="V6273" s="17">
        <f>ROUNDUP((T6273+U6273+2*'Read Me'!$B$13)*(1+'Read Me'!$B$12),-1)</f>
        <v/>
      </c>
      <c r="W6273" s="17">
        <f>V6273*N6273*O6273</f>
        <v/>
      </c>
      <c r="X6273" s="12">
        <f>IF(LEFT(I6273,2)="MV",2*N6273*IF(L6273="1/C",O6273,1),0)</f>
        <v/>
      </c>
      <c r="Y6273" s="12">
        <f>IF(OR(LEFT(K6273,4)="LVAX",LEFT(K6273,6)="MV15AX",LEFT(K6273,4)="CTAX",LEFT(K6273,2)="W|"),2*N6273*O6273,0)</f>
        <v/>
      </c>
      <c r="Z6273" s="12" t="inlineStr">
        <is>
          <t>VD 2.5 %</t>
        </is>
      </c>
      <c r="AA6273" s="12">
        <f>N6273*O6273</f>
        <v/>
      </c>
    </row>
    <row r="6274">
      <c r="A6274" s="12" t="inlineStr">
        <is>
          <t>C-P-0015</t>
        </is>
      </c>
      <c r="B6274" s="12" t="inlineStr">
        <is>
          <t>C</t>
        </is>
      </c>
      <c r="C6274" s="12" t="inlineStr">
        <is>
          <t>Grid interface</t>
        </is>
      </c>
      <c r="D6274" s="12" t="inlineStr">
        <is>
          <t>Motor 10 of 10, 30 kW</t>
        </is>
      </c>
      <c r="E6274" s="12" t="inlineStr">
        <is>
          <t>MCC-C1</t>
        </is>
      </c>
      <c r="F6274" s="12" t="inlineStr">
        <is>
          <t>R1 MCC-C1</t>
        </is>
      </c>
      <c r="G6274" s="12" t="inlineStr"/>
      <c r="H6274" s="12" t="inlineStr">
        <is>
          <t xml:space="preserve">CO2 compression 3 x ~19 MW + dehydration: rooftop HVAC, exhaust fans, </t>
        </is>
      </c>
      <c r="I6274" s="12" t="inlineStr">
        <is>
          <t>LV 600 V</t>
        </is>
      </c>
      <c r="J6274" s="12" t="inlineStr">
        <is>
          <t>Type TC-ER 600 V 3/C Cu XHHW-2 + ground, PVC jacket</t>
        </is>
      </c>
      <c r="K6274" s="12" t="inlineStr">
        <is>
          <t>LV|3/C+G|3/0</t>
        </is>
      </c>
      <c r="L6274" s="12" t="inlineStr">
        <is>
          <t>3/C+G</t>
        </is>
      </c>
      <c r="M6274" s="12" t="inlineStr">
        <is>
          <t>3/0</t>
        </is>
      </c>
      <c r="N6274" s="12" t="n">
        <v>1</v>
      </c>
      <c r="O6274" s="12" t="n">
        <v>1</v>
      </c>
      <c r="P6274" s="12" t="n">
        <v>480</v>
      </c>
      <c r="Q6274" s="12" t="n">
        <v>30</v>
      </c>
      <c r="R6274" s="12" t="n">
        <v>42.5</v>
      </c>
      <c r="S6274" s="12" t="inlineStr">
        <is>
          <t>Tray</t>
        </is>
      </c>
      <c r="T6274" s="17" t="n">
        <v>1744</v>
      </c>
      <c r="U6274" s="17" t="n">
        <v>161</v>
      </c>
      <c r="V6274" s="17">
        <f>ROUNDUP((T6274+U6274+2*'Read Me'!$B$13)*(1+'Read Me'!$B$12),-1)</f>
        <v/>
      </c>
      <c r="W6274" s="17">
        <f>V6274*N6274*O6274</f>
        <v/>
      </c>
      <c r="X6274" s="12">
        <f>IF(LEFT(I6274,2)="MV",2*N6274*IF(L6274="1/C",O6274,1),0)</f>
        <v/>
      </c>
      <c r="Y6274" s="12">
        <f>IF(OR(LEFT(K6274,4)="LVAX",LEFT(K6274,6)="MV15AX",LEFT(K6274,4)="CTAX",LEFT(K6274,2)="W|"),2*N6274*O6274,0)</f>
        <v/>
      </c>
      <c r="Z6274" s="12" t="inlineStr">
        <is>
          <t>VD 2.5 %</t>
        </is>
      </c>
      <c r="AA6274" s="12">
        <f>N6274*O6274</f>
        <v/>
      </c>
    </row>
    <row r="6275">
      <c r="A6275" s="12" t="inlineStr">
        <is>
          <t>C-P-0016</t>
        </is>
      </c>
      <c r="B6275" s="12" t="inlineStr">
        <is>
          <t>C</t>
        </is>
      </c>
      <c r="C6275" s="12" t="inlineStr">
        <is>
          <t>Grid interface</t>
        </is>
      </c>
      <c r="D6275" s="12" t="inlineStr">
        <is>
          <t>480 V welding receptacle 1</t>
        </is>
      </c>
      <c r="E6275" s="12" t="inlineStr">
        <is>
          <t>MCC-C1</t>
        </is>
      </c>
      <c r="F6275" s="12" t="inlineStr">
        <is>
          <t>R1 MCC-C1</t>
        </is>
      </c>
      <c r="G6275" s="12" t="inlineStr"/>
      <c r="H6275" s="12" t="inlineStr">
        <is>
          <t xml:space="preserve">CO2 compression 3 x ~19 MW + dehydration: rooftop HVAC, exhaust fans, </t>
        </is>
      </c>
      <c r="I6275" s="12" t="inlineStr">
        <is>
          <t>LV 600 V</t>
        </is>
      </c>
      <c r="J6275" s="12" t="inlineStr">
        <is>
          <t>Type TC-ER 600 V 3/C Cu XHHW-2 + ground, PVC jacket</t>
        </is>
      </c>
      <c r="K6275" s="12" t="inlineStr">
        <is>
          <t>LV|3/C+G|250</t>
        </is>
      </c>
      <c r="L6275" s="12" t="inlineStr">
        <is>
          <t>3/C+G</t>
        </is>
      </c>
      <c r="M6275" s="12" t="inlineStr">
        <is>
          <t>250 kcmil</t>
        </is>
      </c>
      <c r="N6275" s="12" t="n">
        <v>1</v>
      </c>
      <c r="O6275" s="12" t="n">
        <v>1</v>
      </c>
      <c r="P6275" s="12" t="n">
        <v>480</v>
      </c>
      <c r="Q6275" s="12" t="n">
        <v>60</v>
      </c>
      <c r="R6275" s="12" t="n">
        <v>76</v>
      </c>
      <c r="S6275" s="12" t="inlineStr">
        <is>
          <t>Tray</t>
        </is>
      </c>
      <c r="T6275" s="17" t="n">
        <v>1744</v>
      </c>
      <c r="U6275" s="17" t="n">
        <v>161</v>
      </c>
      <c r="V6275" s="17">
        <f>ROUNDUP((T6275+U6275+2*'Read Me'!$B$13)*(1+'Read Me'!$B$12),-1)</f>
        <v/>
      </c>
      <c r="W6275" s="17">
        <f>V6275*N6275*O6275</f>
        <v/>
      </c>
      <c r="X6275" s="12">
        <f>IF(LEFT(I6275,2)="MV",2*N6275*IF(L6275="1/C",O6275,1),0)</f>
        <v/>
      </c>
      <c r="Y6275" s="12">
        <f>IF(OR(LEFT(K6275,4)="LVAX",LEFT(K6275,6)="MV15AX",LEFT(K6275,4)="CTAX",LEFT(K6275,2)="W|"),2*N6275*O6275,0)</f>
        <v/>
      </c>
      <c r="Z6275" s="12" t="inlineStr">
        <is>
          <t>VD 3.0 %</t>
        </is>
      </c>
      <c r="AA6275" s="12">
        <f>N6275*O6275</f>
        <v/>
      </c>
    </row>
    <row r="6276">
      <c r="A6276" s="12" t="inlineStr">
        <is>
          <t>C-P-0017</t>
        </is>
      </c>
      <c r="B6276" s="12" t="inlineStr">
        <is>
          <t>C</t>
        </is>
      </c>
      <c r="C6276" s="12" t="inlineStr">
        <is>
          <t>Grid interface</t>
        </is>
      </c>
      <c r="D6276" s="12" t="inlineStr">
        <is>
          <t>480 V welding receptacle 2</t>
        </is>
      </c>
      <c r="E6276" s="12" t="inlineStr">
        <is>
          <t>MCC-C1</t>
        </is>
      </c>
      <c r="F6276" s="12" t="inlineStr">
        <is>
          <t>R1 MCC-C1</t>
        </is>
      </c>
      <c r="G6276" s="12" t="inlineStr"/>
      <c r="H6276" s="12" t="inlineStr">
        <is>
          <t xml:space="preserve">CO2 compression 3 x ~19 MW + dehydration: rooftop HVAC, exhaust fans, </t>
        </is>
      </c>
      <c r="I6276" s="12" t="inlineStr">
        <is>
          <t>LV 600 V</t>
        </is>
      </c>
      <c r="J6276" s="12" t="inlineStr">
        <is>
          <t>Type TC-ER 600 V 3/C Cu XHHW-2 + ground, PVC jacket</t>
        </is>
      </c>
      <c r="K6276" s="12" t="inlineStr">
        <is>
          <t>LV|3/C+G|250</t>
        </is>
      </c>
      <c r="L6276" s="12" t="inlineStr">
        <is>
          <t>3/C+G</t>
        </is>
      </c>
      <c r="M6276" s="12" t="inlineStr">
        <is>
          <t>250 kcmil</t>
        </is>
      </c>
      <c r="N6276" s="12" t="n">
        <v>1</v>
      </c>
      <c r="O6276" s="12" t="n">
        <v>1</v>
      </c>
      <c r="P6276" s="12" t="n">
        <v>480</v>
      </c>
      <c r="Q6276" s="12" t="n">
        <v>60</v>
      </c>
      <c r="R6276" s="12" t="n">
        <v>76</v>
      </c>
      <c r="S6276" s="12" t="inlineStr">
        <is>
          <t>Tray</t>
        </is>
      </c>
      <c r="T6276" s="17" t="n">
        <v>1744</v>
      </c>
      <c r="U6276" s="17" t="n">
        <v>161</v>
      </c>
      <c r="V6276" s="17">
        <f>ROUNDUP((T6276+U6276+2*'Read Me'!$B$13)*(1+'Read Me'!$B$12),-1)</f>
        <v/>
      </c>
      <c r="W6276" s="17">
        <f>V6276*N6276*O6276</f>
        <v/>
      </c>
      <c r="X6276" s="12">
        <f>IF(LEFT(I6276,2)="MV",2*N6276*IF(L6276="1/C",O6276,1),0)</f>
        <v/>
      </c>
      <c r="Y6276" s="12">
        <f>IF(OR(LEFT(K6276,4)="LVAX",LEFT(K6276,6)="MV15AX",LEFT(K6276,4)="CTAX",LEFT(K6276,2)="W|"),2*N6276*O6276,0)</f>
        <v/>
      </c>
      <c r="Z6276" s="12" t="inlineStr">
        <is>
          <t>VD 3.0 %</t>
        </is>
      </c>
      <c r="AA6276" s="12">
        <f>N6276*O6276</f>
        <v/>
      </c>
    </row>
    <row r="6277">
      <c r="A6277" s="12" t="inlineStr">
        <is>
          <t>C-P-0018</t>
        </is>
      </c>
      <c r="B6277" s="12" t="inlineStr">
        <is>
          <t>C</t>
        </is>
      </c>
      <c r="C6277" s="12" t="inlineStr">
        <is>
          <t>Grid interface</t>
        </is>
      </c>
      <c r="D6277" s="12" t="inlineStr">
        <is>
          <t>480 V welding receptacle 3</t>
        </is>
      </c>
      <c r="E6277" s="12" t="inlineStr">
        <is>
          <t>MCC-C1</t>
        </is>
      </c>
      <c r="F6277" s="12" t="inlineStr">
        <is>
          <t>R1 MCC-C1</t>
        </is>
      </c>
      <c r="G6277" s="12" t="inlineStr"/>
      <c r="H6277" s="12" t="inlineStr">
        <is>
          <t xml:space="preserve">CO2 compression 3 x ~19 MW + dehydration: rooftop HVAC, exhaust fans, </t>
        </is>
      </c>
      <c r="I6277" s="12" t="inlineStr">
        <is>
          <t>LV 600 V</t>
        </is>
      </c>
      <c r="J6277" s="12" t="inlineStr">
        <is>
          <t>Type TC-ER 600 V 3/C Cu XHHW-2 + ground, PVC jacket</t>
        </is>
      </c>
      <c r="K6277" s="12" t="inlineStr">
        <is>
          <t>LV|3/C+G|250</t>
        </is>
      </c>
      <c r="L6277" s="12" t="inlineStr">
        <is>
          <t>3/C+G</t>
        </is>
      </c>
      <c r="M6277" s="12" t="inlineStr">
        <is>
          <t>250 kcmil</t>
        </is>
      </c>
      <c r="N6277" s="12" t="n">
        <v>1</v>
      </c>
      <c r="O6277" s="12" t="n">
        <v>1</v>
      </c>
      <c r="P6277" s="12" t="n">
        <v>480</v>
      </c>
      <c r="Q6277" s="12" t="n">
        <v>60</v>
      </c>
      <c r="R6277" s="12" t="n">
        <v>76</v>
      </c>
      <c r="S6277" s="12" t="inlineStr">
        <is>
          <t>Tray</t>
        </is>
      </c>
      <c r="T6277" s="17" t="n">
        <v>1744</v>
      </c>
      <c r="U6277" s="17" t="n">
        <v>161</v>
      </c>
      <c r="V6277" s="17">
        <f>ROUNDUP((T6277+U6277+2*'Read Me'!$B$13)*(1+'Read Me'!$B$12),-1)</f>
        <v/>
      </c>
      <c r="W6277" s="17">
        <f>V6277*N6277*O6277</f>
        <v/>
      </c>
      <c r="X6277" s="12">
        <f>IF(LEFT(I6277,2)="MV",2*N6277*IF(L6277="1/C",O6277,1),0)</f>
        <v/>
      </c>
      <c r="Y6277" s="12">
        <f>IF(OR(LEFT(K6277,4)="LVAX",LEFT(K6277,6)="MV15AX",LEFT(K6277,4)="CTAX",LEFT(K6277,2)="W|"),2*N6277*O6277,0)</f>
        <v/>
      </c>
      <c r="Z6277" s="12" t="inlineStr">
        <is>
          <t>VD 3.0 %</t>
        </is>
      </c>
      <c r="AA6277" s="12">
        <f>N6277*O6277</f>
        <v/>
      </c>
    </row>
    <row r="6278">
      <c r="A6278" s="12" t="inlineStr">
        <is>
          <t>C-P-0019</t>
        </is>
      </c>
      <c r="B6278" s="12" t="inlineStr">
        <is>
          <t>C</t>
        </is>
      </c>
      <c r="C6278" s="12" t="inlineStr">
        <is>
          <t>Grid interface</t>
        </is>
      </c>
      <c r="D6278" s="12" t="inlineStr">
        <is>
          <t>480 V welding receptacle 4</t>
        </is>
      </c>
      <c r="E6278" s="12" t="inlineStr">
        <is>
          <t>MCC-C1</t>
        </is>
      </c>
      <c r="F6278" s="12" t="inlineStr">
        <is>
          <t>R1 MCC-C1</t>
        </is>
      </c>
      <c r="G6278" s="12" t="inlineStr"/>
      <c r="H6278" s="12" t="inlineStr">
        <is>
          <t xml:space="preserve">CO2 compression 3 x ~19 MW + dehydration: rooftop HVAC, exhaust fans, </t>
        </is>
      </c>
      <c r="I6278" s="12" t="inlineStr">
        <is>
          <t>LV 600 V</t>
        </is>
      </c>
      <c r="J6278" s="12" t="inlineStr">
        <is>
          <t>Type TC-ER 600 V 3/C Cu XHHW-2 + ground, PVC jacket</t>
        </is>
      </c>
      <c r="K6278" s="12" t="inlineStr">
        <is>
          <t>LV|3/C+G|250</t>
        </is>
      </c>
      <c r="L6278" s="12" t="inlineStr">
        <is>
          <t>3/C+G</t>
        </is>
      </c>
      <c r="M6278" s="12" t="inlineStr">
        <is>
          <t>250 kcmil</t>
        </is>
      </c>
      <c r="N6278" s="12" t="n">
        <v>1</v>
      </c>
      <c r="O6278" s="12" t="n">
        <v>1</v>
      </c>
      <c r="P6278" s="12" t="n">
        <v>480</v>
      </c>
      <c r="Q6278" s="12" t="n">
        <v>60</v>
      </c>
      <c r="R6278" s="12" t="n">
        <v>76</v>
      </c>
      <c r="S6278" s="12" t="inlineStr">
        <is>
          <t>Tray</t>
        </is>
      </c>
      <c r="T6278" s="17" t="n">
        <v>1744</v>
      </c>
      <c r="U6278" s="17" t="n">
        <v>161</v>
      </c>
      <c r="V6278" s="17">
        <f>ROUNDUP((T6278+U6278+2*'Read Me'!$B$13)*(1+'Read Me'!$B$12),-1)</f>
        <v/>
      </c>
      <c r="W6278" s="17">
        <f>V6278*N6278*O6278</f>
        <v/>
      </c>
      <c r="X6278" s="12">
        <f>IF(LEFT(I6278,2)="MV",2*N6278*IF(L6278="1/C",O6278,1),0)</f>
        <v/>
      </c>
      <c r="Y6278" s="12">
        <f>IF(OR(LEFT(K6278,4)="LVAX",LEFT(K6278,6)="MV15AX",LEFT(K6278,4)="CTAX",LEFT(K6278,2)="W|"),2*N6278*O6278,0)</f>
        <v/>
      </c>
      <c r="Z6278" s="12" t="inlineStr">
        <is>
          <t>VD 3.0 %</t>
        </is>
      </c>
      <c r="AA6278" s="12">
        <f>N6278*O6278</f>
        <v/>
      </c>
    </row>
    <row r="6279">
      <c r="A6279" s="12" t="inlineStr">
        <is>
          <t>C-P-0020</t>
        </is>
      </c>
      <c r="B6279" s="12" t="inlineStr">
        <is>
          <t>C</t>
        </is>
      </c>
      <c r="C6279" s="12" t="inlineStr">
        <is>
          <t>Grid interface</t>
        </is>
      </c>
      <c r="D6279" s="12" t="inlineStr">
        <is>
          <t>Motor 1 of 2, 250 kW</t>
        </is>
      </c>
      <c r="E6279" s="12" t="inlineStr">
        <is>
          <t>MCC-C1</t>
        </is>
      </c>
      <c r="F6279" s="12" t="inlineStr">
        <is>
          <t>R1 MCC-C1</t>
        </is>
      </c>
      <c r="G6279" s="12" t="inlineStr"/>
      <c r="H6279" s="12" t="inlineStr">
        <is>
          <t>Small-bore piping: instrument air, service water, nitrogen, HRSG drain</t>
        </is>
      </c>
      <c r="I6279" s="12" t="inlineStr">
        <is>
          <t>LV 600 V</t>
        </is>
      </c>
      <c r="J6279" s="12" t="inlineStr">
        <is>
          <t>Type TC-ER 600 V 3/C Cu XHHW-2 + ground, PVC jacket</t>
        </is>
      </c>
      <c r="K6279" s="12" t="inlineStr">
        <is>
          <t>LV|3/C+G|250</t>
        </is>
      </c>
      <c r="L6279" s="12" t="inlineStr">
        <is>
          <t>3/C+G</t>
        </is>
      </c>
      <c r="M6279" s="12" t="inlineStr">
        <is>
          <t>250 kcmil</t>
        </is>
      </c>
      <c r="N6279" s="12" t="n">
        <v>2</v>
      </c>
      <c r="O6279" s="12" t="n">
        <v>1</v>
      </c>
      <c r="P6279" s="12" t="n">
        <v>480</v>
      </c>
      <c r="Q6279" s="12" t="n">
        <v>250</v>
      </c>
      <c r="R6279" s="12" t="n">
        <v>353.8</v>
      </c>
      <c r="S6279" s="12" t="inlineStr">
        <is>
          <t>Tray</t>
        </is>
      </c>
      <c r="T6279" s="17" t="n">
        <v>614</v>
      </c>
      <c r="U6279" s="17" t="n">
        <v>145</v>
      </c>
      <c r="V6279" s="17">
        <f>ROUNDUP((T6279+U6279+2*'Read Me'!$B$13)*(1+'Read Me'!$B$12),-1)</f>
        <v/>
      </c>
      <c r="W6279" s="17">
        <f>V6279*N6279*O6279</f>
        <v/>
      </c>
      <c r="X6279" s="12">
        <f>IF(LEFT(I6279,2)="MV",2*N6279*IF(L6279="1/C",O6279,1),0)</f>
        <v/>
      </c>
      <c r="Y6279" s="12">
        <f>IF(OR(LEFT(K6279,4)="LVAX",LEFT(K6279,6)="MV15AX",LEFT(K6279,4)="CTAX",LEFT(K6279,2)="W|"),2*N6279*O6279,0)</f>
        <v/>
      </c>
      <c r="Z6279" s="12" t="inlineStr">
        <is>
          <t>VD 2.7 %</t>
        </is>
      </c>
      <c r="AA6279" s="12">
        <f>N6279*O6279</f>
        <v/>
      </c>
    </row>
    <row r="6280">
      <c r="A6280" s="12" t="inlineStr">
        <is>
          <t>C-P-0021</t>
        </is>
      </c>
      <c r="B6280" s="12" t="inlineStr">
        <is>
          <t>C</t>
        </is>
      </c>
      <c r="C6280" s="12" t="inlineStr">
        <is>
          <t>Grid interface</t>
        </is>
      </c>
      <c r="D6280" s="12" t="inlineStr">
        <is>
          <t>Motor 2 of 2, 250 kW</t>
        </is>
      </c>
      <c r="E6280" s="12" t="inlineStr">
        <is>
          <t>MCC-C1</t>
        </is>
      </c>
      <c r="F6280" s="12" t="inlineStr">
        <is>
          <t>R1 MCC-C1</t>
        </is>
      </c>
      <c r="G6280" s="12" t="inlineStr"/>
      <c r="H6280" s="12" t="inlineStr">
        <is>
          <t>Small-bore piping: instrument air, service water, nitrogen, HRSG drain</t>
        </is>
      </c>
      <c r="I6280" s="12" t="inlineStr">
        <is>
          <t>LV 600 V</t>
        </is>
      </c>
      <c r="J6280" s="12" t="inlineStr">
        <is>
          <t>Type TC-ER 600 V 3/C Cu XHHW-2 + ground, PVC jacket</t>
        </is>
      </c>
      <c r="K6280" s="12" t="inlineStr">
        <is>
          <t>LV|3/C+G|250</t>
        </is>
      </c>
      <c r="L6280" s="12" t="inlineStr">
        <is>
          <t>3/C+G</t>
        </is>
      </c>
      <c r="M6280" s="12" t="inlineStr">
        <is>
          <t>250 kcmil</t>
        </is>
      </c>
      <c r="N6280" s="12" t="n">
        <v>2</v>
      </c>
      <c r="O6280" s="12" t="n">
        <v>1</v>
      </c>
      <c r="P6280" s="12" t="n">
        <v>480</v>
      </c>
      <c r="Q6280" s="12" t="n">
        <v>250</v>
      </c>
      <c r="R6280" s="12" t="n">
        <v>353.8</v>
      </c>
      <c r="S6280" s="12" t="inlineStr">
        <is>
          <t>Tray</t>
        </is>
      </c>
      <c r="T6280" s="17" t="n">
        <v>614</v>
      </c>
      <c r="U6280" s="17" t="n">
        <v>145</v>
      </c>
      <c r="V6280" s="17">
        <f>ROUNDUP((T6280+U6280+2*'Read Me'!$B$13)*(1+'Read Me'!$B$12),-1)</f>
        <v/>
      </c>
      <c r="W6280" s="17">
        <f>V6280*N6280*O6280</f>
        <v/>
      </c>
      <c r="X6280" s="12">
        <f>IF(LEFT(I6280,2)="MV",2*N6280*IF(L6280="1/C",O6280,1),0)</f>
        <v/>
      </c>
      <c r="Y6280" s="12">
        <f>IF(OR(LEFT(K6280,4)="LVAX",LEFT(K6280,6)="MV15AX",LEFT(K6280,4)="CTAX",LEFT(K6280,2)="W|"),2*N6280*O6280,0)</f>
        <v/>
      </c>
      <c r="Z6280" s="12" t="inlineStr">
        <is>
          <t>VD 2.7 %</t>
        </is>
      </c>
      <c r="AA6280" s="12">
        <f>N6280*O6280</f>
        <v/>
      </c>
    </row>
    <row r="6281">
      <c r="A6281" s="12" t="inlineStr">
        <is>
          <t>C-P-0022</t>
        </is>
      </c>
      <c r="B6281" s="12" t="inlineStr">
        <is>
          <t>C</t>
        </is>
      </c>
      <c r="C6281" s="12" t="inlineStr">
        <is>
          <t>Grid interface</t>
        </is>
      </c>
      <c r="D6281" s="12" t="inlineStr">
        <is>
          <t>Motor 1 of 8, 15 kW</t>
        </is>
      </c>
      <c r="E6281" s="12" t="inlineStr">
        <is>
          <t>MCC-C1</t>
        </is>
      </c>
      <c r="F6281" s="12" t="inlineStr">
        <is>
          <t>R1 MCC-C1</t>
        </is>
      </c>
      <c r="G6281" s="12" t="inlineStr"/>
      <c r="H6281" s="12" t="inlineStr">
        <is>
          <t>Wastewater treatment: rooftop HVAC, exhaust fans, vents</t>
        </is>
      </c>
      <c r="I6281" s="12" t="inlineStr">
        <is>
          <t>LV 600 V</t>
        </is>
      </c>
      <c r="J6281" s="12" t="inlineStr">
        <is>
          <t>Type TC-ER 600 V 3/C Cu XHHW-2 + ground, PVC jacket</t>
        </is>
      </c>
      <c r="K6281" s="12" t="inlineStr">
        <is>
          <t>LV|3/C+G|1</t>
        </is>
      </c>
      <c r="L6281" s="12" t="inlineStr">
        <is>
          <t>3/C+G</t>
        </is>
      </c>
      <c r="M6281" s="12" t="inlineStr">
        <is>
          <t>1</t>
        </is>
      </c>
      <c r="N6281" s="12" t="n">
        <v>1</v>
      </c>
      <c r="O6281" s="12" t="n">
        <v>1</v>
      </c>
      <c r="P6281" s="12" t="n">
        <v>480</v>
      </c>
      <c r="Q6281" s="12" t="n">
        <v>15</v>
      </c>
      <c r="R6281" s="12" t="n">
        <v>21.2</v>
      </c>
      <c r="S6281" s="12" t="inlineStr">
        <is>
          <t>Duct bank</t>
        </is>
      </c>
      <c r="T6281" s="17" t="n">
        <v>1859</v>
      </c>
      <c r="U6281" s="17" t="n">
        <v>228</v>
      </c>
      <c r="V6281" s="17">
        <f>ROUNDUP((T6281+U6281+2*'Read Me'!$B$13)*(1+'Read Me'!$B$12),-1)</f>
        <v/>
      </c>
      <c r="W6281" s="17">
        <f>V6281*N6281*O6281</f>
        <v/>
      </c>
      <c r="X6281" s="12">
        <f>IF(LEFT(I6281,2)="MV",2*N6281*IF(L6281="1/C",O6281,1),0)</f>
        <v/>
      </c>
      <c r="Y6281" s="12">
        <f>IF(OR(LEFT(K6281,4)="LVAX",LEFT(K6281,6)="MV15AX",LEFT(K6281,4)="CTAX",LEFT(K6281,2)="W|"),2*N6281*O6281,0)</f>
        <v/>
      </c>
      <c r="Z6281" s="12" t="inlineStr">
        <is>
          <t>VD 2.7 %</t>
        </is>
      </c>
      <c r="AA6281" s="12">
        <f>N6281*O6281</f>
        <v/>
      </c>
    </row>
    <row r="6282">
      <c r="A6282" s="12" t="inlineStr">
        <is>
          <t>C-P-0023</t>
        </is>
      </c>
      <c r="B6282" s="12" t="inlineStr">
        <is>
          <t>C</t>
        </is>
      </c>
      <c r="C6282" s="12" t="inlineStr">
        <is>
          <t>Grid interface</t>
        </is>
      </c>
      <c r="D6282" s="12" t="inlineStr">
        <is>
          <t>Motor 2 of 8, 15 kW</t>
        </is>
      </c>
      <c r="E6282" s="12" t="inlineStr">
        <is>
          <t>MCC-C1</t>
        </is>
      </c>
      <c r="F6282" s="12" t="inlineStr">
        <is>
          <t>R1 MCC-C1</t>
        </is>
      </c>
      <c r="G6282" s="12" t="inlineStr"/>
      <c r="H6282" s="12" t="inlineStr">
        <is>
          <t>Wastewater treatment: rooftop HVAC, exhaust fans, vents</t>
        </is>
      </c>
      <c r="I6282" s="12" t="inlineStr">
        <is>
          <t>LV 600 V</t>
        </is>
      </c>
      <c r="J6282" s="12" t="inlineStr">
        <is>
          <t>Type TC-ER 600 V 3/C Cu XHHW-2 + ground, PVC jacket</t>
        </is>
      </c>
      <c r="K6282" s="12" t="inlineStr">
        <is>
          <t>LV|3/C+G|1</t>
        </is>
      </c>
      <c r="L6282" s="12" t="inlineStr">
        <is>
          <t>3/C+G</t>
        </is>
      </c>
      <c r="M6282" s="12" t="inlineStr">
        <is>
          <t>1</t>
        </is>
      </c>
      <c r="N6282" s="12" t="n">
        <v>1</v>
      </c>
      <c r="O6282" s="12" t="n">
        <v>1</v>
      </c>
      <c r="P6282" s="12" t="n">
        <v>480</v>
      </c>
      <c r="Q6282" s="12" t="n">
        <v>15</v>
      </c>
      <c r="R6282" s="12" t="n">
        <v>21.2</v>
      </c>
      <c r="S6282" s="12" t="inlineStr">
        <is>
          <t>Duct bank</t>
        </is>
      </c>
      <c r="T6282" s="17" t="n">
        <v>1859</v>
      </c>
      <c r="U6282" s="17" t="n">
        <v>228</v>
      </c>
      <c r="V6282" s="17">
        <f>ROUNDUP((T6282+U6282+2*'Read Me'!$B$13)*(1+'Read Me'!$B$12),-1)</f>
        <v/>
      </c>
      <c r="W6282" s="17">
        <f>V6282*N6282*O6282</f>
        <v/>
      </c>
      <c r="X6282" s="12">
        <f>IF(LEFT(I6282,2)="MV",2*N6282*IF(L6282="1/C",O6282,1),0)</f>
        <v/>
      </c>
      <c r="Y6282" s="12">
        <f>IF(OR(LEFT(K6282,4)="LVAX",LEFT(K6282,6)="MV15AX",LEFT(K6282,4)="CTAX",LEFT(K6282,2)="W|"),2*N6282*O6282,0)</f>
        <v/>
      </c>
      <c r="Z6282" s="12" t="inlineStr">
        <is>
          <t>VD 2.7 %</t>
        </is>
      </c>
      <c r="AA6282" s="12">
        <f>N6282*O6282</f>
        <v/>
      </c>
    </row>
    <row r="6283">
      <c r="A6283" s="12" t="inlineStr">
        <is>
          <t>C-P-0024</t>
        </is>
      </c>
      <c r="B6283" s="12" t="inlineStr">
        <is>
          <t>C</t>
        </is>
      </c>
      <c r="C6283" s="12" t="inlineStr">
        <is>
          <t>Grid interface</t>
        </is>
      </c>
      <c r="D6283" s="12" t="inlineStr">
        <is>
          <t>Motor 3 of 8, 15 kW</t>
        </is>
      </c>
      <c r="E6283" s="12" t="inlineStr">
        <is>
          <t>MCC-C1</t>
        </is>
      </c>
      <c r="F6283" s="12" t="inlineStr">
        <is>
          <t>R1 MCC-C1</t>
        </is>
      </c>
      <c r="G6283" s="12" t="inlineStr"/>
      <c r="H6283" s="12" t="inlineStr">
        <is>
          <t>Wastewater treatment: rooftop HVAC, exhaust fans, vents</t>
        </is>
      </c>
      <c r="I6283" s="12" t="inlineStr">
        <is>
          <t>LV 600 V</t>
        </is>
      </c>
      <c r="J6283" s="12" t="inlineStr">
        <is>
          <t>Type TC-ER 600 V 3/C Cu XHHW-2 + ground, PVC jacket</t>
        </is>
      </c>
      <c r="K6283" s="12" t="inlineStr">
        <is>
          <t>LV|3/C+G|1</t>
        </is>
      </c>
      <c r="L6283" s="12" t="inlineStr">
        <is>
          <t>3/C+G</t>
        </is>
      </c>
      <c r="M6283" s="12" t="inlineStr">
        <is>
          <t>1</t>
        </is>
      </c>
      <c r="N6283" s="12" t="n">
        <v>1</v>
      </c>
      <c r="O6283" s="12" t="n">
        <v>1</v>
      </c>
      <c r="P6283" s="12" t="n">
        <v>480</v>
      </c>
      <c r="Q6283" s="12" t="n">
        <v>15</v>
      </c>
      <c r="R6283" s="12" t="n">
        <v>21.2</v>
      </c>
      <c r="S6283" s="12" t="inlineStr">
        <is>
          <t>Duct bank</t>
        </is>
      </c>
      <c r="T6283" s="17" t="n">
        <v>1859</v>
      </c>
      <c r="U6283" s="17" t="n">
        <v>228</v>
      </c>
      <c r="V6283" s="17">
        <f>ROUNDUP((T6283+U6283+2*'Read Me'!$B$13)*(1+'Read Me'!$B$12),-1)</f>
        <v/>
      </c>
      <c r="W6283" s="17">
        <f>V6283*N6283*O6283</f>
        <v/>
      </c>
      <c r="X6283" s="12">
        <f>IF(LEFT(I6283,2)="MV",2*N6283*IF(L6283="1/C",O6283,1),0)</f>
        <v/>
      </c>
      <c r="Y6283" s="12">
        <f>IF(OR(LEFT(K6283,4)="LVAX",LEFT(K6283,6)="MV15AX",LEFT(K6283,4)="CTAX",LEFT(K6283,2)="W|"),2*N6283*O6283,0)</f>
        <v/>
      </c>
      <c r="Z6283" s="12" t="inlineStr">
        <is>
          <t>VD 2.7 %</t>
        </is>
      </c>
      <c r="AA6283" s="12">
        <f>N6283*O6283</f>
        <v/>
      </c>
    </row>
    <row r="6284">
      <c r="A6284" s="12" t="inlineStr">
        <is>
          <t>C-P-0025</t>
        </is>
      </c>
      <c r="B6284" s="12" t="inlineStr">
        <is>
          <t>C</t>
        </is>
      </c>
      <c r="C6284" s="12" t="inlineStr">
        <is>
          <t>Grid interface</t>
        </is>
      </c>
      <c r="D6284" s="12" t="inlineStr">
        <is>
          <t>Motor 4 of 8, 15 kW</t>
        </is>
      </c>
      <c r="E6284" s="12" t="inlineStr">
        <is>
          <t>MCC-C1</t>
        </is>
      </c>
      <c r="F6284" s="12" t="inlineStr">
        <is>
          <t>R1 MCC-C1</t>
        </is>
      </c>
      <c r="G6284" s="12" t="inlineStr"/>
      <c r="H6284" s="12" t="inlineStr">
        <is>
          <t>Wastewater treatment: rooftop HVAC, exhaust fans, vents</t>
        </is>
      </c>
      <c r="I6284" s="12" t="inlineStr">
        <is>
          <t>LV 600 V</t>
        </is>
      </c>
      <c r="J6284" s="12" t="inlineStr">
        <is>
          <t>Type TC-ER 600 V 3/C Cu XHHW-2 + ground, PVC jacket</t>
        </is>
      </c>
      <c r="K6284" s="12" t="inlineStr">
        <is>
          <t>LV|3/C+G|1</t>
        </is>
      </c>
      <c r="L6284" s="12" t="inlineStr">
        <is>
          <t>3/C+G</t>
        </is>
      </c>
      <c r="M6284" s="12" t="inlineStr">
        <is>
          <t>1</t>
        </is>
      </c>
      <c r="N6284" s="12" t="n">
        <v>1</v>
      </c>
      <c r="O6284" s="12" t="n">
        <v>1</v>
      </c>
      <c r="P6284" s="12" t="n">
        <v>480</v>
      </c>
      <c r="Q6284" s="12" t="n">
        <v>15</v>
      </c>
      <c r="R6284" s="12" t="n">
        <v>21.2</v>
      </c>
      <c r="S6284" s="12" t="inlineStr">
        <is>
          <t>Duct bank</t>
        </is>
      </c>
      <c r="T6284" s="17" t="n">
        <v>1859</v>
      </c>
      <c r="U6284" s="17" t="n">
        <v>228</v>
      </c>
      <c r="V6284" s="17">
        <f>ROUNDUP((T6284+U6284+2*'Read Me'!$B$13)*(1+'Read Me'!$B$12),-1)</f>
        <v/>
      </c>
      <c r="W6284" s="17">
        <f>V6284*N6284*O6284</f>
        <v/>
      </c>
      <c r="X6284" s="12">
        <f>IF(LEFT(I6284,2)="MV",2*N6284*IF(L6284="1/C",O6284,1),0)</f>
        <v/>
      </c>
      <c r="Y6284" s="12">
        <f>IF(OR(LEFT(K6284,4)="LVAX",LEFT(K6284,6)="MV15AX",LEFT(K6284,4)="CTAX",LEFT(K6284,2)="W|"),2*N6284*O6284,0)</f>
        <v/>
      </c>
      <c r="Z6284" s="12" t="inlineStr">
        <is>
          <t>VD 2.7 %</t>
        </is>
      </c>
      <c r="AA6284" s="12">
        <f>N6284*O6284</f>
        <v/>
      </c>
    </row>
    <row r="6285">
      <c r="A6285" s="12" t="inlineStr">
        <is>
          <t>C-P-0026</t>
        </is>
      </c>
      <c r="B6285" s="12" t="inlineStr">
        <is>
          <t>C</t>
        </is>
      </c>
      <c r="C6285" s="12" t="inlineStr">
        <is>
          <t>Grid interface</t>
        </is>
      </c>
      <c r="D6285" s="12" t="inlineStr">
        <is>
          <t>Motor 5 of 8, 15 kW</t>
        </is>
      </c>
      <c r="E6285" s="12" t="inlineStr">
        <is>
          <t>MCC-C1</t>
        </is>
      </c>
      <c r="F6285" s="12" t="inlineStr">
        <is>
          <t>R1 MCC-C1</t>
        </is>
      </c>
      <c r="G6285" s="12" t="inlineStr"/>
      <c r="H6285" s="12" t="inlineStr">
        <is>
          <t>Wastewater treatment: rooftop HVAC, exhaust fans, vents</t>
        </is>
      </c>
      <c r="I6285" s="12" t="inlineStr">
        <is>
          <t>LV 600 V</t>
        </is>
      </c>
      <c r="J6285" s="12" t="inlineStr">
        <is>
          <t>Type TC-ER 600 V 3/C Cu XHHW-2 + ground, PVC jacket</t>
        </is>
      </c>
      <c r="K6285" s="12" t="inlineStr">
        <is>
          <t>LV|3/C+G|1</t>
        </is>
      </c>
      <c r="L6285" s="12" t="inlineStr">
        <is>
          <t>3/C+G</t>
        </is>
      </c>
      <c r="M6285" s="12" t="inlineStr">
        <is>
          <t>1</t>
        </is>
      </c>
      <c r="N6285" s="12" t="n">
        <v>1</v>
      </c>
      <c r="O6285" s="12" t="n">
        <v>1</v>
      </c>
      <c r="P6285" s="12" t="n">
        <v>480</v>
      </c>
      <c r="Q6285" s="12" t="n">
        <v>15</v>
      </c>
      <c r="R6285" s="12" t="n">
        <v>21.2</v>
      </c>
      <c r="S6285" s="12" t="inlineStr">
        <is>
          <t>Duct bank</t>
        </is>
      </c>
      <c r="T6285" s="17" t="n">
        <v>1859</v>
      </c>
      <c r="U6285" s="17" t="n">
        <v>228</v>
      </c>
      <c r="V6285" s="17">
        <f>ROUNDUP((T6285+U6285+2*'Read Me'!$B$13)*(1+'Read Me'!$B$12),-1)</f>
        <v/>
      </c>
      <c r="W6285" s="17">
        <f>V6285*N6285*O6285</f>
        <v/>
      </c>
      <c r="X6285" s="12">
        <f>IF(LEFT(I6285,2)="MV",2*N6285*IF(L6285="1/C",O6285,1),0)</f>
        <v/>
      </c>
      <c r="Y6285" s="12">
        <f>IF(OR(LEFT(K6285,4)="LVAX",LEFT(K6285,6)="MV15AX",LEFT(K6285,4)="CTAX",LEFT(K6285,2)="W|"),2*N6285*O6285,0)</f>
        <v/>
      </c>
      <c r="Z6285" s="12" t="inlineStr">
        <is>
          <t>VD 2.7 %</t>
        </is>
      </c>
      <c r="AA6285" s="12">
        <f>N6285*O6285</f>
        <v/>
      </c>
    </row>
    <row r="6286">
      <c r="A6286" s="12" t="inlineStr">
        <is>
          <t>C-P-0027</t>
        </is>
      </c>
      <c r="B6286" s="12" t="inlineStr">
        <is>
          <t>C</t>
        </is>
      </c>
      <c r="C6286" s="12" t="inlineStr">
        <is>
          <t>Grid interface</t>
        </is>
      </c>
      <c r="D6286" s="12" t="inlineStr">
        <is>
          <t>Motor 6 of 8, 15 kW</t>
        </is>
      </c>
      <c r="E6286" s="12" t="inlineStr">
        <is>
          <t>MCC-C1</t>
        </is>
      </c>
      <c r="F6286" s="12" t="inlineStr">
        <is>
          <t>R1 MCC-C1</t>
        </is>
      </c>
      <c r="G6286" s="12" t="inlineStr"/>
      <c r="H6286" s="12" t="inlineStr">
        <is>
          <t>Wastewater treatment: rooftop HVAC, exhaust fans, vents</t>
        </is>
      </c>
      <c r="I6286" s="12" t="inlineStr">
        <is>
          <t>LV 600 V</t>
        </is>
      </c>
      <c r="J6286" s="12" t="inlineStr">
        <is>
          <t>Type TC-ER 600 V 3/C Cu XHHW-2 + ground, PVC jacket</t>
        </is>
      </c>
      <c r="K6286" s="12" t="inlineStr">
        <is>
          <t>LV|3/C+G|1</t>
        </is>
      </c>
      <c r="L6286" s="12" t="inlineStr">
        <is>
          <t>3/C+G</t>
        </is>
      </c>
      <c r="M6286" s="12" t="inlineStr">
        <is>
          <t>1</t>
        </is>
      </c>
      <c r="N6286" s="12" t="n">
        <v>1</v>
      </c>
      <c r="O6286" s="12" t="n">
        <v>1</v>
      </c>
      <c r="P6286" s="12" t="n">
        <v>480</v>
      </c>
      <c r="Q6286" s="12" t="n">
        <v>15</v>
      </c>
      <c r="R6286" s="12" t="n">
        <v>21.2</v>
      </c>
      <c r="S6286" s="12" t="inlineStr">
        <is>
          <t>Duct bank</t>
        </is>
      </c>
      <c r="T6286" s="17" t="n">
        <v>1859</v>
      </c>
      <c r="U6286" s="17" t="n">
        <v>228</v>
      </c>
      <c r="V6286" s="17">
        <f>ROUNDUP((T6286+U6286+2*'Read Me'!$B$13)*(1+'Read Me'!$B$12),-1)</f>
        <v/>
      </c>
      <c r="W6286" s="17">
        <f>V6286*N6286*O6286</f>
        <v/>
      </c>
      <c r="X6286" s="12">
        <f>IF(LEFT(I6286,2)="MV",2*N6286*IF(L6286="1/C",O6286,1),0)</f>
        <v/>
      </c>
      <c r="Y6286" s="12">
        <f>IF(OR(LEFT(K6286,4)="LVAX",LEFT(K6286,6)="MV15AX",LEFT(K6286,4)="CTAX",LEFT(K6286,2)="W|"),2*N6286*O6286,0)</f>
        <v/>
      </c>
      <c r="Z6286" s="12" t="inlineStr">
        <is>
          <t>VD 2.7 %</t>
        </is>
      </c>
      <c r="AA6286" s="12">
        <f>N6286*O6286</f>
        <v/>
      </c>
    </row>
    <row r="6287">
      <c r="A6287" s="12" t="inlineStr">
        <is>
          <t>C-P-0028</t>
        </is>
      </c>
      <c r="B6287" s="12" t="inlineStr">
        <is>
          <t>C</t>
        </is>
      </c>
      <c r="C6287" s="12" t="inlineStr">
        <is>
          <t>Grid interface</t>
        </is>
      </c>
      <c r="D6287" s="12" t="inlineStr">
        <is>
          <t>Motor 7 of 8, 15 kW</t>
        </is>
      </c>
      <c r="E6287" s="12" t="inlineStr">
        <is>
          <t>MCC-C1</t>
        </is>
      </c>
      <c r="F6287" s="12" t="inlineStr">
        <is>
          <t>R1 MCC-C1</t>
        </is>
      </c>
      <c r="G6287" s="12" t="inlineStr"/>
      <c r="H6287" s="12" t="inlineStr">
        <is>
          <t>Wastewater treatment: rooftop HVAC, exhaust fans, vents</t>
        </is>
      </c>
      <c r="I6287" s="12" t="inlineStr">
        <is>
          <t>LV 600 V</t>
        </is>
      </c>
      <c r="J6287" s="12" t="inlineStr">
        <is>
          <t>Type TC-ER 600 V 3/C Cu XHHW-2 + ground, PVC jacket</t>
        </is>
      </c>
      <c r="K6287" s="12" t="inlineStr">
        <is>
          <t>LV|3/C+G|1</t>
        </is>
      </c>
      <c r="L6287" s="12" t="inlineStr">
        <is>
          <t>3/C+G</t>
        </is>
      </c>
      <c r="M6287" s="12" t="inlineStr">
        <is>
          <t>1</t>
        </is>
      </c>
      <c r="N6287" s="12" t="n">
        <v>1</v>
      </c>
      <c r="O6287" s="12" t="n">
        <v>1</v>
      </c>
      <c r="P6287" s="12" t="n">
        <v>480</v>
      </c>
      <c r="Q6287" s="12" t="n">
        <v>15</v>
      </c>
      <c r="R6287" s="12" t="n">
        <v>21.2</v>
      </c>
      <c r="S6287" s="12" t="inlineStr">
        <is>
          <t>Duct bank</t>
        </is>
      </c>
      <c r="T6287" s="17" t="n">
        <v>1859</v>
      </c>
      <c r="U6287" s="17" t="n">
        <v>228</v>
      </c>
      <c r="V6287" s="17">
        <f>ROUNDUP((T6287+U6287+2*'Read Me'!$B$13)*(1+'Read Me'!$B$12),-1)</f>
        <v/>
      </c>
      <c r="W6287" s="17">
        <f>V6287*N6287*O6287</f>
        <v/>
      </c>
      <c r="X6287" s="12">
        <f>IF(LEFT(I6287,2)="MV",2*N6287*IF(L6287="1/C",O6287,1),0)</f>
        <v/>
      </c>
      <c r="Y6287" s="12">
        <f>IF(OR(LEFT(K6287,4)="LVAX",LEFT(K6287,6)="MV15AX",LEFT(K6287,4)="CTAX",LEFT(K6287,2)="W|"),2*N6287*O6287,0)</f>
        <v/>
      </c>
      <c r="Z6287" s="12" t="inlineStr">
        <is>
          <t>VD 2.7 %</t>
        </is>
      </c>
      <c r="AA6287" s="12">
        <f>N6287*O6287</f>
        <v/>
      </c>
    </row>
    <row r="6288">
      <c r="A6288" s="12" t="inlineStr">
        <is>
          <t>C-P-0029</t>
        </is>
      </c>
      <c r="B6288" s="12" t="inlineStr">
        <is>
          <t>C</t>
        </is>
      </c>
      <c r="C6288" s="12" t="inlineStr">
        <is>
          <t>Grid interface</t>
        </is>
      </c>
      <c r="D6288" s="12" t="inlineStr">
        <is>
          <t>Motor 8 of 8, 15 kW</t>
        </is>
      </c>
      <c r="E6288" s="12" t="inlineStr">
        <is>
          <t>MCC-C1</t>
        </is>
      </c>
      <c r="F6288" s="12" t="inlineStr">
        <is>
          <t>R1 MCC-C1</t>
        </is>
      </c>
      <c r="G6288" s="12" t="inlineStr"/>
      <c r="H6288" s="12" t="inlineStr">
        <is>
          <t>Wastewater treatment: rooftop HVAC, exhaust fans, vents</t>
        </is>
      </c>
      <c r="I6288" s="12" t="inlineStr">
        <is>
          <t>LV 600 V</t>
        </is>
      </c>
      <c r="J6288" s="12" t="inlineStr">
        <is>
          <t>Type TC-ER 600 V 3/C Cu XHHW-2 + ground, PVC jacket</t>
        </is>
      </c>
      <c r="K6288" s="12" t="inlineStr">
        <is>
          <t>LV|3/C+G|1</t>
        </is>
      </c>
      <c r="L6288" s="12" t="inlineStr">
        <is>
          <t>3/C+G</t>
        </is>
      </c>
      <c r="M6288" s="12" t="inlineStr">
        <is>
          <t>1</t>
        </is>
      </c>
      <c r="N6288" s="12" t="n">
        <v>1</v>
      </c>
      <c r="O6288" s="12" t="n">
        <v>1</v>
      </c>
      <c r="P6288" s="12" t="n">
        <v>480</v>
      </c>
      <c r="Q6288" s="12" t="n">
        <v>15</v>
      </c>
      <c r="R6288" s="12" t="n">
        <v>21.2</v>
      </c>
      <c r="S6288" s="12" t="inlineStr">
        <is>
          <t>Duct bank</t>
        </is>
      </c>
      <c r="T6288" s="17" t="n">
        <v>1859</v>
      </c>
      <c r="U6288" s="17" t="n">
        <v>228</v>
      </c>
      <c r="V6288" s="17">
        <f>ROUNDUP((T6288+U6288+2*'Read Me'!$B$13)*(1+'Read Me'!$B$12),-1)</f>
        <v/>
      </c>
      <c r="W6288" s="17">
        <f>V6288*N6288*O6288</f>
        <v/>
      </c>
      <c r="X6288" s="12">
        <f>IF(LEFT(I6288,2)="MV",2*N6288*IF(L6288="1/C",O6288,1),0)</f>
        <v/>
      </c>
      <c r="Y6288" s="12">
        <f>IF(OR(LEFT(K6288,4)="LVAX",LEFT(K6288,6)="MV15AX",LEFT(K6288,4)="CTAX",LEFT(K6288,2)="W|"),2*N6288*O6288,0)</f>
        <v/>
      </c>
      <c r="Z6288" s="12" t="inlineStr">
        <is>
          <t>VD 2.7 %</t>
        </is>
      </c>
      <c r="AA6288" s="12">
        <f>N6288*O6288</f>
        <v/>
      </c>
    </row>
    <row r="6289">
      <c r="A6289" s="12" t="inlineStr">
        <is>
          <t>C-P-0030</t>
        </is>
      </c>
      <c r="B6289" s="12" t="inlineStr">
        <is>
          <t>C</t>
        </is>
      </c>
      <c r="C6289" s="12" t="inlineStr">
        <is>
          <t>Grid interface</t>
        </is>
      </c>
      <c r="D6289" s="12" t="inlineStr">
        <is>
          <t>Motor 1 of 20, 15 kW</t>
        </is>
      </c>
      <c r="E6289" s="12" t="inlineStr">
        <is>
          <t>MCC-C1</t>
        </is>
      </c>
      <c r="F6289" s="12" t="inlineStr">
        <is>
          <t>R1 MCC-C1</t>
        </is>
      </c>
      <c r="G6289" s="12" t="inlineStr"/>
      <c r="H6289" s="12" t="inlineStr">
        <is>
          <t>Water treatment building: rooftop HVAC, exhaust fans, vents</t>
        </is>
      </c>
      <c r="I6289" s="12" t="inlineStr">
        <is>
          <t>LV 600 V</t>
        </is>
      </c>
      <c r="J6289" s="12" t="inlineStr">
        <is>
          <t>Type TC-ER 600 V 3/C Cu XHHW-2 + ground, PVC jacket</t>
        </is>
      </c>
      <c r="K6289" s="12" t="inlineStr">
        <is>
          <t>LV|3/C+G|2</t>
        </is>
      </c>
      <c r="L6289" s="12" t="inlineStr">
        <is>
          <t>3/C+G</t>
        </is>
      </c>
      <c r="M6289" s="12" t="inlineStr">
        <is>
          <t>2</t>
        </is>
      </c>
      <c r="N6289" s="12" t="n">
        <v>1</v>
      </c>
      <c r="O6289" s="12" t="n">
        <v>1</v>
      </c>
      <c r="P6289" s="12" t="n">
        <v>480</v>
      </c>
      <c r="Q6289" s="12" t="n">
        <v>15</v>
      </c>
      <c r="R6289" s="12" t="n">
        <v>21.2</v>
      </c>
      <c r="S6289" s="12" t="inlineStr">
        <is>
          <t>Duct bank</t>
        </is>
      </c>
      <c r="T6289" s="17" t="n">
        <v>1629</v>
      </c>
      <c r="U6289" s="17" t="n">
        <v>161</v>
      </c>
      <c r="V6289" s="17">
        <f>ROUNDUP((T6289+U6289+2*'Read Me'!$B$13)*(1+'Read Me'!$B$12),-1)</f>
        <v/>
      </c>
      <c r="W6289" s="17">
        <f>V6289*N6289*O6289</f>
        <v/>
      </c>
      <c r="X6289" s="12">
        <f>IF(LEFT(I6289,2)="MV",2*N6289*IF(L6289="1/C",O6289,1),0)</f>
        <v/>
      </c>
      <c r="Y6289" s="12">
        <f>IF(OR(LEFT(K6289,4)="LVAX",LEFT(K6289,6)="MV15AX",LEFT(K6289,4)="CTAX",LEFT(K6289,2)="W|"),2*N6289*O6289,0)</f>
        <v/>
      </c>
      <c r="Z6289" s="12" t="inlineStr">
        <is>
          <t>VD 2.9 %</t>
        </is>
      </c>
      <c r="AA6289" s="12">
        <f>N6289*O6289</f>
        <v/>
      </c>
    </row>
    <row r="6290">
      <c r="A6290" s="12" t="inlineStr">
        <is>
          <t>C-P-0031</t>
        </is>
      </c>
      <c r="B6290" s="12" t="inlineStr">
        <is>
          <t>C</t>
        </is>
      </c>
      <c r="C6290" s="12" t="inlineStr">
        <is>
          <t>Grid interface</t>
        </is>
      </c>
      <c r="D6290" s="12" t="inlineStr">
        <is>
          <t>Motor 2 of 20, 15 kW</t>
        </is>
      </c>
      <c r="E6290" s="12" t="inlineStr">
        <is>
          <t>MCC-C1</t>
        </is>
      </c>
      <c r="F6290" s="12" t="inlineStr">
        <is>
          <t>R1 MCC-C1</t>
        </is>
      </c>
      <c r="G6290" s="12" t="inlineStr"/>
      <c r="H6290" s="12" t="inlineStr">
        <is>
          <t>Water treatment building: rooftop HVAC, exhaust fans, vents</t>
        </is>
      </c>
      <c r="I6290" s="12" t="inlineStr">
        <is>
          <t>LV 600 V</t>
        </is>
      </c>
      <c r="J6290" s="12" t="inlineStr">
        <is>
          <t>Type TC-ER 600 V 3/C Cu XHHW-2 + ground, PVC jacket</t>
        </is>
      </c>
      <c r="K6290" s="12" t="inlineStr">
        <is>
          <t>LV|3/C+G|2</t>
        </is>
      </c>
      <c r="L6290" s="12" t="inlineStr">
        <is>
          <t>3/C+G</t>
        </is>
      </c>
      <c r="M6290" s="12" t="inlineStr">
        <is>
          <t>2</t>
        </is>
      </c>
      <c r="N6290" s="12" t="n">
        <v>1</v>
      </c>
      <c r="O6290" s="12" t="n">
        <v>1</v>
      </c>
      <c r="P6290" s="12" t="n">
        <v>480</v>
      </c>
      <c r="Q6290" s="12" t="n">
        <v>15</v>
      </c>
      <c r="R6290" s="12" t="n">
        <v>21.2</v>
      </c>
      <c r="S6290" s="12" t="inlineStr">
        <is>
          <t>Duct bank</t>
        </is>
      </c>
      <c r="T6290" s="17" t="n">
        <v>1629</v>
      </c>
      <c r="U6290" s="17" t="n">
        <v>161</v>
      </c>
      <c r="V6290" s="17">
        <f>ROUNDUP((T6290+U6290+2*'Read Me'!$B$13)*(1+'Read Me'!$B$12),-1)</f>
        <v/>
      </c>
      <c r="W6290" s="17">
        <f>V6290*N6290*O6290</f>
        <v/>
      </c>
      <c r="X6290" s="12">
        <f>IF(LEFT(I6290,2)="MV",2*N6290*IF(L6290="1/C",O6290,1),0)</f>
        <v/>
      </c>
      <c r="Y6290" s="12">
        <f>IF(OR(LEFT(K6290,4)="LVAX",LEFT(K6290,6)="MV15AX",LEFT(K6290,4)="CTAX",LEFT(K6290,2)="W|"),2*N6290*O6290,0)</f>
        <v/>
      </c>
      <c r="Z6290" s="12" t="inlineStr">
        <is>
          <t>VD 2.9 %</t>
        </is>
      </c>
      <c r="AA6290" s="12">
        <f>N6290*O6290</f>
        <v/>
      </c>
    </row>
    <row r="6291">
      <c r="A6291" s="12" t="inlineStr">
        <is>
          <t>C-P-0032</t>
        </is>
      </c>
      <c r="B6291" s="12" t="inlineStr">
        <is>
          <t>C</t>
        </is>
      </c>
      <c r="C6291" s="12" t="inlineStr">
        <is>
          <t>Grid interface</t>
        </is>
      </c>
      <c r="D6291" s="12" t="inlineStr">
        <is>
          <t>Motor 3 of 20, 15 kW</t>
        </is>
      </c>
      <c r="E6291" s="12" t="inlineStr">
        <is>
          <t>MCC-C1</t>
        </is>
      </c>
      <c r="F6291" s="12" t="inlineStr">
        <is>
          <t>R1 MCC-C1</t>
        </is>
      </c>
      <c r="G6291" s="12" t="inlineStr"/>
      <c r="H6291" s="12" t="inlineStr">
        <is>
          <t>Water treatment building: rooftop HVAC, exhaust fans, vents</t>
        </is>
      </c>
      <c r="I6291" s="12" t="inlineStr">
        <is>
          <t>LV 600 V</t>
        </is>
      </c>
      <c r="J6291" s="12" t="inlineStr">
        <is>
          <t>Type TC-ER 600 V 3/C Cu XHHW-2 + ground, PVC jacket</t>
        </is>
      </c>
      <c r="K6291" s="12" t="inlineStr">
        <is>
          <t>LV|3/C+G|2</t>
        </is>
      </c>
      <c r="L6291" s="12" t="inlineStr">
        <is>
          <t>3/C+G</t>
        </is>
      </c>
      <c r="M6291" s="12" t="inlineStr">
        <is>
          <t>2</t>
        </is>
      </c>
      <c r="N6291" s="12" t="n">
        <v>1</v>
      </c>
      <c r="O6291" s="12" t="n">
        <v>1</v>
      </c>
      <c r="P6291" s="12" t="n">
        <v>480</v>
      </c>
      <c r="Q6291" s="12" t="n">
        <v>15</v>
      </c>
      <c r="R6291" s="12" t="n">
        <v>21.2</v>
      </c>
      <c r="S6291" s="12" t="inlineStr">
        <is>
          <t>Duct bank</t>
        </is>
      </c>
      <c r="T6291" s="17" t="n">
        <v>1629</v>
      </c>
      <c r="U6291" s="17" t="n">
        <v>161</v>
      </c>
      <c r="V6291" s="17">
        <f>ROUNDUP((T6291+U6291+2*'Read Me'!$B$13)*(1+'Read Me'!$B$12),-1)</f>
        <v/>
      </c>
      <c r="W6291" s="17">
        <f>V6291*N6291*O6291</f>
        <v/>
      </c>
      <c r="X6291" s="12">
        <f>IF(LEFT(I6291,2)="MV",2*N6291*IF(L6291="1/C",O6291,1),0)</f>
        <v/>
      </c>
      <c r="Y6291" s="12">
        <f>IF(OR(LEFT(K6291,4)="LVAX",LEFT(K6291,6)="MV15AX",LEFT(K6291,4)="CTAX",LEFT(K6291,2)="W|"),2*N6291*O6291,0)</f>
        <v/>
      </c>
      <c r="Z6291" s="12" t="inlineStr">
        <is>
          <t>VD 2.9 %</t>
        </is>
      </c>
      <c r="AA6291" s="12">
        <f>N6291*O6291</f>
        <v/>
      </c>
    </row>
    <row r="6292">
      <c r="A6292" s="12" t="inlineStr">
        <is>
          <t>C-P-0033</t>
        </is>
      </c>
      <c r="B6292" s="12" t="inlineStr">
        <is>
          <t>C</t>
        </is>
      </c>
      <c r="C6292" s="12" t="inlineStr">
        <is>
          <t>Grid interface</t>
        </is>
      </c>
      <c r="D6292" s="12" t="inlineStr">
        <is>
          <t>Motor 4 of 20, 15 kW</t>
        </is>
      </c>
      <c r="E6292" s="12" t="inlineStr">
        <is>
          <t>MCC-C1</t>
        </is>
      </c>
      <c r="F6292" s="12" t="inlineStr">
        <is>
          <t>R1 MCC-C1</t>
        </is>
      </c>
      <c r="G6292" s="12" t="inlineStr"/>
      <c r="H6292" s="12" t="inlineStr">
        <is>
          <t>Water treatment building: rooftop HVAC, exhaust fans, vents</t>
        </is>
      </c>
      <c r="I6292" s="12" t="inlineStr">
        <is>
          <t>LV 600 V</t>
        </is>
      </c>
      <c r="J6292" s="12" t="inlineStr">
        <is>
          <t>Type TC-ER 600 V 3/C Cu XHHW-2 + ground, PVC jacket</t>
        </is>
      </c>
      <c r="K6292" s="12" t="inlineStr">
        <is>
          <t>LV|3/C+G|2</t>
        </is>
      </c>
      <c r="L6292" s="12" t="inlineStr">
        <is>
          <t>3/C+G</t>
        </is>
      </c>
      <c r="M6292" s="12" t="inlineStr">
        <is>
          <t>2</t>
        </is>
      </c>
      <c r="N6292" s="12" t="n">
        <v>1</v>
      </c>
      <c r="O6292" s="12" t="n">
        <v>1</v>
      </c>
      <c r="P6292" s="12" t="n">
        <v>480</v>
      </c>
      <c r="Q6292" s="12" t="n">
        <v>15</v>
      </c>
      <c r="R6292" s="12" t="n">
        <v>21.2</v>
      </c>
      <c r="S6292" s="12" t="inlineStr">
        <is>
          <t>Duct bank</t>
        </is>
      </c>
      <c r="T6292" s="17" t="n">
        <v>1629</v>
      </c>
      <c r="U6292" s="17" t="n">
        <v>161</v>
      </c>
      <c r="V6292" s="17">
        <f>ROUNDUP((T6292+U6292+2*'Read Me'!$B$13)*(1+'Read Me'!$B$12),-1)</f>
        <v/>
      </c>
      <c r="W6292" s="17">
        <f>V6292*N6292*O6292</f>
        <v/>
      </c>
      <c r="X6292" s="12">
        <f>IF(LEFT(I6292,2)="MV",2*N6292*IF(L6292="1/C",O6292,1),0)</f>
        <v/>
      </c>
      <c r="Y6292" s="12">
        <f>IF(OR(LEFT(K6292,4)="LVAX",LEFT(K6292,6)="MV15AX",LEFT(K6292,4)="CTAX",LEFT(K6292,2)="W|"),2*N6292*O6292,0)</f>
        <v/>
      </c>
      <c r="Z6292" s="12" t="inlineStr">
        <is>
          <t>VD 2.9 %</t>
        </is>
      </c>
      <c r="AA6292" s="12">
        <f>N6292*O6292</f>
        <v/>
      </c>
    </row>
    <row r="6293">
      <c r="A6293" s="12" t="inlineStr">
        <is>
          <t>C-P-0034</t>
        </is>
      </c>
      <c r="B6293" s="12" t="inlineStr">
        <is>
          <t>C</t>
        </is>
      </c>
      <c r="C6293" s="12" t="inlineStr">
        <is>
          <t>Grid interface</t>
        </is>
      </c>
      <c r="D6293" s="12" t="inlineStr">
        <is>
          <t>Motor 5 of 20, 15 kW</t>
        </is>
      </c>
      <c r="E6293" s="12" t="inlineStr">
        <is>
          <t>MCC-C1</t>
        </is>
      </c>
      <c r="F6293" s="12" t="inlineStr">
        <is>
          <t>R1 MCC-C1</t>
        </is>
      </c>
      <c r="G6293" s="12" t="inlineStr"/>
      <c r="H6293" s="12" t="inlineStr">
        <is>
          <t>Water treatment building: rooftop HVAC, exhaust fans, vents</t>
        </is>
      </c>
      <c r="I6293" s="12" t="inlineStr">
        <is>
          <t>LV 600 V</t>
        </is>
      </c>
      <c r="J6293" s="12" t="inlineStr">
        <is>
          <t>Type TC-ER 600 V 3/C Cu XHHW-2 + ground, PVC jacket</t>
        </is>
      </c>
      <c r="K6293" s="12" t="inlineStr">
        <is>
          <t>LV|3/C+G|2</t>
        </is>
      </c>
      <c r="L6293" s="12" t="inlineStr">
        <is>
          <t>3/C+G</t>
        </is>
      </c>
      <c r="M6293" s="12" t="inlineStr">
        <is>
          <t>2</t>
        </is>
      </c>
      <c r="N6293" s="12" t="n">
        <v>1</v>
      </c>
      <c r="O6293" s="12" t="n">
        <v>1</v>
      </c>
      <c r="P6293" s="12" t="n">
        <v>480</v>
      </c>
      <c r="Q6293" s="12" t="n">
        <v>15</v>
      </c>
      <c r="R6293" s="12" t="n">
        <v>21.2</v>
      </c>
      <c r="S6293" s="12" t="inlineStr">
        <is>
          <t>Duct bank</t>
        </is>
      </c>
      <c r="T6293" s="17" t="n">
        <v>1629</v>
      </c>
      <c r="U6293" s="17" t="n">
        <v>161</v>
      </c>
      <c r="V6293" s="17">
        <f>ROUNDUP((T6293+U6293+2*'Read Me'!$B$13)*(1+'Read Me'!$B$12),-1)</f>
        <v/>
      </c>
      <c r="W6293" s="17">
        <f>V6293*N6293*O6293</f>
        <v/>
      </c>
      <c r="X6293" s="12">
        <f>IF(LEFT(I6293,2)="MV",2*N6293*IF(L6293="1/C",O6293,1),0)</f>
        <v/>
      </c>
      <c r="Y6293" s="12">
        <f>IF(OR(LEFT(K6293,4)="LVAX",LEFT(K6293,6)="MV15AX",LEFT(K6293,4)="CTAX",LEFT(K6293,2)="W|"),2*N6293*O6293,0)</f>
        <v/>
      </c>
      <c r="Z6293" s="12" t="inlineStr">
        <is>
          <t>VD 2.9 %</t>
        </is>
      </c>
      <c r="AA6293" s="12">
        <f>N6293*O6293</f>
        <v/>
      </c>
    </row>
    <row r="6294">
      <c r="A6294" s="12" t="inlineStr">
        <is>
          <t>C-P-0035</t>
        </is>
      </c>
      <c r="B6294" s="12" t="inlineStr">
        <is>
          <t>C</t>
        </is>
      </c>
      <c r="C6294" s="12" t="inlineStr">
        <is>
          <t>Grid interface</t>
        </is>
      </c>
      <c r="D6294" s="12" t="inlineStr">
        <is>
          <t>Motor 6 of 20, 15 kW</t>
        </is>
      </c>
      <c r="E6294" s="12" t="inlineStr">
        <is>
          <t>MCC-C1</t>
        </is>
      </c>
      <c r="F6294" s="12" t="inlineStr">
        <is>
          <t>R1 MCC-C1</t>
        </is>
      </c>
      <c r="G6294" s="12" t="inlineStr"/>
      <c r="H6294" s="12" t="inlineStr">
        <is>
          <t>Water treatment building: rooftop HVAC, exhaust fans, vents</t>
        </is>
      </c>
      <c r="I6294" s="12" t="inlineStr">
        <is>
          <t>LV 600 V</t>
        </is>
      </c>
      <c r="J6294" s="12" t="inlineStr">
        <is>
          <t>Type TC-ER 600 V 3/C Cu XHHW-2 + ground, PVC jacket</t>
        </is>
      </c>
      <c r="K6294" s="12" t="inlineStr">
        <is>
          <t>LV|3/C+G|2</t>
        </is>
      </c>
      <c r="L6294" s="12" t="inlineStr">
        <is>
          <t>3/C+G</t>
        </is>
      </c>
      <c r="M6294" s="12" t="inlineStr">
        <is>
          <t>2</t>
        </is>
      </c>
      <c r="N6294" s="12" t="n">
        <v>1</v>
      </c>
      <c r="O6294" s="12" t="n">
        <v>1</v>
      </c>
      <c r="P6294" s="12" t="n">
        <v>480</v>
      </c>
      <c r="Q6294" s="12" t="n">
        <v>15</v>
      </c>
      <c r="R6294" s="12" t="n">
        <v>21.2</v>
      </c>
      <c r="S6294" s="12" t="inlineStr">
        <is>
          <t>Duct bank</t>
        </is>
      </c>
      <c r="T6294" s="17" t="n">
        <v>1629</v>
      </c>
      <c r="U6294" s="17" t="n">
        <v>161</v>
      </c>
      <c r="V6294" s="17">
        <f>ROUNDUP((T6294+U6294+2*'Read Me'!$B$13)*(1+'Read Me'!$B$12),-1)</f>
        <v/>
      </c>
      <c r="W6294" s="17">
        <f>V6294*N6294*O6294</f>
        <v/>
      </c>
      <c r="X6294" s="12">
        <f>IF(LEFT(I6294,2)="MV",2*N6294*IF(L6294="1/C",O6294,1),0)</f>
        <v/>
      </c>
      <c r="Y6294" s="12">
        <f>IF(OR(LEFT(K6294,4)="LVAX",LEFT(K6294,6)="MV15AX",LEFT(K6294,4)="CTAX",LEFT(K6294,2)="W|"),2*N6294*O6294,0)</f>
        <v/>
      </c>
      <c r="Z6294" s="12" t="inlineStr">
        <is>
          <t>VD 2.9 %</t>
        </is>
      </c>
      <c r="AA6294" s="12">
        <f>N6294*O6294</f>
        <v/>
      </c>
    </row>
    <row r="6295">
      <c r="A6295" s="12" t="inlineStr">
        <is>
          <t>C-P-0036</t>
        </is>
      </c>
      <c r="B6295" s="12" t="inlineStr">
        <is>
          <t>C</t>
        </is>
      </c>
      <c r="C6295" s="12" t="inlineStr">
        <is>
          <t>Grid interface</t>
        </is>
      </c>
      <c r="D6295" s="12" t="inlineStr">
        <is>
          <t>Motor 7 of 20, 15 kW</t>
        </is>
      </c>
      <c r="E6295" s="12" t="inlineStr">
        <is>
          <t>MCC-C1</t>
        </is>
      </c>
      <c r="F6295" s="12" t="inlineStr">
        <is>
          <t>R1 MCC-C1</t>
        </is>
      </c>
      <c r="G6295" s="12" t="inlineStr"/>
      <c r="H6295" s="12" t="inlineStr">
        <is>
          <t>Water treatment building: rooftop HVAC, exhaust fans, vents</t>
        </is>
      </c>
      <c r="I6295" s="12" t="inlineStr">
        <is>
          <t>LV 600 V</t>
        </is>
      </c>
      <c r="J6295" s="12" t="inlineStr">
        <is>
          <t>Type TC-ER 600 V 3/C Cu XHHW-2 + ground, PVC jacket</t>
        </is>
      </c>
      <c r="K6295" s="12" t="inlineStr">
        <is>
          <t>LV|3/C+G|2</t>
        </is>
      </c>
      <c r="L6295" s="12" t="inlineStr">
        <is>
          <t>3/C+G</t>
        </is>
      </c>
      <c r="M6295" s="12" t="inlineStr">
        <is>
          <t>2</t>
        </is>
      </c>
      <c r="N6295" s="12" t="n">
        <v>1</v>
      </c>
      <c r="O6295" s="12" t="n">
        <v>1</v>
      </c>
      <c r="P6295" s="12" t="n">
        <v>480</v>
      </c>
      <c r="Q6295" s="12" t="n">
        <v>15</v>
      </c>
      <c r="R6295" s="12" t="n">
        <v>21.2</v>
      </c>
      <c r="S6295" s="12" t="inlineStr">
        <is>
          <t>Duct bank</t>
        </is>
      </c>
      <c r="T6295" s="17" t="n">
        <v>1629</v>
      </c>
      <c r="U6295" s="17" t="n">
        <v>161</v>
      </c>
      <c r="V6295" s="17">
        <f>ROUNDUP((T6295+U6295+2*'Read Me'!$B$13)*(1+'Read Me'!$B$12),-1)</f>
        <v/>
      </c>
      <c r="W6295" s="17">
        <f>V6295*N6295*O6295</f>
        <v/>
      </c>
      <c r="X6295" s="12">
        <f>IF(LEFT(I6295,2)="MV",2*N6295*IF(L6295="1/C",O6295,1),0)</f>
        <v/>
      </c>
      <c r="Y6295" s="12">
        <f>IF(OR(LEFT(K6295,4)="LVAX",LEFT(K6295,6)="MV15AX",LEFT(K6295,4)="CTAX",LEFT(K6295,2)="W|"),2*N6295*O6295,0)</f>
        <v/>
      </c>
      <c r="Z6295" s="12" t="inlineStr">
        <is>
          <t>VD 2.9 %</t>
        </is>
      </c>
      <c r="AA6295" s="12">
        <f>N6295*O6295</f>
        <v/>
      </c>
    </row>
    <row r="6296">
      <c r="A6296" s="12" t="inlineStr">
        <is>
          <t>C-P-0037</t>
        </is>
      </c>
      <c r="B6296" s="12" t="inlineStr">
        <is>
          <t>C</t>
        </is>
      </c>
      <c r="C6296" s="12" t="inlineStr">
        <is>
          <t>Grid interface</t>
        </is>
      </c>
      <c r="D6296" s="12" t="inlineStr">
        <is>
          <t>Motor 8 of 20, 15 kW</t>
        </is>
      </c>
      <c r="E6296" s="12" t="inlineStr">
        <is>
          <t>MCC-C1</t>
        </is>
      </c>
      <c r="F6296" s="12" t="inlineStr">
        <is>
          <t>R1 MCC-C1</t>
        </is>
      </c>
      <c r="G6296" s="12" t="inlineStr"/>
      <c r="H6296" s="12" t="inlineStr">
        <is>
          <t>Water treatment building: rooftop HVAC, exhaust fans, vents</t>
        </is>
      </c>
      <c r="I6296" s="12" t="inlineStr">
        <is>
          <t>LV 600 V</t>
        </is>
      </c>
      <c r="J6296" s="12" t="inlineStr">
        <is>
          <t>Type TC-ER 600 V 3/C Cu XHHW-2 + ground, PVC jacket</t>
        </is>
      </c>
      <c r="K6296" s="12" t="inlineStr">
        <is>
          <t>LV|3/C+G|2</t>
        </is>
      </c>
      <c r="L6296" s="12" t="inlineStr">
        <is>
          <t>3/C+G</t>
        </is>
      </c>
      <c r="M6296" s="12" t="inlineStr">
        <is>
          <t>2</t>
        </is>
      </c>
      <c r="N6296" s="12" t="n">
        <v>1</v>
      </c>
      <c r="O6296" s="12" t="n">
        <v>1</v>
      </c>
      <c r="P6296" s="12" t="n">
        <v>480</v>
      </c>
      <c r="Q6296" s="12" t="n">
        <v>15</v>
      </c>
      <c r="R6296" s="12" t="n">
        <v>21.2</v>
      </c>
      <c r="S6296" s="12" t="inlineStr">
        <is>
          <t>Duct bank</t>
        </is>
      </c>
      <c r="T6296" s="17" t="n">
        <v>1629</v>
      </c>
      <c r="U6296" s="17" t="n">
        <v>161</v>
      </c>
      <c r="V6296" s="17">
        <f>ROUNDUP((T6296+U6296+2*'Read Me'!$B$13)*(1+'Read Me'!$B$12),-1)</f>
        <v/>
      </c>
      <c r="W6296" s="17">
        <f>V6296*N6296*O6296</f>
        <v/>
      </c>
      <c r="X6296" s="12">
        <f>IF(LEFT(I6296,2)="MV",2*N6296*IF(L6296="1/C",O6296,1),0)</f>
        <v/>
      </c>
      <c r="Y6296" s="12">
        <f>IF(OR(LEFT(K6296,4)="LVAX",LEFT(K6296,6)="MV15AX",LEFT(K6296,4)="CTAX",LEFT(K6296,2)="W|"),2*N6296*O6296,0)</f>
        <v/>
      </c>
      <c r="Z6296" s="12" t="inlineStr">
        <is>
          <t>VD 2.9 %</t>
        </is>
      </c>
      <c r="AA6296" s="12">
        <f>N6296*O6296</f>
        <v/>
      </c>
    </row>
    <row r="6297">
      <c r="A6297" s="12" t="inlineStr">
        <is>
          <t>C-P-0038</t>
        </is>
      </c>
      <c r="B6297" s="12" t="inlineStr">
        <is>
          <t>C</t>
        </is>
      </c>
      <c r="C6297" s="12" t="inlineStr">
        <is>
          <t>Grid interface</t>
        </is>
      </c>
      <c r="D6297" s="12" t="inlineStr">
        <is>
          <t>Motor 9 of 20, 15 kW</t>
        </is>
      </c>
      <c r="E6297" s="12" t="inlineStr">
        <is>
          <t>MCC-C1</t>
        </is>
      </c>
      <c r="F6297" s="12" t="inlineStr">
        <is>
          <t>R1 MCC-C1</t>
        </is>
      </c>
      <c r="G6297" s="12" t="inlineStr"/>
      <c r="H6297" s="12" t="inlineStr">
        <is>
          <t>Water treatment building: rooftop HVAC, exhaust fans, vents</t>
        </is>
      </c>
      <c r="I6297" s="12" t="inlineStr">
        <is>
          <t>LV 600 V</t>
        </is>
      </c>
      <c r="J6297" s="12" t="inlineStr">
        <is>
          <t>Type TC-ER 600 V 3/C Cu XHHW-2 + ground, PVC jacket</t>
        </is>
      </c>
      <c r="K6297" s="12" t="inlineStr">
        <is>
          <t>LV|3/C+G|2</t>
        </is>
      </c>
      <c r="L6297" s="12" t="inlineStr">
        <is>
          <t>3/C+G</t>
        </is>
      </c>
      <c r="M6297" s="12" t="inlineStr">
        <is>
          <t>2</t>
        </is>
      </c>
      <c r="N6297" s="12" t="n">
        <v>1</v>
      </c>
      <c r="O6297" s="12" t="n">
        <v>1</v>
      </c>
      <c r="P6297" s="12" t="n">
        <v>480</v>
      </c>
      <c r="Q6297" s="12" t="n">
        <v>15</v>
      </c>
      <c r="R6297" s="12" t="n">
        <v>21.2</v>
      </c>
      <c r="S6297" s="12" t="inlineStr">
        <is>
          <t>Duct bank</t>
        </is>
      </c>
      <c r="T6297" s="17" t="n">
        <v>1629</v>
      </c>
      <c r="U6297" s="17" t="n">
        <v>161</v>
      </c>
      <c r="V6297" s="17">
        <f>ROUNDUP((T6297+U6297+2*'Read Me'!$B$13)*(1+'Read Me'!$B$12),-1)</f>
        <v/>
      </c>
      <c r="W6297" s="17">
        <f>V6297*N6297*O6297</f>
        <v/>
      </c>
      <c r="X6297" s="12">
        <f>IF(LEFT(I6297,2)="MV",2*N6297*IF(L6297="1/C",O6297,1),0)</f>
        <v/>
      </c>
      <c r="Y6297" s="12">
        <f>IF(OR(LEFT(K6297,4)="LVAX",LEFT(K6297,6)="MV15AX",LEFT(K6297,4)="CTAX",LEFT(K6297,2)="W|"),2*N6297*O6297,0)</f>
        <v/>
      </c>
      <c r="Z6297" s="12" t="inlineStr">
        <is>
          <t>VD 2.9 %</t>
        </is>
      </c>
      <c r="AA6297" s="12">
        <f>N6297*O6297</f>
        <v/>
      </c>
    </row>
    <row r="6298">
      <c r="A6298" s="12" t="inlineStr">
        <is>
          <t>C-P-0039</t>
        </is>
      </c>
      <c r="B6298" s="12" t="inlineStr">
        <is>
          <t>C</t>
        </is>
      </c>
      <c r="C6298" s="12" t="inlineStr">
        <is>
          <t>Grid interface</t>
        </is>
      </c>
      <c r="D6298" s="12" t="inlineStr">
        <is>
          <t>Motor 10 of 20, 15 kW</t>
        </is>
      </c>
      <c r="E6298" s="12" t="inlineStr">
        <is>
          <t>MCC-C1</t>
        </is>
      </c>
      <c r="F6298" s="12" t="inlineStr">
        <is>
          <t>R1 MCC-C1</t>
        </is>
      </c>
      <c r="G6298" s="12" t="inlineStr"/>
      <c r="H6298" s="12" t="inlineStr">
        <is>
          <t>Water treatment building: rooftop HVAC, exhaust fans, vents</t>
        </is>
      </c>
      <c r="I6298" s="12" t="inlineStr">
        <is>
          <t>LV 600 V</t>
        </is>
      </c>
      <c r="J6298" s="12" t="inlineStr">
        <is>
          <t>Type TC-ER 600 V 3/C Cu XHHW-2 + ground, PVC jacket</t>
        </is>
      </c>
      <c r="K6298" s="12" t="inlineStr">
        <is>
          <t>LV|3/C+G|2</t>
        </is>
      </c>
      <c r="L6298" s="12" t="inlineStr">
        <is>
          <t>3/C+G</t>
        </is>
      </c>
      <c r="M6298" s="12" t="inlineStr">
        <is>
          <t>2</t>
        </is>
      </c>
      <c r="N6298" s="12" t="n">
        <v>1</v>
      </c>
      <c r="O6298" s="12" t="n">
        <v>1</v>
      </c>
      <c r="P6298" s="12" t="n">
        <v>480</v>
      </c>
      <c r="Q6298" s="12" t="n">
        <v>15</v>
      </c>
      <c r="R6298" s="12" t="n">
        <v>21.2</v>
      </c>
      <c r="S6298" s="12" t="inlineStr">
        <is>
          <t>Duct bank</t>
        </is>
      </c>
      <c r="T6298" s="17" t="n">
        <v>1629</v>
      </c>
      <c r="U6298" s="17" t="n">
        <v>161</v>
      </c>
      <c r="V6298" s="17">
        <f>ROUNDUP((T6298+U6298+2*'Read Me'!$B$13)*(1+'Read Me'!$B$12),-1)</f>
        <v/>
      </c>
      <c r="W6298" s="17">
        <f>V6298*N6298*O6298</f>
        <v/>
      </c>
      <c r="X6298" s="12">
        <f>IF(LEFT(I6298,2)="MV",2*N6298*IF(L6298="1/C",O6298,1),0)</f>
        <v/>
      </c>
      <c r="Y6298" s="12">
        <f>IF(OR(LEFT(K6298,4)="LVAX",LEFT(K6298,6)="MV15AX",LEFT(K6298,4)="CTAX",LEFT(K6298,2)="W|"),2*N6298*O6298,0)</f>
        <v/>
      </c>
      <c r="Z6298" s="12" t="inlineStr">
        <is>
          <t>VD 2.9 %</t>
        </is>
      </c>
      <c r="AA6298" s="12">
        <f>N6298*O6298</f>
        <v/>
      </c>
    </row>
    <row r="6299">
      <c r="A6299" s="12" t="inlineStr">
        <is>
          <t>C-P-0040</t>
        </is>
      </c>
      <c r="B6299" s="12" t="inlineStr">
        <is>
          <t>C</t>
        </is>
      </c>
      <c r="C6299" s="12" t="inlineStr">
        <is>
          <t>Grid interface</t>
        </is>
      </c>
      <c r="D6299" s="12" t="inlineStr">
        <is>
          <t>Motor 11 of 20, 15 kW</t>
        </is>
      </c>
      <c r="E6299" s="12" t="inlineStr">
        <is>
          <t>MCC-C1</t>
        </is>
      </c>
      <c r="F6299" s="12" t="inlineStr">
        <is>
          <t>R1 MCC-C1</t>
        </is>
      </c>
      <c r="G6299" s="12" t="inlineStr"/>
      <c r="H6299" s="12" t="inlineStr">
        <is>
          <t>Water treatment building: rooftop HVAC, exhaust fans, vents</t>
        </is>
      </c>
      <c r="I6299" s="12" t="inlineStr">
        <is>
          <t>LV 600 V</t>
        </is>
      </c>
      <c r="J6299" s="12" t="inlineStr">
        <is>
          <t>Type TC-ER 600 V 3/C Cu XHHW-2 + ground, PVC jacket</t>
        </is>
      </c>
      <c r="K6299" s="12" t="inlineStr">
        <is>
          <t>LV|3/C+G|2</t>
        </is>
      </c>
      <c r="L6299" s="12" t="inlineStr">
        <is>
          <t>3/C+G</t>
        </is>
      </c>
      <c r="M6299" s="12" t="inlineStr">
        <is>
          <t>2</t>
        </is>
      </c>
      <c r="N6299" s="12" t="n">
        <v>1</v>
      </c>
      <c r="O6299" s="12" t="n">
        <v>1</v>
      </c>
      <c r="P6299" s="12" t="n">
        <v>480</v>
      </c>
      <c r="Q6299" s="12" t="n">
        <v>15</v>
      </c>
      <c r="R6299" s="12" t="n">
        <v>21.2</v>
      </c>
      <c r="S6299" s="12" t="inlineStr">
        <is>
          <t>Duct bank</t>
        </is>
      </c>
      <c r="T6299" s="17" t="n">
        <v>1629</v>
      </c>
      <c r="U6299" s="17" t="n">
        <v>161</v>
      </c>
      <c r="V6299" s="17">
        <f>ROUNDUP((T6299+U6299+2*'Read Me'!$B$13)*(1+'Read Me'!$B$12),-1)</f>
        <v/>
      </c>
      <c r="W6299" s="17">
        <f>V6299*N6299*O6299</f>
        <v/>
      </c>
      <c r="X6299" s="12">
        <f>IF(LEFT(I6299,2)="MV",2*N6299*IF(L6299="1/C",O6299,1),0)</f>
        <v/>
      </c>
      <c r="Y6299" s="12">
        <f>IF(OR(LEFT(K6299,4)="LVAX",LEFT(K6299,6)="MV15AX",LEFT(K6299,4)="CTAX",LEFT(K6299,2)="W|"),2*N6299*O6299,0)</f>
        <v/>
      </c>
      <c r="Z6299" s="12" t="inlineStr">
        <is>
          <t>VD 2.9 %</t>
        </is>
      </c>
      <c r="AA6299" s="12">
        <f>N6299*O6299</f>
        <v/>
      </c>
    </row>
    <row r="6300">
      <c r="A6300" s="12" t="inlineStr">
        <is>
          <t>C-P-0041</t>
        </is>
      </c>
      <c r="B6300" s="12" t="inlineStr">
        <is>
          <t>C</t>
        </is>
      </c>
      <c r="C6300" s="12" t="inlineStr">
        <is>
          <t>Grid interface</t>
        </is>
      </c>
      <c r="D6300" s="12" t="inlineStr">
        <is>
          <t>Motor 12 of 20, 15 kW</t>
        </is>
      </c>
      <c r="E6300" s="12" t="inlineStr">
        <is>
          <t>MCC-C1</t>
        </is>
      </c>
      <c r="F6300" s="12" t="inlineStr">
        <is>
          <t>R1 MCC-C1</t>
        </is>
      </c>
      <c r="G6300" s="12" t="inlineStr"/>
      <c r="H6300" s="12" t="inlineStr">
        <is>
          <t>Water treatment building: rooftop HVAC, exhaust fans, vents</t>
        </is>
      </c>
      <c r="I6300" s="12" t="inlineStr">
        <is>
          <t>LV 600 V</t>
        </is>
      </c>
      <c r="J6300" s="12" t="inlineStr">
        <is>
          <t>Type TC-ER 600 V 3/C Cu XHHW-2 + ground, PVC jacket</t>
        </is>
      </c>
      <c r="K6300" s="12" t="inlineStr">
        <is>
          <t>LV|3/C+G|2</t>
        </is>
      </c>
      <c r="L6300" s="12" t="inlineStr">
        <is>
          <t>3/C+G</t>
        </is>
      </c>
      <c r="M6300" s="12" t="inlineStr">
        <is>
          <t>2</t>
        </is>
      </c>
      <c r="N6300" s="12" t="n">
        <v>1</v>
      </c>
      <c r="O6300" s="12" t="n">
        <v>1</v>
      </c>
      <c r="P6300" s="12" t="n">
        <v>480</v>
      </c>
      <c r="Q6300" s="12" t="n">
        <v>15</v>
      </c>
      <c r="R6300" s="12" t="n">
        <v>21.2</v>
      </c>
      <c r="S6300" s="12" t="inlineStr">
        <is>
          <t>Duct bank</t>
        </is>
      </c>
      <c r="T6300" s="17" t="n">
        <v>1629</v>
      </c>
      <c r="U6300" s="17" t="n">
        <v>161</v>
      </c>
      <c r="V6300" s="17">
        <f>ROUNDUP((T6300+U6300+2*'Read Me'!$B$13)*(1+'Read Me'!$B$12),-1)</f>
        <v/>
      </c>
      <c r="W6300" s="17">
        <f>V6300*N6300*O6300</f>
        <v/>
      </c>
      <c r="X6300" s="12">
        <f>IF(LEFT(I6300,2)="MV",2*N6300*IF(L6300="1/C",O6300,1),0)</f>
        <v/>
      </c>
      <c r="Y6300" s="12">
        <f>IF(OR(LEFT(K6300,4)="LVAX",LEFT(K6300,6)="MV15AX",LEFT(K6300,4)="CTAX",LEFT(K6300,2)="W|"),2*N6300*O6300,0)</f>
        <v/>
      </c>
      <c r="Z6300" s="12" t="inlineStr">
        <is>
          <t>VD 2.9 %</t>
        </is>
      </c>
      <c r="AA6300" s="12">
        <f>N6300*O6300</f>
        <v/>
      </c>
    </row>
    <row r="6301">
      <c r="A6301" s="12" t="inlineStr">
        <is>
          <t>C-P-0042</t>
        </is>
      </c>
      <c r="B6301" s="12" t="inlineStr">
        <is>
          <t>C</t>
        </is>
      </c>
      <c r="C6301" s="12" t="inlineStr">
        <is>
          <t>Grid interface</t>
        </is>
      </c>
      <c r="D6301" s="12" t="inlineStr">
        <is>
          <t>Motor 13 of 20, 15 kW</t>
        </is>
      </c>
      <c r="E6301" s="12" t="inlineStr">
        <is>
          <t>MCC-C1</t>
        </is>
      </c>
      <c r="F6301" s="12" t="inlineStr">
        <is>
          <t>R1 MCC-C1</t>
        </is>
      </c>
      <c r="G6301" s="12" t="inlineStr"/>
      <c r="H6301" s="12" t="inlineStr">
        <is>
          <t>Water treatment building: rooftop HVAC, exhaust fans, vents</t>
        </is>
      </c>
      <c r="I6301" s="12" t="inlineStr">
        <is>
          <t>LV 600 V</t>
        </is>
      </c>
      <c r="J6301" s="12" t="inlineStr">
        <is>
          <t>Type TC-ER 600 V 3/C Cu XHHW-2 + ground, PVC jacket</t>
        </is>
      </c>
      <c r="K6301" s="12" t="inlineStr">
        <is>
          <t>LV|3/C+G|2</t>
        </is>
      </c>
      <c r="L6301" s="12" t="inlineStr">
        <is>
          <t>3/C+G</t>
        </is>
      </c>
      <c r="M6301" s="12" t="inlineStr">
        <is>
          <t>2</t>
        </is>
      </c>
      <c r="N6301" s="12" t="n">
        <v>1</v>
      </c>
      <c r="O6301" s="12" t="n">
        <v>1</v>
      </c>
      <c r="P6301" s="12" t="n">
        <v>480</v>
      </c>
      <c r="Q6301" s="12" t="n">
        <v>15</v>
      </c>
      <c r="R6301" s="12" t="n">
        <v>21.2</v>
      </c>
      <c r="S6301" s="12" t="inlineStr">
        <is>
          <t>Duct bank</t>
        </is>
      </c>
      <c r="T6301" s="17" t="n">
        <v>1629</v>
      </c>
      <c r="U6301" s="17" t="n">
        <v>161</v>
      </c>
      <c r="V6301" s="17">
        <f>ROUNDUP((T6301+U6301+2*'Read Me'!$B$13)*(1+'Read Me'!$B$12),-1)</f>
        <v/>
      </c>
      <c r="W6301" s="17">
        <f>V6301*N6301*O6301</f>
        <v/>
      </c>
      <c r="X6301" s="12">
        <f>IF(LEFT(I6301,2)="MV",2*N6301*IF(L6301="1/C",O6301,1),0)</f>
        <v/>
      </c>
      <c r="Y6301" s="12">
        <f>IF(OR(LEFT(K6301,4)="LVAX",LEFT(K6301,6)="MV15AX",LEFT(K6301,4)="CTAX",LEFT(K6301,2)="W|"),2*N6301*O6301,0)</f>
        <v/>
      </c>
      <c r="Z6301" s="12" t="inlineStr">
        <is>
          <t>VD 2.9 %</t>
        </is>
      </c>
      <c r="AA6301" s="12">
        <f>N6301*O6301</f>
        <v/>
      </c>
    </row>
    <row r="6302">
      <c r="A6302" s="12" t="inlineStr">
        <is>
          <t>C-P-0043</t>
        </is>
      </c>
      <c r="B6302" s="12" t="inlineStr">
        <is>
          <t>C</t>
        </is>
      </c>
      <c r="C6302" s="12" t="inlineStr">
        <is>
          <t>Grid interface</t>
        </is>
      </c>
      <c r="D6302" s="12" t="inlineStr">
        <is>
          <t>Motor 14 of 20, 15 kW</t>
        </is>
      </c>
      <c r="E6302" s="12" t="inlineStr">
        <is>
          <t>MCC-C1</t>
        </is>
      </c>
      <c r="F6302" s="12" t="inlineStr">
        <is>
          <t>R1 MCC-C1</t>
        </is>
      </c>
      <c r="G6302" s="12" t="inlineStr"/>
      <c r="H6302" s="12" t="inlineStr">
        <is>
          <t>Water treatment building: rooftop HVAC, exhaust fans, vents</t>
        </is>
      </c>
      <c r="I6302" s="12" t="inlineStr">
        <is>
          <t>LV 600 V</t>
        </is>
      </c>
      <c r="J6302" s="12" t="inlineStr">
        <is>
          <t>Type TC-ER 600 V 3/C Cu XHHW-2 + ground, PVC jacket</t>
        </is>
      </c>
      <c r="K6302" s="12" t="inlineStr">
        <is>
          <t>LV|3/C+G|2</t>
        </is>
      </c>
      <c r="L6302" s="12" t="inlineStr">
        <is>
          <t>3/C+G</t>
        </is>
      </c>
      <c r="M6302" s="12" t="inlineStr">
        <is>
          <t>2</t>
        </is>
      </c>
      <c r="N6302" s="12" t="n">
        <v>1</v>
      </c>
      <c r="O6302" s="12" t="n">
        <v>1</v>
      </c>
      <c r="P6302" s="12" t="n">
        <v>480</v>
      </c>
      <c r="Q6302" s="12" t="n">
        <v>15</v>
      </c>
      <c r="R6302" s="12" t="n">
        <v>21.2</v>
      </c>
      <c r="S6302" s="12" t="inlineStr">
        <is>
          <t>Duct bank</t>
        </is>
      </c>
      <c r="T6302" s="17" t="n">
        <v>1629</v>
      </c>
      <c r="U6302" s="17" t="n">
        <v>161</v>
      </c>
      <c r="V6302" s="17">
        <f>ROUNDUP((T6302+U6302+2*'Read Me'!$B$13)*(1+'Read Me'!$B$12),-1)</f>
        <v/>
      </c>
      <c r="W6302" s="17">
        <f>V6302*N6302*O6302</f>
        <v/>
      </c>
      <c r="X6302" s="12">
        <f>IF(LEFT(I6302,2)="MV",2*N6302*IF(L6302="1/C",O6302,1),0)</f>
        <v/>
      </c>
      <c r="Y6302" s="12">
        <f>IF(OR(LEFT(K6302,4)="LVAX",LEFT(K6302,6)="MV15AX",LEFT(K6302,4)="CTAX",LEFT(K6302,2)="W|"),2*N6302*O6302,0)</f>
        <v/>
      </c>
      <c r="Z6302" s="12" t="inlineStr">
        <is>
          <t>VD 2.9 %</t>
        </is>
      </c>
      <c r="AA6302" s="12">
        <f>N6302*O6302</f>
        <v/>
      </c>
    </row>
    <row r="6303">
      <c r="A6303" s="12" t="inlineStr">
        <is>
          <t>C-P-0044</t>
        </is>
      </c>
      <c r="B6303" s="12" t="inlineStr">
        <is>
          <t>C</t>
        </is>
      </c>
      <c r="C6303" s="12" t="inlineStr">
        <is>
          <t>Grid interface</t>
        </is>
      </c>
      <c r="D6303" s="12" t="inlineStr">
        <is>
          <t>Motor 15 of 20, 15 kW</t>
        </is>
      </c>
      <c r="E6303" s="12" t="inlineStr">
        <is>
          <t>MCC-C1</t>
        </is>
      </c>
      <c r="F6303" s="12" t="inlineStr">
        <is>
          <t>R1 MCC-C1</t>
        </is>
      </c>
      <c r="G6303" s="12" t="inlineStr"/>
      <c r="H6303" s="12" t="inlineStr">
        <is>
          <t>Water treatment building: rooftop HVAC, exhaust fans, vents</t>
        </is>
      </c>
      <c r="I6303" s="12" t="inlineStr">
        <is>
          <t>LV 600 V</t>
        </is>
      </c>
      <c r="J6303" s="12" t="inlineStr">
        <is>
          <t>Type TC-ER 600 V 3/C Cu XHHW-2 + ground, PVC jacket</t>
        </is>
      </c>
      <c r="K6303" s="12" t="inlineStr">
        <is>
          <t>LV|3/C+G|2</t>
        </is>
      </c>
      <c r="L6303" s="12" t="inlineStr">
        <is>
          <t>3/C+G</t>
        </is>
      </c>
      <c r="M6303" s="12" t="inlineStr">
        <is>
          <t>2</t>
        </is>
      </c>
      <c r="N6303" s="12" t="n">
        <v>1</v>
      </c>
      <c r="O6303" s="12" t="n">
        <v>1</v>
      </c>
      <c r="P6303" s="12" t="n">
        <v>480</v>
      </c>
      <c r="Q6303" s="12" t="n">
        <v>15</v>
      </c>
      <c r="R6303" s="12" t="n">
        <v>21.2</v>
      </c>
      <c r="S6303" s="12" t="inlineStr">
        <is>
          <t>Duct bank</t>
        </is>
      </c>
      <c r="T6303" s="17" t="n">
        <v>1629</v>
      </c>
      <c r="U6303" s="17" t="n">
        <v>161</v>
      </c>
      <c r="V6303" s="17">
        <f>ROUNDUP((T6303+U6303+2*'Read Me'!$B$13)*(1+'Read Me'!$B$12),-1)</f>
        <v/>
      </c>
      <c r="W6303" s="17">
        <f>V6303*N6303*O6303</f>
        <v/>
      </c>
      <c r="X6303" s="12">
        <f>IF(LEFT(I6303,2)="MV",2*N6303*IF(L6303="1/C",O6303,1),0)</f>
        <v/>
      </c>
      <c r="Y6303" s="12">
        <f>IF(OR(LEFT(K6303,4)="LVAX",LEFT(K6303,6)="MV15AX",LEFT(K6303,4)="CTAX",LEFT(K6303,2)="W|"),2*N6303*O6303,0)</f>
        <v/>
      </c>
      <c r="Z6303" s="12" t="inlineStr">
        <is>
          <t>VD 2.9 %</t>
        </is>
      </c>
      <c r="AA6303" s="12">
        <f>N6303*O6303</f>
        <v/>
      </c>
    </row>
    <row r="6304">
      <c r="A6304" s="12" t="inlineStr">
        <is>
          <t>C-P-0045</t>
        </is>
      </c>
      <c r="B6304" s="12" t="inlineStr">
        <is>
          <t>C</t>
        </is>
      </c>
      <c r="C6304" s="12" t="inlineStr">
        <is>
          <t>Grid interface</t>
        </is>
      </c>
      <c r="D6304" s="12" t="inlineStr">
        <is>
          <t>Motor 16 of 20, 15 kW</t>
        </is>
      </c>
      <c r="E6304" s="12" t="inlineStr">
        <is>
          <t>MCC-C1</t>
        </is>
      </c>
      <c r="F6304" s="12" t="inlineStr">
        <is>
          <t>R1 MCC-C1</t>
        </is>
      </c>
      <c r="G6304" s="12" t="inlineStr"/>
      <c r="H6304" s="12" t="inlineStr">
        <is>
          <t>Water treatment building: rooftop HVAC, exhaust fans, vents</t>
        </is>
      </c>
      <c r="I6304" s="12" t="inlineStr">
        <is>
          <t>LV 600 V</t>
        </is>
      </c>
      <c r="J6304" s="12" t="inlineStr">
        <is>
          <t>Type TC-ER 600 V 3/C Cu XHHW-2 + ground, PVC jacket</t>
        </is>
      </c>
      <c r="K6304" s="12" t="inlineStr">
        <is>
          <t>LV|3/C+G|2</t>
        </is>
      </c>
      <c r="L6304" s="12" t="inlineStr">
        <is>
          <t>3/C+G</t>
        </is>
      </c>
      <c r="M6304" s="12" t="inlineStr">
        <is>
          <t>2</t>
        </is>
      </c>
      <c r="N6304" s="12" t="n">
        <v>1</v>
      </c>
      <c r="O6304" s="12" t="n">
        <v>1</v>
      </c>
      <c r="P6304" s="12" t="n">
        <v>480</v>
      </c>
      <c r="Q6304" s="12" t="n">
        <v>15</v>
      </c>
      <c r="R6304" s="12" t="n">
        <v>21.2</v>
      </c>
      <c r="S6304" s="12" t="inlineStr">
        <is>
          <t>Duct bank</t>
        </is>
      </c>
      <c r="T6304" s="17" t="n">
        <v>1629</v>
      </c>
      <c r="U6304" s="17" t="n">
        <v>161</v>
      </c>
      <c r="V6304" s="17">
        <f>ROUNDUP((T6304+U6304+2*'Read Me'!$B$13)*(1+'Read Me'!$B$12),-1)</f>
        <v/>
      </c>
      <c r="W6304" s="17">
        <f>V6304*N6304*O6304</f>
        <v/>
      </c>
      <c r="X6304" s="12">
        <f>IF(LEFT(I6304,2)="MV",2*N6304*IF(L6304="1/C",O6304,1),0)</f>
        <v/>
      </c>
      <c r="Y6304" s="12">
        <f>IF(OR(LEFT(K6304,4)="LVAX",LEFT(K6304,6)="MV15AX",LEFT(K6304,4)="CTAX",LEFT(K6304,2)="W|"),2*N6304*O6304,0)</f>
        <v/>
      </c>
      <c r="Z6304" s="12" t="inlineStr">
        <is>
          <t>VD 2.9 %</t>
        </is>
      </c>
      <c r="AA6304" s="12">
        <f>N6304*O6304</f>
        <v/>
      </c>
    </row>
    <row r="6305">
      <c r="A6305" s="12" t="inlineStr">
        <is>
          <t>C-P-0046</t>
        </is>
      </c>
      <c r="B6305" s="12" t="inlineStr">
        <is>
          <t>C</t>
        </is>
      </c>
      <c r="C6305" s="12" t="inlineStr">
        <is>
          <t>Grid interface</t>
        </is>
      </c>
      <c r="D6305" s="12" t="inlineStr">
        <is>
          <t>Motor 17 of 20, 15 kW</t>
        </is>
      </c>
      <c r="E6305" s="12" t="inlineStr">
        <is>
          <t>MCC-C1</t>
        </is>
      </c>
      <c r="F6305" s="12" t="inlineStr">
        <is>
          <t>R1 MCC-C1</t>
        </is>
      </c>
      <c r="G6305" s="12" t="inlineStr"/>
      <c r="H6305" s="12" t="inlineStr">
        <is>
          <t>Water treatment building: rooftop HVAC, exhaust fans, vents</t>
        </is>
      </c>
      <c r="I6305" s="12" t="inlineStr">
        <is>
          <t>LV 600 V</t>
        </is>
      </c>
      <c r="J6305" s="12" t="inlineStr">
        <is>
          <t>Type TC-ER 600 V 3/C Cu XHHW-2 + ground, PVC jacket</t>
        </is>
      </c>
      <c r="K6305" s="12" t="inlineStr">
        <is>
          <t>LV|3/C+G|2</t>
        </is>
      </c>
      <c r="L6305" s="12" t="inlineStr">
        <is>
          <t>3/C+G</t>
        </is>
      </c>
      <c r="M6305" s="12" t="inlineStr">
        <is>
          <t>2</t>
        </is>
      </c>
      <c r="N6305" s="12" t="n">
        <v>1</v>
      </c>
      <c r="O6305" s="12" t="n">
        <v>1</v>
      </c>
      <c r="P6305" s="12" t="n">
        <v>480</v>
      </c>
      <c r="Q6305" s="12" t="n">
        <v>15</v>
      </c>
      <c r="R6305" s="12" t="n">
        <v>21.2</v>
      </c>
      <c r="S6305" s="12" t="inlineStr">
        <is>
          <t>Duct bank</t>
        </is>
      </c>
      <c r="T6305" s="17" t="n">
        <v>1629</v>
      </c>
      <c r="U6305" s="17" t="n">
        <v>161</v>
      </c>
      <c r="V6305" s="17">
        <f>ROUNDUP((T6305+U6305+2*'Read Me'!$B$13)*(1+'Read Me'!$B$12),-1)</f>
        <v/>
      </c>
      <c r="W6305" s="17">
        <f>V6305*N6305*O6305</f>
        <v/>
      </c>
      <c r="X6305" s="12">
        <f>IF(LEFT(I6305,2)="MV",2*N6305*IF(L6305="1/C",O6305,1),0)</f>
        <v/>
      </c>
      <c r="Y6305" s="12">
        <f>IF(OR(LEFT(K6305,4)="LVAX",LEFT(K6305,6)="MV15AX",LEFT(K6305,4)="CTAX",LEFT(K6305,2)="W|"),2*N6305*O6305,0)</f>
        <v/>
      </c>
      <c r="Z6305" s="12" t="inlineStr">
        <is>
          <t>VD 2.9 %</t>
        </is>
      </c>
      <c r="AA6305" s="12">
        <f>N6305*O6305</f>
        <v/>
      </c>
    </row>
    <row r="6306">
      <c r="A6306" s="12" t="inlineStr">
        <is>
          <t>C-P-0047</t>
        </is>
      </c>
      <c r="B6306" s="12" t="inlineStr">
        <is>
          <t>C</t>
        </is>
      </c>
      <c r="C6306" s="12" t="inlineStr">
        <is>
          <t>Grid interface</t>
        </is>
      </c>
      <c r="D6306" s="12" t="inlineStr">
        <is>
          <t>Motor 18 of 20, 15 kW</t>
        </is>
      </c>
      <c r="E6306" s="12" t="inlineStr">
        <is>
          <t>MCC-C1</t>
        </is>
      </c>
      <c r="F6306" s="12" t="inlineStr">
        <is>
          <t>R1 MCC-C1</t>
        </is>
      </c>
      <c r="G6306" s="12" t="inlineStr"/>
      <c r="H6306" s="12" t="inlineStr">
        <is>
          <t>Water treatment building: rooftop HVAC, exhaust fans, vents</t>
        </is>
      </c>
      <c r="I6306" s="12" t="inlineStr">
        <is>
          <t>LV 600 V</t>
        </is>
      </c>
      <c r="J6306" s="12" t="inlineStr">
        <is>
          <t>Type TC-ER 600 V 3/C Cu XHHW-2 + ground, PVC jacket</t>
        </is>
      </c>
      <c r="K6306" s="12" t="inlineStr">
        <is>
          <t>LV|3/C+G|2</t>
        </is>
      </c>
      <c r="L6306" s="12" t="inlineStr">
        <is>
          <t>3/C+G</t>
        </is>
      </c>
      <c r="M6306" s="12" t="inlineStr">
        <is>
          <t>2</t>
        </is>
      </c>
      <c r="N6306" s="12" t="n">
        <v>1</v>
      </c>
      <c r="O6306" s="12" t="n">
        <v>1</v>
      </c>
      <c r="P6306" s="12" t="n">
        <v>480</v>
      </c>
      <c r="Q6306" s="12" t="n">
        <v>15</v>
      </c>
      <c r="R6306" s="12" t="n">
        <v>21.2</v>
      </c>
      <c r="S6306" s="12" t="inlineStr">
        <is>
          <t>Duct bank</t>
        </is>
      </c>
      <c r="T6306" s="17" t="n">
        <v>1629</v>
      </c>
      <c r="U6306" s="17" t="n">
        <v>161</v>
      </c>
      <c r="V6306" s="17">
        <f>ROUNDUP((T6306+U6306+2*'Read Me'!$B$13)*(1+'Read Me'!$B$12),-1)</f>
        <v/>
      </c>
      <c r="W6306" s="17">
        <f>V6306*N6306*O6306</f>
        <v/>
      </c>
      <c r="X6306" s="12">
        <f>IF(LEFT(I6306,2)="MV",2*N6306*IF(L6306="1/C",O6306,1),0)</f>
        <v/>
      </c>
      <c r="Y6306" s="12">
        <f>IF(OR(LEFT(K6306,4)="LVAX",LEFT(K6306,6)="MV15AX",LEFT(K6306,4)="CTAX",LEFT(K6306,2)="W|"),2*N6306*O6306,0)</f>
        <v/>
      </c>
      <c r="Z6306" s="12" t="inlineStr">
        <is>
          <t>VD 2.9 %</t>
        </is>
      </c>
      <c r="AA6306" s="12">
        <f>N6306*O6306</f>
        <v/>
      </c>
    </row>
    <row r="6307">
      <c r="A6307" s="12" t="inlineStr">
        <is>
          <t>C-P-0048</t>
        </is>
      </c>
      <c r="B6307" s="12" t="inlineStr">
        <is>
          <t>C</t>
        </is>
      </c>
      <c r="C6307" s="12" t="inlineStr">
        <is>
          <t>Grid interface</t>
        </is>
      </c>
      <c r="D6307" s="12" t="inlineStr">
        <is>
          <t>Motor 19 of 20, 15 kW</t>
        </is>
      </c>
      <c r="E6307" s="12" t="inlineStr">
        <is>
          <t>MCC-C1</t>
        </is>
      </c>
      <c r="F6307" s="12" t="inlineStr">
        <is>
          <t>R1 MCC-C1</t>
        </is>
      </c>
      <c r="G6307" s="12" t="inlineStr"/>
      <c r="H6307" s="12" t="inlineStr">
        <is>
          <t>Water treatment building: rooftop HVAC, exhaust fans, vents</t>
        </is>
      </c>
      <c r="I6307" s="12" t="inlineStr">
        <is>
          <t>LV 600 V</t>
        </is>
      </c>
      <c r="J6307" s="12" t="inlineStr">
        <is>
          <t>Type TC-ER 600 V 3/C Cu XHHW-2 + ground, PVC jacket</t>
        </is>
      </c>
      <c r="K6307" s="12" t="inlineStr">
        <is>
          <t>LV|3/C+G|2</t>
        </is>
      </c>
      <c r="L6307" s="12" t="inlineStr">
        <is>
          <t>3/C+G</t>
        </is>
      </c>
      <c r="M6307" s="12" t="inlineStr">
        <is>
          <t>2</t>
        </is>
      </c>
      <c r="N6307" s="12" t="n">
        <v>1</v>
      </c>
      <c r="O6307" s="12" t="n">
        <v>1</v>
      </c>
      <c r="P6307" s="12" t="n">
        <v>480</v>
      </c>
      <c r="Q6307" s="12" t="n">
        <v>15</v>
      </c>
      <c r="R6307" s="12" t="n">
        <v>21.2</v>
      </c>
      <c r="S6307" s="12" t="inlineStr">
        <is>
          <t>Duct bank</t>
        </is>
      </c>
      <c r="T6307" s="17" t="n">
        <v>1629</v>
      </c>
      <c r="U6307" s="17" t="n">
        <v>161</v>
      </c>
      <c r="V6307" s="17">
        <f>ROUNDUP((T6307+U6307+2*'Read Me'!$B$13)*(1+'Read Me'!$B$12),-1)</f>
        <v/>
      </c>
      <c r="W6307" s="17">
        <f>V6307*N6307*O6307</f>
        <v/>
      </c>
      <c r="X6307" s="12">
        <f>IF(LEFT(I6307,2)="MV",2*N6307*IF(L6307="1/C",O6307,1),0)</f>
        <v/>
      </c>
      <c r="Y6307" s="12">
        <f>IF(OR(LEFT(K6307,4)="LVAX",LEFT(K6307,6)="MV15AX",LEFT(K6307,4)="CTAX",LEFT(K6307,2)="W|"),2*N6307*O6307,0)</f>
        <v/>
      </c>
      <c r="Z6307" s="12" t="inlineStr">
        <is>
          <t>VD 2.9 %</t>
        </is>
      </c>
      <c r="AA6307" s="12">
        <f>N6307*O6307</f>
        <v/>
      </c>
    </row>
    <row r="6308">
      <c r="A6308" s="12" t="inlineStr">
        <is>
          <t>C-P-0049</t>
        </is>
      </c>
      <c r="B6308" s="12" t="inlineStr">
        <is>
          <t>C</t>
        </is>
      </c>
      <c r="C6308" s="12" t="inlineStr">
        <is>
          <t>Grid interface</t>
        </is>
      </c>
      <c r="D6308" s="12" t="inlineStr">
        <is>
          <t>Motor 20 of 20, 15 kW</t>
        </is>
      </c>
      <c r="E6308" s="12" t="inlineStr">
        <is>
          <t>MCC-C1</t>
        </is>
      </c>
      <c r="F6308" s="12" t="inlineStr">
        <is>
          <t>R1 MCC-C1</t>
        </is>
      </c>
      <c r="G6308" s="12" t="inlineStr"/>
      <c r="H6308" s="12" t="inlineStr">
        <is>
          <t>Water treatment building: rooftop HVAC, exhaust fans, vents</t>
        </is>
      </c>
      <c r="I6308" s="12" t="inlineStr">
        <is>
          <t>LV 600 V</t>
        </is>
      </c>
      <c r="J6308" s="12" t="inlineStr">
        <is>
          <t>Type TC-ER 600 V 3/C Cu XHHW-2 + ground, PVC jacket</t>
        </is>
      </c>
      <c r="K6308" s="12" t="inlineStr">
        <is>
          <t>LV|3/C+G|2</t>
        </is>
      </c>
      <c r="L6308" s="12" t="inlineStr">
        <is>
          <t>3/C+G</t>
        </is>
      </c>
      <c r="M6308" s="12" t="inlineStr">
        <is>
          <t>2</t>
        </is>
      </c>
      <c r="N6308" s="12" t="n">
        <v>1</v>
      </c>
      <c r="O6308" s="12" t="n">
        <v>1</v>
      </c>
      <c r="P6308" s="12" t="n">
        <v>480</v>
      </c>
      <c r="Q6308" s="12" t="n">
        <v>15</v>
      </c>
      <c r="R6308" s="12" t="n">
        <v>21.2</v>
      </c>
      <c r="S6308" s="12" t="inlineStr">
        <is>
          <t>Duct bank</t>
        </is>
      </c>
      <c r="T6308" s="17" t="n">
        <v>1629</v>
      </c>
      <c r="U6308" s="17" t="n">
        <v>161</v>
      </c>
      <c r="V6308" s="17">
        <f>ROUNDUP((T6308+U6308+2*'Read Me'!$B$13)*(1+'Read Me'!$B$12),-1)</f>
        <v/>
      </c>
      <c r="W6308" s="17">
        <f>V6308*N6308*O6308</f>
        <v/>
      </c>
      <c r="X6308" s="12">
        <f>IF(LEFT(I6308,2)="MV",2*N6308*IF(L6308="1/C",O6308,1),0)</f>
        <v/>
      </c>
      <c r="Y6308" s="12">
        <f>IF(OR(LEFT(K6308,4)="LVAX",LEFT(K6308,6)="MV15AX",LEFT(K6308,4)="CTAX",LEFT(K6308,2)="W|"),2*N6308*O6308,0)</f>
        <v/>
      </c>
      <c r="Z6308" s="12" t="inlineStr">
        <is>
          <t>VD 2.9 %</t>
        </is>
      </c>
      <c r="AA6308" s="12">
        <f>N6308*O6308</f>
        <v/>
      </c>
    </row>
  </sheetData>
  <autoFilter ref="A1:AA63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Schedule'!$AA$2:$AA$6308,'Cable Schedule'!$K$2:$K$6308,A2)</f>
        <v/>
      </c>
      <c r="G2" s="19">
        <f>SUMIFS('Cable Schedule'!$W$2:$W$6308,'Cable Schedule'!$K$2:$K$6308,A2)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Schedule'!$AA$2:$AA$6308,'Cable Schedule'!$K$2:$K$6308,A3)</f>
        <v/>
      </c>
      <c r="G3" s="19">
        <f>SUMIFS('Cable Schedule'!$W$2:$W$6308,'Cable Schedule'!$K$2:$K$6308,A3)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Schedule'!$AA$2:$AA$6308,'Cable Schedule'!$K$2:$K$6308,A4)</f>
        <v/>
      </c>
      <c r="G4" s="19">
        <f>SUMIFS('Cable Schedule'!$W$2:$W$6308,'Cable Schedule'!$K$2:$K$6308,A4)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Schedule'!$AA$2:$AA$6308,'Cable Schedule'!$K$2:$K$6308,A5)</f>
        <v/>
      </c>
      <c r="G5" s="19">
        <f>SUMIFS('Cable Schedule'!$W$2:$W$6308,'Cable Schedule'!$K$2:$K$6308,A5)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Schedule'!$AA$2:$AA$6308,'Cable Schedule'!$K$2:$K$6308,A6)</f>
        <v/>
      </c>
      <c r="G6" s="19">
        <f>SUMIFS('Cable Schedule'!$W$2:$W$6308,'Cable Schedule'!$K$2:$K$6308,A6)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Schedule'!$AA$2:$AA$6308,'Cable Schedule'!$K$2:$K$6308,A7)</f>
        <v/>
      </c>
      <c r="G7" s="19">
        <f>SUMIFS('Cable Schedule'!$W$2:$W$6308,'Cable Schedule'!$K$2:$K$6308,A7)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Schedule'!$AA$2:$AA$6308,'Cable Schedule'!$K$2:$K$6308,A8)</f>
        <v/>
      </c>
      <c r="G8" s="19">
        <f>SUMIFS('Cable Schedule'!$W$2:$W$6308,'Cable Schedule'!$K$2:$K$6308,A8)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Schedule'!$AA$2:$AA$6308,'Cable Schedule'!$K$2:$K$6308,A9)</f>
        <v/>
      </c>
      <c r="G9" s="19">
        <f>SUMIFS('Cable Schedule'!$W$2:$W$6308,'Cable Schedule'!$K$2:$K$6308,A9)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Schedule'!$AA$2:$AA$6308,'Cable Schedule'!$K$2:$K$6308,A10)</f>
        <v/>
      </c>
      <c r="G10" s="19">
        <f>SUMIFS('Cable Schedule'!$W$2:$W$6308,'Cable Schedule'!$K$2:$K$6308,A10)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Schedule'!$AA$2:$AA$6308,'Cable Schedule'!$K$2:$K$6308,A11)</f>
        <v/>
      </c>
      <c r="G11" s="19">
        <f>SUMIFS('Cable Schedule'!$W$2:$W$6308,'Cable Schedule'!$K$2:$K$6308,A11)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Schedule'!$AA$2:$AA$6308,'Cable Schedule'!$K$2:$K$6308,A12)</f>
        <v/>
      </c>
      <c r="G12" s="19">
        <f>SUMIFS('Cable Schedule'!$W$2:$W$6308,'Cable Schedule'!$K$2:$K$6308,A12)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Schedule'!$AA$2:$AA$6308,'Cable Schedule'!$K$2:$K$6308,A13)</f>
        <v/>
      </c>
      <c r="G13" s="19">
        <f>SUMIFS('Cable Schedule'!$W$2:$W$6308,'Cable Schedule'!$K$2:$K$6308,A13)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Schedule'!$AA$2:$AA$6308,'Cable Schedule'!$K$2:$K$6308,A14)</f>
        <v/>
      </c>
      <c r="G14" s="19">
        <f>SUMIFS('Cable Schedule'!$W$2:$W$6308,'Cable Schedule'!$K$2:$K$6308,A14)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Schedule'!$AA$2:$AA$6308,'Cable Schedule'!$K$2:$K$6308,A15)</f>
        <v/>
      </c>
      <c r="G15" s="19">
        <f>SUMIFS('Cable Schedule'!$W$2:$W$6308,'Cable Schedule'!$K$2:$K$6308,A15)</f>
        <v/>
      </c>
      <c r="H15" s="20">
        <f>'Read Me'!$B$14</f>
        <v/>
      </c>
      <c r="I15" s="17">
        <f>ROUNDUP(G15*(1+H15),-2)</f>
        <v/>
      </c>
      <c r="J15" s="21" t="n">
        <v>2500</v>
      </c>
      <c r="K15" s="12">
        <f>IF(J15&gt;0,ROUNDUP(I15/J15,0),0)</f>
        <v/>
      </c>
      <c r="L15" s="22">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8">
        <f>SUMIFS('Cable Schedule'!$AA$2:$AA$6308,'Cable Schedule'!$K$2:$K$6308,A16)</f>
        <v/>
      </c>
      <c r="G16" s="19">
        <f>SUMIFS('Cable Schedule'!$W$2:$W$6308,'Cable Schedule'!$K$2:$K$6308,A16)</f>
        <v/>
      </c>
      <c r="H16" s="20">
        <f>'Read Me'!$B$14</f>
        <v/>
      </c>
      <c r="I16" s="17">
        <f>ROUNDUP(G16*(1+H16),-2)</f>
        <v/>
      </c>
      <c r="J16" s="21" t="n">
        <v>2500</v>
      </c>
      <c r="K16" s="12">
        <f>IF(J16&gt;0,ROUNDUP(I16/J16,0),0)</f>
        <v/>
      </c>
      <c r="L16" s="22">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8">
        <f>SUMIFS('Cable Schedule'!$AA$2:$AA$6308,'Cable Schedule'!$K$2:$K$6308,A17)</f>
        <v/>
      </c>
      <c r="G17" s="19">
        <f>SUMIFS('Cable Schedule'!$W$2:$W$6308,'Cable Schedule'!$K$2:$K$6308,A17)</f>
        <v/>
      </c>
      <c r="H17" s="20">
        <f>'Read Me'!$B$14</f>
        <v/>
      </c>
      <c r="I17" s="17">
        <f>ROUNDUP(G17*(1+H17),-2)</f>
        <v/>
      </c>
      <c r="J17" s="21" t="n">
        <v>2500</v>
      </c>
      <c r="K17" s="12">
        <f>IF(J17&gt;0,ROUNDUP(I17/J17,0),0)</f>
        <v/>
      </c>
      <c r="L17" s="22">
        <f>I17*0.3048/1000</f>
        <v/>
      </c>
    </row>
    <row r="18">
      <c r="A18" s="12" t="inlineStr">
        <is>
          <t>MV25|1/C|2</t>
        </is>
      </c>
      <c r="B18" s="12" t="inlineStr">
        <is>
          <t>MV 25 kV</t>
        </is>
      </c>
      <c r="C18" s="12" t="inlineStr">
        <is>
          <t>MV-105 25 kV 1/C Cu, EPR 133%, Cu tape shield, PVC jacket</t>
        </is>
      </c>
      <c r="D18" s="12" t="inlineStr">
        <is>
          <t>1/C</t>
        </is>
      </c>
      <c r="E18" s="12" t="inlineStr">
        <is>
          <t>2</t>
        </is>
      </c>
      <c r="F18" s="18">
        <f>SUMIFS('Cable Schedule'!$AA$2:$AA$6308,'Cable Schedule'!$K$2:$K$6308,A18)</f>
        <v/>
      </c>
      <c r="G18" s="19">
        <f>SUMIFS('Cable Schedule'!$W$2:$W$6308,'Cable Schedule'!$K$2:$K$6308,A18)</f>
        <v/>
      </c>
      <c r="H18" s="20">
        <f>'Read Me'!$B$14</f>
        <v/>
      </c>
      <c r="I18" s="17">
        <f>ROUNDUP(G18*(1+H18),-2)</f>
        <v/>
      </c>
      <c r="J18" s="21" t="n">
        <v>2500</v>
      </c>
      <c r="K18" s="12">
        <f>IF(J18&gt;0,ROUNDUP(I18/J18,0),0)</f>
        <v/>
      </c>
      <c r="L18" s="22">
        <f>I18*0.3048/1000</f>
        <v/>
      </c>
    </row>
    <row r="19">
      <c r="A19" s="12" t="inlineStr">
        <is>
          <t>MV25|1/C|4/0</t>
        </is>
      </c>
      <c r="B19" s="12" t="inlineStr">
        <is>
          <t>MV 25 kV</t>
        </is>
      </c>
      <c r="C19" s="12" t="inlineStr">
        <is>
          <t>MV-105 25 kV 1/C Cu, EPR 133%, Cu tape shield, PVC jacket</t>
        </is>
      </c>
      <c r="D19" s="12" t="inlineStr">
        <is>
          <t>1/C</t>
        </is>
      </c>
      <c r="E19" s="12" t="inlineStr">
        <is>
          <t>4/0</t>
        </is>
      </c>
      <c r="F19" s="18">
        <f>SUMIFS('Cable Schedule'!$AA$2:$AA$6308,'Cable Schedule'!$K$2:$K$6308,A19)</f>
        <v/>
      </c>
      <c r="G19" s="19">
        <f>SUMIFS('Cable Schedule'!$W$2:$W$6308,'Cable Schedule'!$K$2:$K$6308,A19)</f>
        <v/>
      </c>
      <c r="H19" s="20">
        <f>'Read Me'!$B$14</f>
        <v/>
      </c>
      <c r="I19" s="17">
        <f>ROUNDUP(G19*(1+H19),-2)</f>
        <v/>
      </c>
      <c r="J19" s="21" t="n">
        <v>2500</v>
      </c>
      <c r="K19" s="12">
        <f>IF(J19&gt;0,ROUNDUP(I19/J19,0),0)</f>
        <v/>
      </c>
      <c r="L19" s="22">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8">
        <f>SUMIFS('Cable Schedule'!$AA$2:$AA$6308,'Cable Schedule'!$K$2:$K$6308,A20)</f>
        <v/>
      </c>
      <c r="G20" s="19">
        <f>SUMIFS('Cable Schedule'!$W$2:$W$6308,'Cable Schedule'!$K$2:$K$6308,A20)</f>
        <v/>
      </c>
      <c r="H20" s="20">
        <f>'Read Me'!$B$14</f>
        <v/>
      </c>
      <c r="I20" s="17">
        <f>ROUNDUP(G20*(1+H20),-2)</f>
        <v/>
      </c>
      <c r="J20" s="21" t="n">
        <v>2500</v>
      </c>
      <c r="K20" s="12">
        <f>IF(J20&gt;0,ROUNDUP(I20/J20,0),0)</f>
        <v/>
      </c>
      <c r="L20" s="22">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8">
        <f>SUMIFS('Cable Schedule'!$AA$2:$AA$6308,'Cable Schedule'!$K$2:$K$6308,A21)</f>
        <v/>
      </c>
      <c r="G21" s="19">
        <f>SUMIFS('Cable Schedule'!$W$2:$W$6308,'Cable Schedule'!$K$2:$K$6308,A21)</f>
        <v/>
      </c>
      <c r="H21" s="20">
        <f>'Read Me'!$B$14</f>
        <v/>
      </c>
      <c r="I21" s="17">
        <f>ROUNDUP(G21*(1+H21),-2)</f>
        <v/>
      </c>
      <c r="J21" s="21" t="n">
        <v>2500</v>
      </c>
      <c r="K21" s="12">
        <f>IF(J21&gt;0,ROUNDUP(I21/J21,0),0)</f>
        <v/>
      </c>
      <c r="L21" s="22">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8">
        <f>SUMIFS('Cable Schedule'!$AA$2:$AA$6308,'Cable Schedule'!$K$2:$K$6308,A22)</f>
        <v/>
      </c>
      <c r="G22" s="19">
        <f>SUMIFS('Cable Schedule'!$W$2:$W$6308,'Cable Schedule'!$K$2:$K$6308,A22)</f>
        <v/>
      </c>
      <c r="H22" s="20">
        <f>'Read Me'!$B$14</f>
        <v/>
      </c>
      <c r="I22" s="17">
        <f>ROUNDUP(G22*(1+H22),-2)</f>
        <v/>
      </c>
      <c r="J22" s="21" t="n">
        <v>2500</v>
      </c>
      <c r="K22" s="12">
        <f>IF(J22&gt;0,ROUNDUP(I22/J22,0),0)</f>
        <v/>
      </c>
      <c r="L22" s="22">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8">
        <f>SUMIFS('Cable Schedule'!$AA$2:$AA$6308,'Cable Schedule'!$K$2:$K$6308,A23)</f>
        <v/>
      </c>
      <c r="G23" s="19">
        <f>SUMIFS('Cable Schedule'!$W$2:$W$6308,'Cable Schedule'!$K$2:$K$6308,A23)</f>
        <v/>
      </c>
      <c r="H23" s="20">
        <f>'Read Me'!$B$14</f>
        <v/>
      </c>
      <c r="I23" s="17">
        <f>ROUNDUP(G23*(1+H23),-2)</f>
        <v/>
      </c>
      <c r="J23" s="21" t="n">
        <v>1800</v>
      </c>
      <c r="K23" s="12">
        <f>IF(J23&gt;0,ROUNDUP(I23/J23,0),0)</f>
        <v/>
      </c>
      <c r="L23" s="22">
        <f>I23*0.3048/1000</f>
        <v/>
      </c>
    </row>
    <row r="24">
      <c r="A24" s="12" t="inlineStr">
        <is>
          <t>LV|3/C+G|10</t>
        </is>
      </c>
      <c r="B24" s="12" t="inlineStr">
        <is>
          <t>LV 600 V</t>
        </is>
      </c>
      <c r="C24" s="12" t="inlineStr">
        <is>
          <t>Type TC-ER 600 V 3/C Cu XHHW-2 + ground, PVC jacket</t>
        </is>
      </c>
      <c r="D24" s="12" t="inlineStr">
        <is>
          <t>3/C+G</t>
        </is>
      </c>
      <c r="E24" s="12" t="inlineStr">
        <is>
          <t>10</t>
        </is>
      </c>
      <c r="F24" s="18">
        <f>SUMIFS('Cable Schedule'!$AA$2:$AA$6308,'Cable Schedule'!$K$2:$K$6308,A24)</f>
        <v/>
      </c>
      <c r="G24" s="19">
        <f>SUMIFS('Cable Schedule'!$W$2:$W$6308,'Cable Schedule'!$K$2:$K$6308,A24)</f>
        <v/>
      </c>
      <c r="H24" s="20">
        <f>'Read Me'!$B$14</f>
        <v/>
      </c>
      <c r="I24" s="17">
        <f>ROUNDUP(G24*(1+H24),-2)</f>
        <v/>
      </c>
      <c r="J24" s="21" t="n">
        <v>2500</v>
      </c>
      <c r="K24" s="12">
        <f>IF(J24&gt;0,ROUNDUP(I24/J24,0),0)</f>
        <v/>
      </c>
      <c r="L24" s="22">
        <f>I24*0.3048/1000</f>
        <v/>
      </c>
    </row>
    <row r="25">
      <c r="A25" s="12" t="inlineStr">
        <is>
          <t>LV|1/C|8</t>
        </is>
      </c>
      <c r="B25" s="12" t="inlineStr">
        <is>
          <t>LV 600 V</t>
        </is>
      </c>
      <c r="C25" s="12" t="inlineStr">
        <is>
          <t>Type TC-ER 600 V 3/C Cu XHHW-2 + ground, PVC jacket</t>
        </is>
      </c>
      <c r="D25" s="12" t="inlineStr">
        <is>
          <t>1/C</t>
        </is>
      </c>
      <c r="E25" s="12" t="inlineStr">
        <is>
          <t>8</t>
        </is>
      </c>
      <c r="F25" s="18">
        <f>SUMIFS('Cable Schedule'!$AA$2:$AA$6308,'Cable Schedule'!$K$2:$K$6308,A25)</f>
        <v/>
      </c>
      <c r="G25" s="19">
        <f>SUMIFS('Cable Schedule'!$W$2:$W$6308,'Cable Schedule'!$K$2:$K$6308,A25)</f>
        <v/>
      </c>
      <c r="H25" s="20">
        <f>'Read Me'!$B$14</f>
        <v/>
      </c>
      <c r="I25" s="17">
        <f>ROUNDUP(G25*(1+H25),-2)</f>
        <v/>
      </c>
      <c r="J25" s="21" t="n">
        <v>2500</v>
      </c>
      <c r="K25" s="12">
        <f>IF(J25&gt;0,ROUNDUP(I25/J25,0),0)</f>
        <v/>
      </c>
      <c r="L25" s="22">
        <f>I25*0.3048/1000</f>
        <v/>
      </c>
    </row>
    <row r="26">
      <c r="A26" s="12" t="inlineStr">
        <is>
          <t>LV|3/C+G|8</t>
        </is>
      </c>
      <c r="B26" s="12" t="inlineStr">
        <is>
          <t>LV 600 V</t>
        </is>
      </c>
      <c r="C26" s="12" t="inlineStr">
        <is>
          <t>Type TC-ER 600 V 3/C Cu XHHW-2 + ground, PVC jacket</t>
        </is>
      </c>
      <c r="D26" s="12" t="inlineStr">
        <is>
          <t>3/C+G</t>
        </is>
      </c>
      <c r="E26" s="12" t="inlineStr">
        <is>
          <t>8</t>
        </is>
      </c>
      <c r="F26" s="18">
        <f>SUMIFS('Cable Schedule'!$AA$2:$AA$6308,'Cable Schedule'!$K$2:$K$6308,A26)</f>
        <v/>
      </c>
      <c r="G26" s="19">
        <f>SUMIFS('Cable Schedule'!$W$2:$W$6308,'Cable Schedule'!$K$2:$K$6308,A26)</f>
        <v/>
      </c>
      <c r="H26" s="20">
        <f>'Read Me'!$B$14</f>
        <v/>
      </c>
      <c r="I26" s="17">
        <f>ROUNDUP(G26*(1+H26),-2)</f>
        <v/>
      </c>
      <c r="J26" s="21" t="n">
        <v>2500</v>
      </c>
      <c r="K26" s="12">
        <f>IF(J26&gt;0,ROUNDUP(I26/J26,0),0)</f>
        <v/>
      </c>
      <c r="L26" s="22">
        <f>I26*0.3048/1000</f>
        <v/>
      </c>
    </row>
    <row r="27">
      <c r="A27" s="12" t="inlineStr">
        <is>
          <t>LV|3/C+G|6</t>
        </is>
      </c>
      <c r="B27" s="12" t="inlineStr">
        <is>
          <t>LV 600 V</t>
        </is>
      </c>
      <c r="C27" s="12" t="inlineStr">
        <is>
          <t>Type TC-ER 600 V 3/C Cu XHHW-2 + ground, PVC jacket</t>
        </is>
      </c>
      <c r="D27" s="12" t="inlineStr">
        <is>
          <t>3/C+G</t>
        </is>
      </c>
      <c r="E27" s="12" t="inlineStr">
        <is>
          <t>6</t>
        </is>
      </c>
      <c r="F27" s="18">
        <f>SUMIFS('Cable Schedule'!$AA$2:$AA$6308,'Cable Schedule'!$K$2:$K$6308,A27)</f>
        <v/>
      </c>
      <c r="G27" s="19">
        <f>SUMIFS('Cable Schedule'!$W$2:$W$6308,'Cable Schedule'!$K$2:$K$6308,A27)</f>
        <v/>
      </c>
      <c r="H27" s="20">
        <f>'Read Me'!$B$14</f>
        <v/>
      </c>
      <c r="I27" s="17">
        <f>ROUNDUP(G27*(1+H27),-2)</f>
        <v/>
      </c>
      <c r="J27" s="21" t="n">
        <v>2500</v>
      </c>
      <c r="K27" s="12">
        <f>IF(J27&gt;0,ROUNDUP(I27/J27,0),0)</f>
        <v/>
      </c>
      <c r="L27" s="22">
        <f>I27*0.3048/1000</f>
        <v/>
      </c>
    </row>
    <row r="28">
      <c r="A28" s="12" t="inlineStr">
        <is>
          <t>LV|3/C+G|4</t>
        </is>
      </c>
      <c r="B28" s="12" t="inlineStr">
        <is>
          <t>LV 600 V</t>
        </is>
      </c>
      <c r="C28" s="12" t="inlineStr">
        <is>
          <t>Type TC-ER 600 V 3/C Cu XHHW-2 + ground, PVC jacket</t>
        </is>
      </c>
      <c r="D28" s="12" t="inlineStr">
        <is>
          <t>3/C+G</t>
        </is>
      </c>
      <c r="E28" s="12" t="inlineStr">
        <is>
          <t>4</t>
        </is>
      </c>
      <c r="F28" s="18">
        <f>SUMIFS('Cable Schedule'!$AA$2:$AA$6308,'Cable Schedule'!$K$2:$K$6308,A28)</f>
        <v/>
      </c>
      <c r="G28" s="19">
        <f>SUMIFS('Cable Schedule'!$W$2:$W$6308,'Cable Schedule'!$K$2:$K$6308,A28)</f>
        <v/>
      </c>
      <c r="H28" s="20">
        <f>'Read Me'!$B$14</f>
        <v/>
      </c>
      <c r="I28" s="17">
        <f>ROUNDUP(G28*(1+H28),-2)</f>
        <v/>
      </c>
      <c r="J28" s="21" t="n">
        <v>2500</v>
      </c>
      <c r="K28" s="12">
        <f>IF(J28&gt;0,ROUNDUP(I28/J28,0),0)</f>
        <v/>
      </c>
      <c r="L28" s="22">
        <f>I28*0.3048/1000</f>
        <v/>
      </c>
    </row>
    <row r="29">
      <c r="A29" s="12" t="inlineStr">
        <is>
          <t>LV|3/C+G|2</t>
        </is>
      </c>
      <c r="B29" s="12" t="inlineStr">
        <is>
          <t>LV 600 V</t>
        </is>
      </c>
      <c r="C29" s="12" t="inlineStr">
        <is>
          <t>Type TC-ER 600 V 3/C Cu XHHW-2 + ground, PVC jacket</t>
        </is>
      </c>
      <c r="D29" s="12" t="inlineStr">
        <is>
          <t>3/C+G</t>
        </is>
      </c>
      <c r="E29" s="12" t="inlineStr">
        <is>
          <t>2</t>
        </is>
      </c>
      <c r="F29" s="18">
        <f>SUMIFS('Cable Schedule'!$AA$2:$AA$6308,'Cable Schedule'!$K$2:$K$6308,A29)</f>
        <v/>
      </c>
      <c r="G29" s="19">
        <f>SUMIFS('Cable Schedule'!$W$2:$W$6308,'Cable Schedule'!$K$2:$K$6308,A29)</f>
        <v/>
      </c>
      <c r="H29" s="20">
        <f>'Read Me'!$B$14</f>
        <v/>
      </c>
      <c r="I29" s="17">
        <f>ROUNDUP(G29*(1+H29),-2)</f>
        <v/>
      </c>
      <c r="J29" s="21" t="n">
        <v>2500</v>
      </c>
      <c r="K29" s="12">
        <f>IF(J29&gt;0,ROUNDUP(I29/J29,0),0)</f>
        <v/>
      </c>
      <c r="L29" s="22">
        <f>I29*0.3048/1000</f>
        <v/>
      </c>
    </row>
    <row r="30">
      <c r="A30" s="12" t="inlineStr">
        <is>
          <t>LV|3/C+G|1</t>
        </is>
      </c>
      <c r="B30" s="12" t="inlineStr">
        <is>
          <t>LV 600 V</t>
        </is>
      </c>
      <c r="C30" s="12" t="inlineStr">
        <is>
          <t>Type TC-ER 600 V 3/C Cu XHHW-2 + ground, PVC jacket</t>
        </is>
      </c>
      <c r="D30" s="12" t="inlineStr">
        <is>
          <t>3/C+G</t>
        </is>
      </c>
      <c r="E30" s="12" t="inlineStr">
        <is>
          <t>1</t>
        </is>
      </c>
      <c r="F30" s="18">
        <f>SUMIFS('Cable Schedule'!$AA$2:$AA$6308,'Cable Schedule'!$K$2:$K$6308,A30)</f>
        <v/>
      </c>
      <c r="G30" s="19">
        <f>SUMIFS('Cable Schedule'!$W$2:$W$6308,'Cable Schedule'!$K$2:$K$6308,A30)</f>
        <v/>
      </c>
      <c r="H30" s="20">
        <f>'Read Me'!$B$14</f>
        <v/>
      </c>
      <c r="I30" s="17">
        <f>ROUNDUP(G30*(1+H30),-2)</f>
        <v/>
      </c>
      <c r="J30" s="21" t="n">
        <v>2500</v>
      </c>
      <c r="K30" s="12">
        <f>IF(J30&gt;0,ROUNDUP(I30/J30,0),0)</f>
        <v/>
      </c>
      <c r="L30" s="22">
        <f>I30*0.3048/1000</f>
        <v/>
      </c>
    </row>
    <row r="31">
      <c r="A31" s="12" t="inlineStr">
        <is>
          <t>LV|3/C+G|1/0</t>
        </is>
      </c>
      <c r="B31" s="12" t="inlineStr">
        <is>
          <t>LV 600 V</t>
        </is>
      </c>
      <c r="C31" s="12" t="inlineStr">
        <is>
          <t>Type TC-ER 600 V 3/C Cu XHHW-2 + ground, PVC jacket</t>
        </is>
      </c>
      <c r="D31" s="12" t="inlineStr">
        <is>
          <t>3/C+G</t>
        </is>
      </c>
      <c r="E31" s="12" t="inlineStr">
        <is>
          <t>1/0</t>
        </is>
      </c>
      <c r="F31" s="18">
        <f>SUMIFS('Cable Schedule'!$AA$2:$AA$6308,'Cable Schedule'!$K$2:$K$6308,A31)</f>
        <v/>
      </c>
      <c r="G31" s="19">
        <f>SUMIFS('Cable Schedule'!$W$2:$W$6308,'Cable Schedule'!$K$2:$K$6308,A31)</f>
        <v/>
      </c>
      <c r="H31" s="20">
        <f>'Read Me'!$B$14</f>
        <v/>
      </c>
      <c r="I31" s="17">
        <f>ROUNDUP(G31*(1+H31),-2)</f>
        <v/>
      </c>
      <c r="J31" s="21" t="n">
        <v>2500</v>
      </c>
      <c r="K31" s="12">
        <f>IF(J31&gt;0,ROUNDUP(I31/J31,0),0)</f>
        <v/>
      </c>
      <c r="L31" s="22">
        <f>I31*0.3048/1000</f>
        <v/>
      </c>
    </row>
    <row r="32">
      <c r="A32" s="12" t="inlineStr">
        <is>
          <t>LV|3/C+G|2/0</t>
        </is>
      </c>
      <c r="B32" s="12" t="inlineStr">
        <is>
          <t>LV 600 V</t>
        </is>
      </c>
      <c r="C32" s="12" t="inlineStr">
        <is>
          <t>Type TC-ER 600 V 3/C Cu XHHW-2 + ground, PVC jacket</t>
        </is>
      </c>
      <c r="D32" s="12" t="inlineStr">
        <is>
          <t>3/C+G</t>
        </is>
      </c>
      <c r="E32" s="12" t="inlineStr">
        <is>
          <t>2/0</t>
        </is>
      </c>
      <c r="F32" s="18">
        <f>SUMIFS('Cable Schedule'!$AA$2:$AA$6308,'Cable Schedule'!$K$2:$K$6308,A32)</f>
        <v/>
      </c>
      <c r="G32" s="19">
        <f>SUMIFS('Cable Schedule'!$W$2:$W$6308,'Cable Schedule'!$K$2:$K$6308,A32)</f>
        <v/>
      </c>
      <c r="H32" s="20">
        <f>'Read Me'!$B$14</f>
        <v/>
      </c>
      <c r="I32" s="17">
        <f>ROUNDUP(G32*(1+H32),-2)</f>
        <v/>
      </c>
      <c r="J32" s="21" t="n">
        <v>2500</v>
      </c>
      <c r="K32" s="12">
        <f>IF(J32&gt;0,ROUNDUP(I32/J32,0),0)</f>
        <v/>
      </c>
      <c r="L32" s="22">
        <f>I32*0.3048/1000</f>
        <v/>
      </c>
    </row>
    <row r="33">
      <c r="A33" s="12" t="inlineStr">
        <is>
          <t>LV|3/C+G|3/0</t>
        </is>
      </c>
      <c r="B33" s="12" t="inlineStr">
        <is>
          <t>LV 600 V</t>
        </is>
      </c>
      <c r="C33" s="12" t="inlineStr">
        <is>
          <t>Type TC-ER 600 V 3/C Cu XHHW-2 + ground, PVC jacket</t>
        </is>
      </c>
      <c r="D33" s="12" t="inlineStr">
        <is>
          <t>3/C+G</t>
        </is>
      </c>
      <c r="E33" s="12" t="inlineStr">
        <is>
          <t>3/0</t>
        </is>
      </c>
      <c r="F33" s="18">
        <f>SUMIFS('Cable Schedule'!$AA$2:$AA$6308,'Cable Schedule'!$K$2:$K$6308,A33)</f>
        <v/>
      </c>
      <c r="G33" s="19">
        <f>SUMIFS('Cable Schedule'!$W$2:$W$6308,'Cable Schedule'!$K$2:$K$6308,A33)</f>
        <v/>
      </c>
      <c r="H33" s="20">
        <f>'Read Me'!$B$14</f>
        <v/>
      </c>
      <c r="I33" s="17">
        <f>ROUNDUP(G33*(1+H33),-2)</f>
        <v/>
      </c>
      <c r="J33" s="21" t="n">
        <v>2500</v>
      </c>
      <c r="K33" s="12">
        <f>IF(J33&gt;0,ROUNDUP(I33/J33,0),0)</f>
        <v/>
      </c>
      <c r="L33" s="22">
        <f>I33*0.3048/1000</f>
        <v/>
      </c>
    </row>
    <row r="34">
      <c r="A34" s="12" t="inlineStr">
        <is>
          <t>LV|3/C+G|4/0</t>
        </is>
      </c>
      <c r="B34" s="12" t="inlineStr">
        <is>
          <t>LV 600 V</t>
        </is>
      </c>
      <c r="C34" s="12" t="inlineStr">
        <is>
          <t>Type TC-ER 600 V 3/C Cu XHHW-2 + ground, PVC jacket</t>
        </is>
      </c>
      <c r="D34" s="12" t="inlineStr">
        <is>
          <t>3/C+G</t>
        </is>
      </c>
      <c r="E34" s="12" t="inlineStr">
        <is>
          <t>4/0</t>
        </is>
      </c>
      <c r="F34" s="18">
        <f>SUMIFS('Cable Schedule'!$AA$2:$AA$6308,'Cable Schedule'!$K$2:$K$6308,A34)</f>
        <v/>
      </c>
      <c r="G34" s="19">
        <f>SUMIFS('Cable Schedule'!$W$2:$W$6308,'Cable Schedule'!$K$2:$K$6308,A34)</f>
        <v/>
      </c>
      <c r="H34" s="20">
        <f>'Read Me'!$B$14</f>
        <v/>
      </c>
      <c r="I34" s="17">
        <f>ROUNDUP(G34*(1+H34),-2)</f>
        <v/>
      </c>
      <c r="J34" s="21" t="n">
        <v>2500</v>
      </c>
      <c r="K34" s="12">
        <f>IF(J34&gt;0,ROUNDUP(I34/J34,0),0)</f>
        <v/>
      </c>
      <c r="L34" s="22">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8">
        <f>SUMIFS('Cable Schedule'!$AA$2:$AA$6308,'Cable Schedule'!$K$2:$K$6308,A35)</f>
        <v/>
      </c>
      <c r="G35" s="19">
        <f>SUMIFS('Cable Schedule'!$W$2:$W$6308,'Cable Schedule'!$K$2:$K$6308,A35)</f>
        <v/>
      </c>
      <c r="H35" s="20">
        <f>'Read Me'!$B$14</f>
        <v/>
      </c>
      <c r="I35" s="17">
        <f>ROUNDUP(G35*(1+H35),-2)</f>
        <v/>
      </c>
      <c r="J35" s="21" t="n">
        <v>2500</v>
      </c>
      <c r="K35" s="12">
        <f>IF(J35&gt;0,ROUNDUP(I35/J35,0),0)</f>
        <v/>
      </c>
      <c r="L35" s="22">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8">
        <f>SUMIFS('Cable Schedule'!$AA$2:$AA$6308,'Cable Schedule'!$K$2:$K$6308,A36)</f>
        <v/>
      </c>
      <c r="G36" s="19">
        <f>SUMIFS('Cable Schedule'!$W$2:$W$6308,'Cable Schedule'!$K$2:$K$6308,A36)</f>
        <v/>
      </c>
      <c r="H36" s="20">
        <f>'Read Me'!$B$14</f>
        <v/>
      </c>
      <c r="I36" s="17">
        <f>ROUNDUP(G36*(1+H36),-2)</f>
        <v/>
      </c>
      <c r="J36" s="21" t="n">
        <v>2500</v>
      </c>
      <c r="K36" s="12">
        <f>IF(J36&gt;0,ROUNDUP(I36/J36,0),0)</f>
        <v/>
      </c>
      <c r="L36" s="22">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8">
        <f>SUMIFS('Cable Schedule'!$AA$2:$AA$6308,'Cable Schedule'!$K$2:$K$6308,A37)</f>
        <v/>
      </c>
      <c r="G37" s="19">
        <f>SUMIFS('Cable Schedule'!$W$2:$W$6308,'Cable Schedule'!$K$2:$K$6308,A37)</f>
        <v/>
      </c>
      <c r="H37" s="20">
        <f>'Read Me'!$B$14</f>
        <v/>
      </c>
      <c r="I37" s="17">
        <f>ROUNDUP(G37*(1+H37),-2)</f>
        <v/>
      </c>
      <c r="J37" s="21" t="n">
        <v>2500</v>
      </c>
      <c r="K37" s="12">
        <f>IF(J37&gt;0,ROUNDUP(I37/J37,0),0)</f>
        <v/>
      </c>
      <c r="L37" s="22">
        <f>I37*0.3048/1000</f>
        <v/>
      </c>
    </row>
    <row r="38">
      <c r="A38" s="12" t="inlineStr">
        <is>
          <t>LV1C|1/C|6</t>
        </is>
      </c>
      <c r="B38" s="12" t="inlineStr">
        <is>
          <t>LV 600 V</t>
        </is>
      </c>
      <c r="C38" s="12" t="inlineStr">
        <is>
          <t>XHHW-2 600 V 1/C Cu (feeder sets in tray / duct)</t>
        </is>
      </c>
      <c r="D38" s="12" t="inlineStr">
        <is>
          <t>1/C</t>
        </is>
      </c>
      <c r="E38" s="12" t="inlineStr">
        <is>
          <t>6</t>
        </is>
      </c>
      <c r="F38" s="18">
        <f>SUMIFS('Cable Schedule'!$AA$2:$AA$6308,'Cable Schedule'!$K$2:$K$6308,A38)</f>
        <v/>
      </c>
      <c r="G38" s="19">
        <f>SUMIFS('Cable Schedule'!$W$2:$W$6308,'Cable Schedule'!$K$2:$K$6308,A38)</f>
        <v/>
      </c>
      <c r="H38" s="20">
        <f>'Read Me'!$B$14</f>
        <v/>
      </c>
      <c r="I38" s="17">
        <f>ROUNDUP(G38*(1+H38),-2)</f>
        <v/>
      </c>
      <c r="J38" s="21" t="n">
        <v>2500</v>
      </c>
      <c r="K38" s="12">
        <f>IF(J38&gt;0,ROUNDUP(I38/J38,0),0)</f>
        <v/>
      </c>
      <c r="L38" s="22">
        <f>I38*0.3048/1000</f>
        <v/>
      </c>
    </row>
    <row r="39">
      <c r="A39" s="12" t="inlineStr">
        <is>
          <t>LV1C|1/C|2</t>
        </is>
      </c>
      <c r="B39" s="12" t="inlineStr">
        <is>
          <t>LV 600 V</t>
        </is>
      </c>
      <c r="C39" s="12" t="inlineStr">
        <is>
          <t>XHHW-2 600 V 1/C Cu (feeder sets in tray / duct)</t>
        </is>
      </c>
      <c r="D39" s="12" t="inlineStr">
        <is>
          <t>1/C</t>
        </is>
      </c>
      <c r="E39" s="12" t="inlineStr">
        <is>
          <t>2</t>
        </is>
      </c>
      <c r="F39" s="18">
        <f>SUMIFS('Cable Schedule'!$AA$2:$AA$6308,'Cable Schedule'!$K$2:$K$6308,A39)</f>
        <v/>
      </c>
      <c r="G39" s="19">
        <f>SUMIFS('Cable Schedule'!$W$2:$W$6308,'Cable Schedule'!$K$2:$K$6308,A39)</f>
        <v/>
      </c>
      <c r="H39" s="20">
        <f>'Read Me'!$B$14</f>
        <v/>
      </c>
      <c r="I39" s="17">
        <f>ROUNDUP(G39*(1+H39),-2)</f>
        <v/>
      </c>
      <c r="J39" s="21" t="n">
        <v>2500</v>
      </c>
      <c r="K39" s="12">
        <f>IF(J39&gt;0,ROUNDUP(I39/J39,0),0)</f>
        <v/>
      </c>
      <c r="L39" s="22">
        <f>I39*0.3048/1000</f>
        <v/>
      </c>
    </row>
    <row r="40">
      <c r="A40" s="12" t="inlineStr">
        <is>
          <t>LV1C|1/C|4/0</t>
        </is>
      </c>
      <c r="B40" s="12" t="inlineStr">
        <is>
          <t>LV 600 V</t>
        </is>
      </c>
      <c r="C40" s="12" t="inlineStr">
        <is>
          <t>XHHW-2 600 V 1/C Cu (feeder sets in tray / duct)</t>
        </is>
      </c>
      <c r="D40" s="12" t="inlineStr">
        <is>
          <t>1/C</t>
        </is>
      </c>
      <c r="E40" s="12" t="inlineStr">
        <is>
          <t>4/0</t>
        </is>
      </c>
      <c r="F40" s="18">
        <f>SUMIFS('Cable Schedule'!$AA$2:$AA$6308,'Cable Schedule'!$K$2:$K$6308,A40)</f>
        <v/>
      </c>
      <c r="G40" s="19">
        <f>SUMIFS('Cable Schedule'!$W$2:$W$6308,'Cable Schedule'!$K$2:$K$6308,A40)</f>
        <v/>
      </c>
      <c r="H40" s="20">
        <f>'Read Me'!$B$14</f>
        <v/>
      </c>
      <c r="I40" s="17">
        <f>ROUNDUP(G40*(1+H40),-2)</f>
        <v/>
      </c>
      <c r="J40" s="21" t="n">
        <v>2500</v>
      </c>
      <c r="K40" s="12">
        <f>IF(J40&gt;0,ROUNDUP(I40/J40,0),0)</f>
        <v/>
      </c>
      <c r="L40" s="22">
        <f>I40*0.3048/1000</f>
        <v/>
      </c>
    </row>
    <row r="41">
      <c r="A41" s="12" t="inlineStr">
        <is>
          <t>LV1C|1/C|500</t>
        </is>
      </c>
      <c r="B41" s="12" t="inlineStr">
        <is>
          <t>LV 600 V</t>
        </is>
      </c>
      <c r="C41" s="12" t="inlineStr">
        <is>
          <t>XHHW-2 600 V 1/C Cu (feeder sets in tray / duct)</t>
        </is>
      </c>
      <c r="D41" s="12" t="inlineStr">
        <is>
          <t>1/C</t>
        </is>
      </c>
      <c r="E41" s="12" t="inlineStr">
        <is>
          <t>500 kcmil</t>
        </is>
      </c>
      <c r="F41" s="18">
        <f>SUMIFS('Cable Schedule'!$AA$2:$AA$6308,'Cable Schedule'!$K$2:$K$6308,A41)</f>
        <v/>
      </c>
      <c r="G41" s="19">
        <f>SUMIFS('Cable Schedule'!$W$2:$W$6308,'Cable Schedule'!$K$2:$K$6308,A41)</f>
        <v/>
      </c>
      <c r="H41" s="20">
        <f>'Read Me'!$B$14</f>
        <v/>
      </c>
      <c r="I41" s="17">
        <f>ROUNDUP(G41*(1+H41),-2)</f>
        <v/>
      </c>
      <c r="J41" s="21" t="n">
        <v>2500</v>
      </c>
      <c r="K41" s="12">
        <f>IF(J41&gt;0,ROUNDUP(I41/J41,0),0)</f>
        <v/>
      </c>
      <c r="L41" s="22">
        <f>I41*0.3048/1000</f>
        <v/>
      </c>
    </row>
    <row r="42">
      <c r="A42" s="12" t="inlineStr">
        <is>
          <t>LV1C|1/C|600</t>
        </is>
      </c>
      <c r="B42" s="12" t="inlineStr">
        <is>
          <t>LV 600 V</t>
        </is>
      </c>
      <c r="C42" s="12" t="inlineStr">
        <is>
          <t>XHHW-2 600 V 1/C Cu (feeder sets in tray / duct)</t>
        </is>
      </c>
      <c r="D42" s="12" t="inlineStr">
        <is>
          <t>1/C</t>
        </is>
      </c>
      <c r="E42" s="12" t="inlineStr">
        <is>
          <t>600 kcmil</t>
        </is>
      </c>
      <c r="F42" s="18">
        <f>SUMIFS('Cable Schedule'!$AA$2:$AA$6308,'Cable Schedule'!$K$2:$K$6308,A42)</f>
        <v/>
      </c>
      <c r="G42" s="19">
        <f>SUMIFS('Cable Schedule'!$W$2:$W$6308,'Cable Schedule'!$K$2:$K$6308,A42)</f>
        <v/>
      </c>
      <c r="H42" s="20">
        <f>'Read Me'!$B$14</f>
        <v/>
      </c>
      <c r="I42" s="17">
        <f>ROUNDUP(G42*(1+H42),-2)</f>
        <v/>
      </c>
      <c r="J42" s="21" t="n">
        <v>2500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Schedule'!$AA$2:$AA$6308,'Cable Schedule'!$K$2:$K$6308,A43)</f>
        <v/>
      </c>
      <c r="G43" s="19">
        <f>SUMIFS('Cable Schedule'!$W$2:$W$6308,'Cable Schedule'!$K$2:$K$6308,A43)</f>
        <v/>
      </c>
      <c r="H43" s="20">
        <f>'Read Me'!$B$14</f>
        <v/>
      </c>
      <c r="I43" s="17">
        <f>ROUNDUP(G43*(1+H43),-2)</f>
        <v/>
      </c>
      <c r="J43" s="21" t="n">
        <v>2000</v>
      </c>
      <c r="K43" s="12">
        <f>IF(J43&gt;0,ROUNDUP(I43/J43,0),0)</f>
        <v/>
      </c>
      <c r="L43" s="22">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8">
        <f>SUMIFS('Cable Schedule'!$AA$2:$AA$6308,'Cable Schedule'!$K$2:$K$6308,A44)</f>
        <v/>
      </c>
      <c r="G44" s="19">
        <f>SUMIFS('Cable Schedule'!$W$2:$W$6308,'Cable Schedule'!$K$2:$K$6308,A44)</f>
        <v/>
      </c>
      <c r="H44" s="20">
        <f>'Read Me'!$B$14</f>
        <v/>
      </c>
      <c r="I44" s="17">
        <f>ROUNDUP(G44*(1+H44),-2)</f>
        <v/>
      </c>
      <c r="J44" s="21" t="n">
        <v>2000</v>
      </c>
      <c r="K44" s="12">
        <f>IF(J44&gt;0,ROUNDUP(I44/J44,0),0)</f>
        <v/>
      </c>
      <c r="L44" s="22">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8">
        <f>SUMIFS('Cable Schedule'!$AA$2:$AA$6308,'Cable Schedule'!$K$2:$K$6308,A45)</f>
        <v/>
      </c>
      <c r="G45" s="19">
        <f>SUMIFS('Cable Schedule'!$W$2:$W$6308,'Cable Schedule'!$K$2:$K$6308,A45)</f>
        <v/>
      </c>
      <c r="H45" s="20">
        <f>'Read Me'!$B$14</f>
        <v/>
      </c>
      <c r="I45" s="17">
        <f>ROUNDUP(G45*(1+H45),-2)</f>
        <v/>
      </c>
      <c r="J45" s="21" t="n">
        <v>2000</v>
      </c>
      <c r="K45" s="12">
        <f>IF(J45&gt;0,ROUNDUP(I45/J45,0),0)</f>
        <v/>
      </c>
      <c r="L45" s="22">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8">
        <f>SUMIFS('Cable Schedule'!$AA$2:$AA$6308,'Cable Schedule'!$K$2:$K$6308,A46)</f>
        <v/>
      </c>
      <c r="G46" s="19">
        <f>SUMIFS('Cable Schedule'!$W$2:$W$6308,'Cable Schedule'!$K$2:$K$6308,A46)</f>
        <v/>
      </c>
      <c r="H46" s="20">
        <f>'Read Me'!$B$14</f>
        <v/>
      </c>
      <c r="I46" s="17">
        <f>ROUNDUP(G46*(1+H46),-2)</f>
        <v/>
      </c>
      <c r="J46" s="21" t="n">
        <v>2000</v>
      </c>
      <c r="K46" s="12">
        <f>IF(J46&gt;0,ROUNDUP(I46/J46,0),0)</f>
        <v/>
      </c>
      <c r="L46" s="22">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8">
        <f>SUMIFS('Cable Schedule'!$AA$2:$AA$6308,'Cable Schedule'!$K$2:$K$6308,A47)</f>
        <v/>
      </c>
      <c r="G47" s="19">
        <f>SUMIFS('Cable Schedule'!$W$2:$W$6308,'Cable Schedule'!$K$2:$K$6308,A47)</f>
        <v/>
      </c>
      <c r="H47" s="20">
        <f>'Read Me'!$B$14</f>
        <v/>
      </c>
      <c r="I47" s="17">
        <f>ROUNDUP(G47*(1+H47),-2)</f>
        <v/>
      </c>
      <c r="J47" s="21" t="n">
        <v>2000</v>
      </c>
      <c r="K47" s="12">
        <f>IF(J47&gt;0,ROUNDUP(I47/J47,0),0)</f>
        <v/>
      </c>
      <c r="L47" s="22">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8">
        <f>SUMIFS('Cable Schedule'!$AA$2:$AA$6308,'Cable Schedule'!$K$2:$K$6308,A48)</f>
        <v/>
      </c>
      <c r="G48" s="19">
        <f>SUMIFS('Cable Schedule'!$W$2:$W$6308,'Cable Schedule'!$K$2:$K$6308,A48)</f>
        <v/>
      </c>
      <c r="H48" s="20">
        <f>'Read Me'!$B$14</f>
        <v/>
      </c>
      <c r="I48" s="17">
        <f>ROUNDUP(G48*(1+H48),-2)</f>
        <v/>
      </c>
      <c r="J48" s="21" t="n">
        <v>2000</v>
      </c>
      <c r="K48" s="12">
        <f>IF(J48&gt;0,ROUNDUP(I48/J48,0),0)</f>
        <v/>
      </c>
      <c r="L48" s="22">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8">
        <f>SUMIFS('Cable Schedule'!$AA$2:$AA$6308,'Cable Schedule'!$K$2:$K$6308,A49)</f>
        <v/>
      </c>
      <c r="G49" s="19">
        <f>SUMIFS('Cable Schedule'!$W$2:$W$6308,'Cable Schedule'!$K$2:$K$6308,A49)</f>
        <v/>
      </c>
      <c r="H49" s="20">
        <f>'Read Me'!$B$14</f>
        <v/>
      </c>
      <c r="I49" s="17">
        <f>ROUNDUP(G49*(1+H49),-2)</f>
        <v/>
      </c>
      <c r="J49" s="21" t="n">
        <v>2000</v>
      </c>
      <c r="K49" s="12">
        <f>IF(J49&gt;0,ROUNDUP(I49/J49,0),0)</f>
        <v/>
      </c>
      <c r="L49" s="22">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8">
        <f>SUMIFS('Cable Schedule'!$AA$2:$AA$6308,'Cable Schedule'!$K$2:$K$6308,A50)</f>
        <v/>
      </c>
      <c r="G50" s="19">
        <f>SUMIFS('Cable Schedule'!$W$2:$W$6308,'Cable Schedule'!$K$2:$K$6308,A50)</f>
        <v/>
      </c>
      <c r="H50" s="20">
        <f>'Read Me'!$B$14</f>
        <v/>
      </c>
      <c r="I50" s="17">
        <f>ROUNDUP(G50*(1+H50),-2)</f>
        <v/>
      </c>
      <c r="J50" s="21" t="n">
        <v>2000</v>
      </c>
      <c r="K50" s="12">
        <f>IF(J50&gt;0,ROUNDUP(I50/J50,0),0)</f>
        <v/>
      </c>
      <c r="L50" s="22">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8">
        <f>SUMIFS('Cable Schedule'!$AA$2:$AA$6308,'Cable Schedule'!$K$2:$K$6308,A51)</f>
        <v/>
      </c>
      <c r="G51" s="19">
        <f>SUMIFS('Cable Schedule'!$W$2:$W$6308,'Cable Schedule'!$K$2:$K$6308,A51)</f>
        <v/>
      </c>
      <c r="H51" s="20">
        <f>'Read Me'!$B$14</f>
        <v/>
      </c>
      <c r="I51" s="17">
        <f>ROUNDUP(G51*(1+H51),-2)</f>
        <v/>
      </c>
      <c r="J51" s="21" t="n">
        <v>2000</v>
      </c>
      <c r="K51" s="12">
        <f>IF(J51&gt;0,ROUNDUP(I51/J51,0),0)</f>
        <v/>
      </c>
      <c r="L51" s="22">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8">
        <f>SUMIFS('Cable Schedule'!$AA$2:$AA$6308,'Cable Schedule'!$K$2:$K$6308,A52)</f>
        <v/>
      </c>
      <c r="G52" s="19">
        <f>SUMIFS('Cable Schedule'!$W$2:$W$6308,'Cable Schedule'!$K$2:$K$6308,A52)</f>
        <v/>
      </c>
      <c r="H52" s="20">
        <f>'Read Me'!$B$14</f>
        <v/>
      </c>
      <c r="I52" s="17">
        <f>ROUNDUP(G52*(1+H52),-2)</f>
        <v/>
      </c>
      <c r="J52" s="21" t="n">
        <v>2500</v>
      </c>
      <c r="K52" s="12">
        <f>IF(J52&gt;0,ROUNDUP(I52/J52,0),0)</f>
        <v/>
      </c>
      <c r="L52" s="22">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8">
        <f>SUMIFS('Cable Schedule'!$AA$2:$AA$6308,'Cable Schedule'!$K$2:$K$6308,A53)</f>
        <v/>
      </c>
      <c r="G53" s="19">
        <f>SUMIFS('Cable Schedule'!$W$2:$W$6308,'Cable Schedule'!$K$2:$K$6308,A53)</f>
        <v/>
      </c>
      <c r="H53" s="20">
        <f>'Read Me'!$B$14</f>
        <v/>
      </c>
      <c r="I53" s="17">
        <f>ROUNDUP(G53*(1+H53),-2)</f>
        <v/>
      </c>
      <c r="J53" s="21" t="n">
        <v>2500</v>
      </c>
      <c r="K53" s="12">
        <f>IF(J53&gt;0,ROUNDUP(I53/J53,0),0)</f>
        <v/>
      </c>
      <c r="L53" s="22">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8">
        <f>SUMIFS('Cable Schedule'!$AA$2:$AA$6308,'Cable Schedule'!$K$2:$K$6308,A54)</f>
        <v/>
      </c>
      <c r="G54" s="19">
        <f>SUMIFS('Cable Schedule'!$W$2:$W$6308,'Cable Schedule'!$K$2:$K$6308,A54)</f>
        <v/>
      </c>
      <c r="H54" s="20">
        <f>'Read Me'!$B$14</f>
        <v/>
      </c>
      <c r="I54" s="17">
        <f>ROUNDUP(G54*(1+H54),-2)</f>
        <v/>
      </c>
      <c r="J54" s="21" t="n">
        <v>2500</v>
      </c>
      <c r="K54" s="12">
        <f>IF(J54&gt;0,ROUNDUP(I54/J54,0),0)</f>
        <v/>
      </c>
      <c r="L54" s="22">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8">
        <f>SUMIFS('Cable Schedule'!$AA$2:$AA$6308,'Cable Schedule'!$K$2:$K$6308,A55)</f>
        <v/>
      </c>
      <c r="G55" s="19">
        <f>SUMIFS('Cable Schedule'!$W$2:$W$6308,'Cable Schedule'!$K$2:$K$6308,A55)</f>
        <v/>
      </c>
      <c r="H55" s="20">
        <f>'Read Me'!$B$14</f>
        <v/>
      </c>
      <c r="I55" s="17">
        <f>ROUNDUP(G55*(1+H55),-2)</f>
        <v/>
      </c>
      <c r="J55" s="21" t="n">
        <v>2500</v>
      </c>
      <c r="K55" s="12">
        <f>IF(J55&gt;0,ROUNDUP(I55/J55,0),0)</f>
        <v/>
      </c>
      <c r="L55" s="22">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8">
        <f>SUMIFS('Cable Schedule'!$AA$2:$AA$6308,'Cable Schedule'!$K$2:$K$6308,A56)</f>
        <v/>
      </c>
      <c r="G56" s="19">
        <f>SUMIFS('Cable Schedule'!$W$2:$W$6308,'Cable Schedule'!$K$2:$K$6308,A56)</f>
        <v/>
      </c>
      <c r="H56" s="20">
        <f>'Read Me'!$B$14</f>
        <v/>
      </c>
      <c r="I56" s="17">
        <f>ROUNDUP(G56*(1+H56),-2)</f>
        <v/>
      </c>
      <c r="J56" s="21" t="n">
        <v>2500</v>
      </c>
      <c r="K56" s="12">
        <f>IF(J56&gt;0,ROUNDUP(I56/J56,0),0)</f>
        <v/>
      </c>
      <c r="L56" s="22">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8">
        <f>SUMIFS('Cable Schedule'!$AA$2:$AA$6308,'Cable Schedule'!$K$2:$K$6308,A57)</f>
        <v/>
      </c>
      <c r="G57" s="19">
        <f>SUMIFS('Cable Schedule'!$W$2:$W$6308,'Cable Schedule'!$K$2:$K$6308,A57)</f>
        <v/>
      </c>
      <c r="H57" s="20">
        <f>'Read Me'!$B$14</f>
        <v/>
      </c>
      <c r="I57" s="17">
        <f>ROUNDUP(G57*(1+H57),-2)</f>
        <v/>
      </c>
      <c r="J57" s="21" t="n">
        <v>2500</v>
      </c>
      <c r="K57" s="12">
        <f>IF(J57&gt;0,ROUNDUP(I57/J57,0),0)</f>
        <v/>
      </c>
      <c r="L57" s="22">
        <f>I57*0.3048/1000</f>
        <v/>
      </c>
    </row>
    <row r="58">
      <c r="A58" s="12" t="inlineStr">
        <is>
          <t>CT|12/C|14</t>
        </is>
      </c>
      <c r="B58" s="12" t="inlineStr">
        <is>
          <t>Control</t>
        </is>
      </c>
      <c r="C58" s="12" t="inlineStr">
        <is>
          <t>Control cable 600 V Type TC-ER, Cu #14 AWG, PVC jacket</t>
        </is>
      </c>
      <c r="D58" s="12" t="inlineStr">
        <is>
          <t>12/C</t>
        </is>
      </c>
      <c r="E58" s="12" t="inlineStr">
        <is>
          <t>14</t>
        </is>
      </c>
      <c r="F58" s="18">
        <f>SUMIFS('Cable Schedule'!$AA$2:$AA$6308,'Cable Schedule'!$K$2:$K$6308,A58)</f>
        <v/>
      </c>
      <c r="G58" s="19">
        <f>SUMIFS('Cable Schedule'!$W$2:$W$6308,'Cable Schedule'!$K$2:$K$6308,A58)</f>
        <v/>
      </c>
      <c r="H58" s="20">
        <f>'Read Me'!$B$14</f>
        <v/>
      </c>
      <c r="I58" s="17">
        <f>ROUNDUP(G58*(1+H58),-2)</f>
        <v/>
      </c>
      <c r="J58" s="21" t="n">
        <v>5000</v>
      </c>
      <c r="K58" s="12">
        <f>IF(J58&gt;0,ROUNDUP(I58/J58,0),0)</f>
        <v/>
      </c>
      <c r="L58" s="22">
        <f>I58*0.3048/1000</f>
        <v/>
      </c>
    </row>
    <row r="59">
      <c r="A59" s="12" t="inlineStr">
        <is>
          <t>CT|2/C|14</t>
        </is>
      </c>
      <c r="B59" s="12" t="inlineStr">
        <is>
          <t>Control</t>
        </is>
      </c>
      <c r="C59" s="12" t="inlineStr">
        <is>
          <t>Control cable 600 V Type TC-ER, Cu #14 AWG, PVC jacket</t>
        </is>
      </c>
      <c r="D59" s="12" t="inlineStr">
        <is>
          <t>2/C</t>
        </is>
      </c>
      <c r="E59" s="12" t="inlineStr">
        <is>
          <t>14</t>
        </is>
      </c>
      <c r="F59" s="18">
        <f>SUMIFS('Cable Schedule'!$AA$2:$AA$6308,'Cable Schedule'!$K$2:$K$6308,A59)</f>
        <v/>
      </c>
      <c r="G59" s="19">
        <f>SUMIFS('Cable Schedule'!$W$2:$W$6308,'Cable Schedule'!$K$2:$K$6308,A59)</f>
        <v/>
      </c>
      <c r="H59" s="20">
        <f>'Read Me'!$B$14</f>
        <v/>
      </c>
      <c r="I59" s="17">
        <f>ROUNDUP(G59*(1+H59),-2)</f>
        <v/>
      </c>
      <c r="J59" s="21" t="n">
        <v>5000</v>
      </c>
      <c r="K59" s="12">
        <f>IF(J59&gt;0,ROUNDUP(I59/J59,0),0)</f>
        <v/>
      </c>
      <c r="L59" s="22">
        <f>I59*0.3048/1000</f>
        <v/>
      </c>
    </row>
    <row r="60">
      <c r="A60" s="12" t="inlineStr">
        <is>
          <t>CT|25/C|14</t>
        </is>
      </c>
      <c r="B60" s="12" t="inlineStr">
        <is>
          <t>Control</t>
        </is>
      </c>
      <c r="C60" s="12" t="inlineStr">
        <is>
          <t>Control cable 600 V Type TC-ER, Cu #14 AWG, PVC jacket</t>
        </is>
      </c>
      <c r="D60" s="12" t="inlineStr">
        <is>
          <t>25/C</t>
        </is>
      </c>
      <c r="E60" s="12" t="inlineStr">
        <is>
          <t>14</t>
        </is>
      </c>
      <c r="F60" s="18">
        <f>SUMIFS('Cable Schedule'!$AA$2:$AA$6308,'Cable Schedule'!$K$2:$K$6308,A60)</f>
        <v/>
      </c>
      <c r="G60" s="19">
        <f>SUMIFS('Cable Schedule'!$W$2:$W$6308,'Cable Schedule'!$K$2:$K$6308,A60)</f>
        <v/>
      </c>
      <c r="H60" s="20">
        <f>'Read Me'!$B$14</f>
        <v/>
      </c>
      <c r="I60" s="17">
        <f>ROUNDUP(G60*(1+H60),-2)</f>
        <v/>
      </c>
      <c r="J60" s="21" t="n">
        <v>5000</v>
      </c>
      <c r="K60" s="12">
        <f>IF(J60&gt;0,ROUNDUP(I60/J60,0),0)</f>
        <v/>
      </c>
      <c r="L60" s="22">
        <f>I60*0.3048/1000</f>
        <v/>
      </c>
    </row>
    <row r="61">
      <c r="A61" s="12" t="inlineStr">
        <is>
          <t>CT|7/C|14</t>
        </is>
      </c>
      <c r="B61" s="12" t="inlineStr">
        <is>
          <t>Control</t>
        </is>
      </c>
      <c r="C61" s="12" t="inlineStr">
        <is>
          <t>Control cable 600 V Type TC-ER, Cu #14 AWG, PVC jacket</t>
        </is>
      </c>
      <c r="D61" s="12" t="inlineStr">
        <is>
          <t>7/C</t>
        </is>
      </c>
      <c r="E61" s="12" t="inlineStr">
        <is>
          <t>14</t>
        </is>
      </c>
      <c r="F61" s="18">
        <f>SUMIFS('Cable Schedule'!$AA$2:$AA$6308,'Cable Schedule'!$K$2:$K$6308,A61)</f>
        <v/>
      </c>
      <c r="G61" s="19">
        <f>SUMIFS('Cable Schedule'!$W$2:$W$6308,'Cable Schedule'!$K$2:$K$6308,A61)</f>
        <v/>
      </c>
      <c r="H61" s="20">
        <f>'Read Me'!$B$14</f>
        <v/>
      </c>
      <c r="I61" s="17">
        <f>ROUNDUP(G61*(1+H61),-2)</f>
        <v/>
      </c>
      <c r="J61" s="21" t="n">
        <v>5000</v>
      </c>
      <c r="K61" s="12">
        <f>IF(J61&gt;0,ROUNDUP(I61/J61,0),0)</f>
        <v/>
      </c>
      <c r="L61" s="22">
        <f>I61*0.3048/1000</f>
        <v/>
      </c>
    </row>
    <row r="62">
      <c r="A62" s="12" t="inlineStr">
        <is>
          <t>CTAX|12/C|14</t>
        </is>
      </c>
      <c r="B62" s="12" t="inlineStr">
        <is>
          <t>Control</t>
        </is>
      </c>
      <c r="C62" s="12" t="inlineStr">
        <is>
          <t>ARMOR-X MC-HL 600 V control, Cu #14 AWG (Class I Div 2)</t>
        </is>
      </c>
      <c r="D62" s="12" t="inlineStr">
        <is>
          <t>12/C</t>
        </is>
      </c>
      <c r="E62" s="12" t="inlineStr">
        <is>
          <t>14</t>
        </is>
      </c>
      <c r="F62" s="18">
        <f>SUMIFS('Cable Schedule'!$AA$2:$AA$6308,'Cable Schedule'!$K$2:$K$6308,A62)</f>
        <v/>
      </c>
      <c r="G62" s="19">
        <f>SUMIFS('Cable Schedule'!$W$2:$W$6308,'Cable Schedule'!$K$2:$K$6308,A62)</f>
        <v/>
      </c>
      <c r="H62" s="20">
        <f>'Read Me'!$B$14</f>
        <v/>
      </c>
      <c r="I62" s="17">
        <f>ROUNDUP(G62*(1+H62),-2)</f>
        <v/>
      </c>
      <c r="J62" s="21" t="n">
        <v>3000</v>
      </c>
      <c r="K62" s="12">
        <f>IF(J62&gt;0,ROUNDUP(I62/J62,0),0)</f>
        <v/>
      </c>
      <c r="L62" s="22">
        <f>I62*0.3048/1000</f>
        <v/>
      </c>
    </row>
    <row r="63">
      <c r="A63" s="12" t="inlineStr">
        <is>
          <t>CTAX|2/C|14</t>
        </is>
      </c>
      <c r="B63" s="12" t="inlineStr">
        <is>
          <t>Control</t>
        </is>
      </c>
      <c r="C63" s="12" t="inlineStr">
        <is>
          <t>ARMOR-X MC-HL 600 V control, Cu #14 AWG (Class I Div 2)</t>
        </is>
      </c>
      <c r="D63" s="12" t="inlineStr">
        <is>
          <t>2/C</t>
        </is>
      </c>
      <c r="E63" s="12" t="inlineStr">
        <is>
          <t>14</t>
        </is>
      </c>
      <c r="F63" s="18">
        <f>SUMIFS('Cable Schedule'!$AA$2:$AA$6308,'Cable Schedule'!$K$2:$K$6308,A63)</f>
        <v/>
      </c>
      <c r="G63" s="19">
        <f>SUMIFS('Cable Schedule'!$W$2:$W$6308,'Cable Schedule'!$K$2:$K$6308,A63)</f>
        <v/>
      </c>
      <c r="H63" s="20">
        <f>'Read Me'!$B$14</f>
        <v/>
      </c>
      <c r="I63" s="17">
        <f>ROUNDUP(G63*(1+H63),-2)</f>
        <v/>
      </c>
      <c r="J63" s="21" t="n">
        <v>3000</v>
      </c>
      <c r="K63" s="12">
        <f>IF(J63&gt;0,ROUNDUP(I63/J63,0),0)</f>
        <v/>
      </c>
      <c r="L63" s="22">
        <f>I63*0.3048/1000</f>
        <v/>
      </c>
    </row>
    <row r="64">
      <c r="A64" s="12" t="inlineStr">
        <is>
          <t>CTAX|25/C|14</t>
        </is>
      </c>
      <c r="B64" s="12" t="inlineStr">
        <is>
          <t>Control</t>
        </is>
      </c>
      <c r="C64" s="12" t="inlineStr">
        <is>
          <t>ARMOR-X MC-HL 600 V control, Cu #14 AWG (Class I Div 2)</t>
        </is>
      </c>
      <c r="D64" s="12" t="inlineStr">
        <is>
          <t>25/C</t>
        </is>
      </c>
      <c r="E64" s="12" t="inlineStr">
        <is>
          <t>14</t>
        </is>
      </c>
      <c r="F64" s="18">
        <f>SUMIFS('Cable Schedule'!$AA$2:$AA$6308,'Cable Schedule'!$K$2:$K$6308,A64)</f>
        <v/>
      </c>
      <c r="G64" s="19">
        <f>SUMIFS('Cable Schedule'!$W$2:$W$6308,'Cable Schedule'!$K$2:$K$6308,A64)</f>
        <v/>
      </c>
      <c r="H64" s="20">
        <f>'Read Me'!$B$14</f>
        <v/>
      </c>
      <c r="I64" s="17">
        <f>ROUNDUP(G64*(1+H64),-2)</f>
        <v/>
      </c>
      <c r="J64" s="21" t="n">
        <v>3000</v>
      </c>
      <c r="K64" s="12">
        <f>IF(J64&gt;0,ROUNDUP(I64/J64,0),0)</f>
        <v/>
      </c>
      <c r="L64" s="22">
        <f>I64*0.3048/1000</f>
        <v/>
      </c>
    </row>
    <row r="65">
      <c r="A65" s="12" t="inlineStr">
        <is>
          <t>CTAX|7/C|14</t>
        </is>
      </c>
      <c r="B65" s="12" t="inlineStr">
        <is>
          <t>Control</t>
        </is>
      </c>
      <c r="C65" s="12" t="inlineStr">
        <is>
          <t>ARMOR-X MC-HL 600 V control, Cu #14 AWG (Class I Div 2)</t>
        </is>
      </c>
      <c r="D65" s="12" t="inlineStr">
        <is>
          <t>7/C</t>
        </is>
      </c>
      <c r="E65" s="12" t="inlineStr">
        <is>
          <t>14</t>
        </is>
      </c>
      <c r="F65" s="18">
        <f>SUMIFS('Cable Schedule'!$AA$2:$AA$6308,'Cable Schedule'!$K$2:$K$6308,A65)</f>
        <v/>
      </c>
      <c r="G65" s="19">
        <f>SUMIFS('Cable Schedule'!$W$2:$W$6308,'Cable Schedule'!$K$2:$K$6308,A65)</f>
        <v/>
      </c>
      <c r="H65" s="20">
        <f>'Read Me'!$B$14</f>
        <v/>
      </c>
      <c r="I65" s="17">
        <f>ROUNDUP(G65*(1+H65),-2)</f>
        <v/>
      </c>
      <c r="J65" s="21" t="n">
        <v>3000</v>
      </c>
      <c r="K65" s="12">
        <f>IF(J65&gt;0,ROUNDUP(I65/J65,0),0)</f>
        <v/>
      </c>
      <c r="L65" s="22">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8">
        <f>SUMIFS('Cable Schedule'!$AA$2:$AA$6308,'Cable Schedule'!$K$2:$K$6308,A66)</f>
        <v/>
      </c>
      <c r="G66" s="19">
        <f>SUMIFS('Cable Schedule'!$W$2:$W$6308,'Cable Schedule'!$K$2:$K$6308,A66)</f>
        <v/>
      </c>
      <c r="H66" s="20">
        <f>'Read Me'!$B$14</f>
        <v/>
      </c>
      <c r="I66" s="17">
        <f>ROUNDUP(G66*(1+H66),-2)</f>
        <v/>
      </c>
      <c r="J66" s="21" t="n">
        <v>5000</v>
      </c>
      <c r="K66" s="12">
        <f>IF(J66&gt;0,ROUNDUP(I66/J66,0),0)</f>
        <v/>
      </c>
      <c r="L66" s="22">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8">
        <f>SUMIFS('Cable Schedule'!$AA$2:$AA$6308,'Cable Schedule'!$K$2:$K$6308,A67)</f>
        <v/>
      </c>
      <c r="G67" s="19">
        <f>SUMIFS('Cable Schedule'!$W$2:$W$6308,'Cable Schedule'!$K$2:$K$6308,A67)</f>
        <v/>
      </c>
      <c r="H67" s="20">
        <f>'Read Me'!$B$14</f>
        <v/>
      </c>
      <c r="I67" s="17">
        <f>ROUNDUP(G67*(1+H67),-2)</f>
        <v/>
      </c>
      <c r="J67" s="21" t="n">
        <v>5000</v>
      </c>
      <c r="K67" s="12">
        <f>IF(J67&gt;0,ROUNDUP(I67/J67,0),0)</f>
        <v/>
      </c>
      <c r="L67" s="22">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8">
        <f>SUMIFS('Cable Schedule'!$AA$2:$AA$6308,'Cable Schedule'!$K$2:$K$6308,A68)</f>
        <v/>
      </c>
      <c r="G68" s="19">
        <f>SUMIFS('Cable Schedule'!$W$2:$W$6308,'Cable Schedule'!$K$2:$K$6308,A68)</f>
        <v/>
      </c>
      <c r="H68" s="20">
        <f>'Read Me'!$B$14</f>
        <v/>
      </c>
      <c r="I68" s="17">
        <f>ROUNDUP(G68*(1+H68),-2)</f>
        <v/>
      </c>
      <c r="J68" s="21" t="n">
        <v>5000</v>
      </c>
      <c r="K68" s="12">
        <f>IF(J68&gt;0,ROUNDUP(I68/J68,0),0)</f>
        <v/>
      </c>
      <c r="L68" s="22">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8">
        <f>SUMIFS('Cable Schedule'!$AA$2:$AA$6308,'Cable Schedule'!$K$2:$K$6308,A69)</f>
        <v/>
      </c>
      <c r="G69" s="19">
        <f>SUMIFS('Cable Schedule'!$W$2:$W$6308,'Cable Schedule'!$K$2:$K$6308,A69)</f>
        <v/>
      </c>
      <c r="H69" s="20">
        <f>'Read Me'!$B$14</f>
        <v/>
      </c>
      <c r="I69" s="17">
        <f>ROUNDUP(G69*(1+H69),-2)</f>
        <v/>
      </c>
      <c r="J69" s="21" t="n">
        <v>5000</v>
      </c>
      <c r="K69" s="12">
        <f>IF(J69&gt;0,ROUNDUP(I69/J69,0),0)</f>
        <v/>
      </c>
      <c r="L69" s="22">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8">
        <f>SUMIFS('Cable Schedule'!$AA$2:$AA$6308,'Cable Schedule'!$K$2:$K$6308,A70)</f>
        <v/>
      </c>
      <c r="G70" s="19">
        <f>SUMIFS('Cable Schedule'!$W$2:$W$6308,'Cable Schedule'!$K$2:$K$6308,A70)</f>
        <v/>
      </c>
      <c r="H70" s="20">
        <f>'Read Me'!$B$14</f>
        <v/>
      </c>
      <c r="I70" s="17">
        <f>ROUNDUP(G70*(1+H70),-2)</f>
        <v/>
      </c>
      <c r="J70" s="21" t="n">
        <v>5000</v>
      </c>
      <c r="K70" s="12">
        <f>IF(J70&gt;0,ROUNDUP(I70/J70,0),0)</f>
        <v/>
      </c>
      <c r="L70" s="22">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8">
        <f>SUMIFS('Cable Schedule'!$AA$2:$AA$6308,'Cable Schedule'!$K$2:$K$6308,A71)</f>
        <v/>
      </c>
      <c r="G71" s="19">
        <f>SUMIFS('Cable Schedule'!$W$2:$W$6308,'Cable Schedule'!$K$2:$K$6308,A71)</f>
        <v/>
      </c>
      <c r="H71" s="20">
        <f>'Read Me'!$B$14</f>
        <v/>
      </c>
      <c r="I71" s="17">
        <f>ROUNDUP(G71*(1+H71),-2)</f>
        <v/>
      </c>
      <c r="J71" s="21" t="n">
        <v>5000</v>
      </c>
      <c r="K71" s="12">
        <f>IF(J71&gt;0,ROUNDUP(I71/J71,0),0)</f>
        <v/>
      </c>
      <c r="L71" s="22">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8">
        <f>SUMIFS('Cable Schedule'!$AA$2:$AA$6308,'Cable Schedule'!$K$2:$K$6308,A72)</f>
        <v/>
      </c>
      <c r="G72" s="19">
        <f>SUMIFS('Cable Schedule'!$W$2:$W$6308,'Cable Schedule'!$K$2:$K$6308,A72)</f>
        <v/>
      </c>
      <c r="H72" s="20">
        <f>'Read Me'!$B$14</f>
        <v/>
      </c>
      <c r="I72" s="17">
        <f>ROUNDUP(G72*(1+H72),-2)</f>
        <v/>
      </c>
      <c r="J72" s="21" t="n">
        <v>5000</v>
      </c>
      <c r="K72" s="12">
        <f>IF(J72&gt;0,ROUNDUP(I72/J72,0),0)</f>
        <v/>
      </c>
      <c r="L72" s="22">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8">
        <f>SUMIFS('Cable Schedule'!$AA$2:$AA$6308,'Cable Schedule'!$K$2:$K$6308,A73)</f>
        <v/>
      </c>
      <c r="G73" s="19">
        <f>SUMIFS('Cable Schedule'!$W$2:$W$6308,'Cable Schedule'!$K$2:$K$6308,A73)</f>
        <v/>
      </c>
      <c r="H73" s="20">
        <f>'Read Me'!$B$14</f>
        <v/>
      </c>
      <c r="I73" s="17">
        <f>ROUNDUP(G73*(1+H73),-2)</f>
        <v/>
      </c>
      <c r="J73" s="21" t="n">
        <v>5000</v>
      </c>
      <c r="K73" s="12">
        <f>IF(J73&gt;0,ROUNDUP(I73/J73,0),0)</f>
        <v/>
      </c>
      <c r="L73" s="22">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8">
        <f>SUMIFS('Cable Schedule'!$AA$2:$AA$6308,'Cable Schedule'!$K$2:$K$6308,A74)</f>
        <v/>
      </c>
      <c r="G74" s="19">
        <f>SUMIFS('Cable Schedule'!$W$2:$W$6308,'Cable Schedule'!$K$2:$K$6308,A74)</f>
        <v/>
      </c>
      <c r="H74" s="20">
        <f>'Read Me'!$B$14</f>
        <v/>
      </c>
      <c r="I74" s="17">
        <f>ROUNDUP(G74*(1+H74),-2)</f>
        <v/>
      </c>
      <c r="J74" s="21" t="n">
        <v>5000</v>
      </c>
      <c r="K74" s="12">
        <f>IF(J74&gt;0,ROUNDUP(I74/J74,0),0)</f>
        <v/>
      </c>
      <c r="L74" s="22">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8">
        <f>SUMIFS('Cable Schedule'!$AA$2:$AA$6308,'Cable Schedule'!$K$2:$K$6308,A75)</f>
        <v/>
      </c>
      <c r="G75" s="19">
        <f>SUMIFS('Cable Schedule'!$W$2:$W$6308,'Cable Schedule'!$K$2:$K$6308,A75)</f>
        <v/>
      </c>
      <c r="H75" s="20">
        <f>'Read Me'!$B$14</f>
        <v/>
      </c>
      <c r="I75" s="17">
        <f>ROUNDUP(G75*(1+H75),-2)</f>
        <v/>
      </c>
      <c r="J75" s="21" t="n">
        <v>5000</v>
      </c>
      <c r="K75" s="12">
        <f>IF(J75&gt;0,ROUNDUP(I75/J75,0),0)</f>
        <v/>
      </c>
      <c r="L75" s="22">
        <f>I75*0.3048/1000</f>
        <v/>
      </c>
    </row>
    <row r="76">
      <c r="A76" s="12" t="inlineStr">
        <is>
          <t>RTD|1 tri|18</t>
        </is>
      </c>
      <c r="B76" s="12" t="inlineStr">
        <is>
          <t>Instrumentation</t>
        </is>
      </c>
      <c r="C76" s="12" t="inlineStr">
        <is>
          <t>RTD cable, #18 shielded triads, PLTC</t>
        </is>
      </c>
      <c r="D76" s="12" t="inlineStr">
        <is>
          <t>1 tri</t>
        </is>
      </c>
      <c r="E76" s="12" t="inlineStr">
        <is>
          <t>18</t>
        </is>
      </c>
      <c r="F76" s="18">
        <f>SUMIFS('Cable Schedule'!$AA$2:$AA$6308,'Cable Schedule'!$K$2:$K$6308,A76)</f>
        <v/>
      </c>
      <c r="G76" s="19">
        <f>SUMIFS('Cable Schedule'!$W$2:$W$6308,'Cable Schedule'!$K$2:$K$6308,A76)</f>
        <v/>
      </c>
      <c r="H76" s="20">
        <f>'Read Me'!$B$14</f>
        <v/>
      </c>
      <c r="I76" s="17">
        <f>ROUNDUP(G76*(1+H76),-2)</f>
        <v/>
      </c>
      <c r="J76" s="21" t="n">
        <v>5000</v>
      </c>
      <c r="K76" s="12">
        <f>IF(J76&gt;0,ROUNDUP(I76/J76,0),0)</f>
        <v/>
      </c>
      <c r="L76" s="22">
        <f>I76*0.3048/1000</f>
        <v/>
      </c>
    </row>
    <row r="77">
      <c r="A77" s="12" t="inlineStr">
        <is>
          <t>RTD|12 tri|18</t>
        </is>
      </c>
      <c r="B77" s="12" t="inlineStr">
        <is>
          <t>Instrumentation</t>
        </is>
      </c>
      <c r="C77" s="12" t="inlineStr">
        <is>
          <t>RTD cable, #18 shielded triads, PLTC</t>
        </is>
      </c>
      <c r="D77" s="12" t="inlineStr">
        <is>
          <t>12 tri</t>
        </is>
      </c>
      <c r="E77" s="12" t="inlineStr">
        <is>
          <t>18</t>
        </is>
      </c>
      <c r="F77" s="18">
        <f>SUMIFS('Cable Schedule'!$AA$2:$AA$6308,'Cable Schedule'!$K$2:$K$6308,A77)</f>
        <v/>
      </c>
      <c r="G77" s="19">
        <f>SUMIFS('Cable Schedule'!$W$2:$W$6308,'Cable Schedule'!$K$2:$K$6308,A77)</f>
        <v/>
      </c>
      <c r="H77" s="20">
        <f>'Read Me'!$B$14</f>
        <v/>
      </c>
      <c r="I77" s="17">
        <f>ROUNDUP(G77*(1+H77),-2)</f>
        <v/>
      </c>
      <c r="J77" s="21" t="n">
        <v>5000</v>
      </c>
      <c r="K77" s="12">
        <f>IF(J77&gt;0,ROUNDUP(I77/J77,0),0)</f>
        <v/>
      </c>
      <c r="L77" s="22">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8">
        <f>SUMIFS('Cable Schedule'!$AA$2:$AA$6308,'Cable Schedule'!$K$2:$K$6308,A78)</f>
        <v/>
      </c>
      <c r="G78" s="19">
        <f>SUMIFS('Cable Schedule'!$W$2:$W$6308,'Cable Schedule'!$K$2:$K$6308,A78)</f>
        <v/>
      </c>
      <c r="H78" s="20">
        <f>'Read Me'!$B$14</f>
        <v/>
      </c>
      <c r="I78" s="17">
        <f>ROUNDUP(G78*(1+H78),-2)</f>
        <v/>
      </c>
      <c r="J78" s="21" t="n">
        <v>5000</v>
      </c>
      <c r="K78" s="12">
        <f>IF(J78&gt;0,ROUNDUP(I78/J78,0),0)</f>
        <v/>
      </c>
      <c r="L78" s="22">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8">
        <f>SUMIFS('Cable Schedule'!$AA$2:$AA$6308,'Cable Schedule'!$K$2:$K$6308,A79)</f>
        <v/>
      </c>
      <c r="G79" s="19">
        <f>SUMIFS('Cable Schedule'!$W$2:$W$6308,'Cable Schedule'!$K$2:$K$6308,A79)</f>
        <v/>
      </c>
      <c r="H79" s="20">
        <f>'Read Me'!$B$14</f>
        <v/>
      </c>
      <c r="I79" s="17">
        <f>ROUNDUP(G79*(1+H79),-2)</f>
        <v/>
      </c>
      <c r="J79" s="21" t="n">
        <v>5000</v>
      </c>
      <c r="K79" s="12">
        <f>IF(J79&gt;0,ROUNDUP(I79/J79,0),0)</f>
        <v/>
      </c>
      <c r="L79" s="22">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8">
        <f>SUMIFS('Cable Schedule'!$AA$2:$AA$6308,'Cable Schedule'!$K$2:$K$6308,A80)</f>
        <v/>
      </c>
      <c r="G80" s="19">
        <f>SUMIFS('Cable Schedule'!$W$2:$W$6308,'Cable Schedule'!$K$2:$K$6308,A80)</f>
        <v/>
      </c>
      <c r="H80" s="20">
        <f>'Read Me'!$B$14</f>
        <v/>
      </c>
      <c r="I80" s="17">
        <f>ROUNDUP(G80*(1+H80),-2)</f>
        <v/>
      </c>
      <c r="J80" s="21" t="n">
        <v>5000</v>
      </c>
      <c r="K80" s="12">
        <f>IF(J80&gt;0,ROUNDUP(I80/J80,0),0)</f>
        <v/>
      </c>
      <c r="L80" s="22">
        <f>I80*0.3048/1000</f>
        <v/>
      </c>
    </row>
    <row r="81">
      <c r="A81" s="12" t="inlineStr">
        <is>
          <t>FA|2/C|14</t>
        </is>
      </c>
      <c r="B81" s="12" t="inlineStr">
        <is>
          <t>Fire alarm</t>
        </is>
      </c>
      <c r="C81" s="12" t="inlineStr">
        <is>
          <t>Fire alarm FPLR 2/C #14 shielded, red jacket (NEC 760)</t>
        </is>
      </c>
      <c r="D81" s="12" t="inlineStr">
        <is>
          <t>2/C</t>
        </is>
      </c>
      <c r="E81" s="12" t="inlineStr">
        <is>
          <t>14</t>
        </is>
      </c>
      <c r="F81" s="18">
        <f>SUMIFS('Cable Schedule'!$AA$2:$AA$6308,'Cable Schedule'!$K$2:$K$6308,A81)</f>
        <v/>
      </c>
      <c r="G81" s="19">
        <f>SUMIFS('Cable Schedule'!$W$2:$W$6308,'Cable Schedule'!$K$2:$K$6308,A81)</f>
        <v/>
      </c>
      <c r="H81" s="20">
        <f>'Read Me'!$B$14</f>
        <v/>
      </c>
      <c r="I81" s="17">
        <f>ROUNDUP(G81*(1+H81),-2)</f>
        <v/>
      </c>
      <c r="J81" s="21" t="n">
        <v>5000</v>
      </c>
      <c r="K81" s="12">
        <f>IF(J81&gt;0,ROUNDUP(I81/J81,0),0)</f>
        <v/>
      </c>
      <c r="L81" s="22">
        <f>I81*0.3048/1000</f>
        <v/>
      </c>
    </row>
    <row r="82">
      <c r="A82" s="12" t="inlineStr">
        <is>
          <t>CAT6|4-pr|23</t>
        </is>
      </c>
      <c r="B82" s="12" t="inlineStr">
        <is>
          <t>Fibre / data</t>
        </is>
      </c>
      <c r="C82" s="12" t="inlineStr">
        <is>
          <t>Cat 6A U/FTP 4-pair 23 AWG, plenum CMP (data drops)</t>
        </is>
      </c>
      <c r="D82" s="12" t="inlineStr">
        <is>
          <t>4-pr</t>
        </is>
      </c>
      <c r="E82" s="12" t="inlineStr">
        <is>
          <t>23</t>
        </is>
      </c>
      <c r="F82" s="18">
        <f>SUMIFS('Cable Schedule'!$AA$2:$AA$6308,'Cable Schedule'!$K$2:$K$6308,A82)</f>
        <v/>
      </c>
      <c r="G82" s="19">
        <f>SUMIFS('Cable Schedule'!$W$2:$W$6308,'Cable Schedule'!$K$2:$K$6308,A82)</f>
        <v/>
      </c>
      <c r="H82" s="20">
        <f>'Read Me'!$B$14</f>
        <v/>
      </c>
      <c r="I82" s="17">
        <f>ROUNDUP(G82*(1+H82),-2)</f>
        <v/>
      </c>
      <c r="J82" s="21" t="n">
        <v>1000</v>
      </c>
      <c r="K82" s="12">
        <f>IF(J82&gt;0,ROUNDUP(I82/J82,0),0)</f>
        <v/>
      </c>
      <c r="L82" s="22">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8">
        <f>SUMIFS('Cable Schedule'!$AA$2:$AA$6308,'Cable Schedule'!$K$2:$K$6308,A83)</f>
        <v/>
      </c>
      <c r="G83" s="19">
        <f>SUMIFS('Cable Schedule'!$W$2:$W$6308,'Cable Schedule'!$K$2:$K$6308,A83)</f>
        <v/>
      </c>
      <c r="H83" s="20">
        <f>'Read Me'!$B$14</f>
        <v/>
      </c>
      <c r="I83" s="17">
        <f>ROUNDUP(G83*(1+H83),-2)</f>
        <v/>
      </c>
      <c r="J83" s="21" t="n">
        <v>10000</v>
      </c>
      <c r="K83" s="12">
        <f>IF(J83&gt;0,ROUNDUP(I83/J83,0),0)</f>
        <v/>
      </c>
      <c r="L83" s="22">
        <f>I83*0.3048/1000</f>
        <v/>
      </c>
    </row>
    <row r="84">
      <c r="A84" s="12" t="inlineStr">
        <is>
          <t>PV|1/C|500</t>
        </is>
      </c>
      <c r="B84" s="12" t="inlineStr">
        <is>
          <t>DC 2 kV</t>
        </is>
      </c>
      <c r="C84" s="12" t="inlineStr">
        <is>
          <t>PV / RHW-2 2 kV 1/C Cu, XLPE (DC)</t>
        </is>
      </c>
      <c r="D84" s="12" t="inlineStr">
        <is>
          <t>1/C</t>
        </is>
      </c>
      <c r="E84" s="12" t="inlineStr">
        <is>
          <t>500 kcmil</t>
        </is>
      </c>
      <c r="F84" s="18">
        <f>SUMIFS('Cable Schedule'!$AA$2:$AA$6308,'Cable Schedule'!$K$2:$K$6308,A84)</f>
        <v/>
      </c>
      <c r="G84" s="19">
        <f>SUMIFS('Cable Schedule'!$W$2:$W$6308,'Cable Schedule'!$K$2:$K$6308,A84)</f>
        <v/>
      </c>
      <c r="H84" s="20">
        <f>'Read Me'!$B$14</f>
        <v/>
      </c>
      <c r="I84" s="17">
        <f>ROUNDUP(G84*(1+H84),-2)</f>
        <v/>
      </c>
      <c r="J84" s="21" t="n">
        <v>2500</v>
      </c>
      <c r="K84" s="12">
        <f>IF(J84&gt;0,ROUNDUP(I84/J84,0),0)</f>
        <v/>
      </c>
      <c r="L84" s="22">
        <f>I84*0.3048/1000</f>
        <v/>
      </c>
    </row>
    <row r="85">
      <c r="A85" s="12" t="inlineStr">
        <is>
          <t>PV|1/C|1000</t>
        </is>
      </c>
      <c r="B85" s="12" t="inlineStr">
        <is>
          <t>DC 2 kV</t>
        </is>
      </c>
      <c r="C85" s="12" t="inlineStr">
        <is>
          <t>PV / RHW-2 2 kV 1/C Cu, XLPE (DC)</t>
        </is>
      </c>
      <c r="D85" s="12" t="inlineStr">
        <is>
          <t>1/C</t>
        </is>
      </c>
      <c r="E85" s="12" t="inlineStr">
        <is>
          <t>1000 kcmil</t>
        </is>
      </c>
      <c r="F85" s="18">
        <f>SUMIFS('Cable Schedule'!$AA$2:$AA$6308,'Cable Schedule'!$K$2:$K$6308,A85)</f>
        <v/>
      </c>
      <c r="G85" s="19">
        <f>SUMIFS('Cable Schedule'!$W$2:$W$6308,'Cable Schedule'!$K$2:$K$6308,A85)</f>
        <v/>
      </c>
      <c r="H85" s="20">
        <f>'Read Me'!$B$14</f>
        <v/>
      </c>
      <c r="I85" s="17">
        <f>ROUNDUP(G85*(1+H85),-2)</f>
        <v/>
      </c>
      <c r="J85" s="21" t="n">
        <v>2500</v>
      </c>
      <c r="K85" s="12">
        <f>IF(J85&gt;0,ROUNDUP(I85/J85,0),0)</f>
        <v/>
      </c>
      <c r="L85" s="22">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8">
        <f>SUMIFS('Cable Schedule'!$AA$2:$AA$6308,'Cable Schedule'!$K$2:$K$6308,A86)</f>
        <v/>
      </c>
      <c r="G86" s="19">
        <f>SUMIFS('Cable Schedule'!$W$2:$W$6308,'Cable Schedule'!$K$2:$K$6308,A86)</f>
        <v/>
      </c>
      <c r="H86" s="20">
        <f>'Read Me'!$B$14</f>
        <v/>
      </c>
      <c r="I86" s="17">
        <f>ROUNDUP(G86*(1+H86),-2)</f>
        <v/>
      </c>
      <c r="J86" s="21" t="n">
        <v>1000</v>
      </c>
      <c r="K86" s="12">
        <f>IF(J86&gt;0,ROUNDUP(I86/J86,0),0)</f>
        <v/>
      </c>
      <c r="L86" s="22">
        <f>I86*0.3048/1000</f>
        <v/>
      </c>
    </row>
    <row r="87">
      <c r="A87" s="12" t="inlineStr">
        <is>
          <t>W|1/C|4/0</t>
        </is>
      </c>
      <c r="B87" s="12" t="inlineStr">
        <is>
          <t>Portable LV</t>
        </is>
      </c>
      <c r="C87" s="12" t="inlineStr">
        <is>
          <t>Type W 2 kV 1/C Cu, EPDM / CPE (portable, cam-lock)</t>
        </is>
      </c>
      <c r="D87" s="12" t="inlineStr">
        <is>
          <t>1/C</t>
        </is>
      </c>
      <c r="E87" s="12" t="inlineStr">
        <is>
          <t>4/0</t>
        </is>
      </c>
      <c r="F87" s="18">
        <f>SUMIFS('Cable Schedule'!$AA$2:$AA$6308,'Cable Schedule'!$K$2:$K$6308,A87)</f>
        <v/>
      </c>
      <c r="G87" s="19">
        <f>SUMIFS('Cable Schedule'!$W$2:$W$6308,'Cable Schedule'!$K$2:$K$6308,A87)</f>
        <v/>
      </c>
      <c r="H87" s="20">
        <f>'Read Me'!$B$14</f>
        <v/>
      </c>
      <c r="I87" s="17">
        <f>ROUNDUP(G87*(1+H87),-2)</f>
        <v/>
      </c>
      <c r="J87" s="21" t="n">
        <v>1000</v>
      </c>
      <c r="K87" s="12">
        <f>IF(J87&gt;0,ROUNDUP(I87/J87,0),0)</f>
        <v/>
      </c>
      <c r="L87" s="22">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8">
        <f>SUMIFS('Cable Schedule'!$AA$2:$AA$6308,'Cable Schedule'!$K$2:$K$6308,A88)</f>
        <v/>
      </c>
      <c r="G88" s="19">
        <f>SUMIFS('Cable Schedule'!$W$2:$W$6308,'Cable Schedule'!$K$2:$K$6308,A88)</f>
        <v/>
      </c>
      <c r="H88" s="20">
        <f>'Read Me'!$B$14</f>
        <v/>
      </c>
      <c r="I88" s="17">
        <f>ROUNDUP(G88*(1+H88),-2)</f>
        <v/>
      </c>
      <c r="J88" s="21" t="n">
        <v>1000</v>
      </c>
      <c r="K88" s="12">
        <f>IF(J88&gt;0,ROUNDUP(I88/J88,0),0)</f>
        <v/>
      </c>
      <c r="L88" s="22">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8">
        <f>SUMIFS('Cable Schedule'!$AA$2:$AA$6308,'Cable Schedule'!$K$2:$K$6308,A89)</f>
        <v/>
      </c>
      <c r="G89" s="19">
        <f>SUMIFS('Cable Schedule'!$W$2:$W$6308,'Cable Schedule'!$K$2:$K$6308,A89)</f>
        <v/>
      </c>
      <c r="H89" s="20">
        <f>'Read Me'!$B$14</f>
        <v/>
      </c>
      <c r="I89" s="17">
        <f>ROUNDUP(G89*(1+H89),-2)</f>
        <v/>
      </c>
      <c r="J89" s="21" t="n">
        <v>1000</v>
      </c>
      <c r="K89" s="12">
        <f>IF(J89&gt;0,ROUNDUP(I89/J89,0),0)</f>
        <v/>
      </c>
      <c r="L89" s="22">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8">
        <f>SUMIFS('Cable Schedule'!$AA$2:$AA$6308,'Cable Schedule'!$K$2:$K$6308,A90)</f>
        <v/>
      </c>
      <c r="G90" s="19">
        <f>SUMIFS('Cable Schedule'!$W$2:$W$6308,'Cable Schedule'!$K$2:$K$6308,A90)</f>
        <v/>
      </c>
      <c r="H90" s="20">
        <f>'Read Me'!$B$14</f>
        <v/>
      </c>
      <c r="I90" s="17">
        <f>ROUNDUP(G90*(1+H90),-2)</f>
        <v/>
      </c>
      <c r="J90" s="21" t="n">
        <v>5000</v>
      </c>
      <c r="K90" s="12">
        <f>IF(J90&gt;0,ROUNDUP(I90/J90,0),0)</f>
        <v/>
      </c>
      <c r="L90" s="22">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8">
        <f>SUMIFS('Cable Schedule'!$AA$2:$AA$6308,'Cable Schedule'!$K$2:$K$6308,A91)</f>
        <v/>
      </c>
      <c r="G91" s="19">
        <f>SUMIFS('Cable Schedule'!$W$2:$W$6308,'Cable Schedule'!$K$2:$K$6308,A91)</f>
        <v/>
      </c>
      <c r="H91" s="20">
        <f>'Read Me'!$B$14</f>
        <v/>
      </c>
      <c r="I91" s="17">
        <f>ROUNDUP(G91*(1+H91),-2)</f>
        <v/>
      </c>
      <c r="J91" s="21" t="n">
        <v>5000</v>
      </c>
      <c r="K91" s="12">
        <f>IF(J91&gt;0,ROUNDUP(I91/J91,0),0)</f>
        <v/>
      </c>
      <c r="L91" s="22">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8">
        <f>SUMIFS('Cable Schedule'!$AA$2:$AA$6308,'Cable Schedule'!$K$2:$K$6308,A92)</f>
        <v/>
      </c>
      <c r="G92" s="19">
        <f>SUMIFS('Cable Schedule'!$W$2:$W$6308,'Cable Schedule'!$K$2:$K$6308,A92)</f>
        <v/>
      </c>
      <c r="H92" s="20">
        <f>'Read Me'!$B$14</f>
        <v/>
      </c>
      <c r="I92" s="17">
        <f>ROUNDUP(G92*(1+H92),-2)</f>
        <v/>
      </c>
      <c r="J92" s="21" t="n">
        <v>5000</v>
      </c>
      <c r="K92" s="12">
        <f>IF(J92&gt;0,ROUNDUP(I92/J92,0),0)</f>
        <v/>
      </c>
      <c r="L92" s="22">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8">
        <f>SUMIFS('Cable Schedule'!$AA$2:$AA$6308,'Cable Schedule'!$K$2:$K$6308,A93)</f>
        <v/>
      </c>
      <c r="G93" s="19">
        <f>SUMIFS('Cable Schedule'!$W$2:$W$6308,'Cable Schedule'!$K$2:$K$6308,A93)</f>
        <v/>
      </c>
      <c r="H93" s="20">
        <f>'Read Me'!$B$14</f>
        <v/>
      </c>
      <c r="I93" s="17">
        <f>ROUNDUP(G93*(1+H93),-2)</f>
        <v/>
      </c>
      <c r="J93" s="21" t="n">
        <v>5000</v>
      </c>
      <c r="K93" s="12">
        <f>IF(J93&gt;0,ROUNDUP(I93/J93,0),0)</f>
        <v/>
      </c>
      <c r="L93" s="22">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8">
        <f>SUMIFS('Cable Schedule'!$AA$2:$AA$6308,'Cable Schedule'!$K$2:$K$6308,A94)</f>
        <v/>
      </c>
      <c r="G94" s="19">
        <f>SUMIFS('Cable Schedule'!$W$2:$W$6308,'Cable Schedule'!$K$2:$K$6308,A94)</f>
        <v/>
      </c>
      <c r="H94" s="20">
        <f>'Read Me'!$B$14</f>
        <v/>
      </c>
      <c r="I94" s="17">
        <f>ROUNDUP(G94*(1+H94),-2)</f>
        <v/>
      </c>
      <c r="J94" s="21" t="n">
        <v>5000</v>
      </c>
      <c r="K94" s="12">
        <f>IF(J94&gt;0,ROUNDUP(I94/J94,0),0)</f>
        <v/>
      </c>
      <c r="L94" s="22">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8">
        <f>SUMIFS('Cable Schedule'!$AA$2:$AA$6308,'Cable Schedule'!$K$2:$K$6308,A95)</f>
        <v/>
      </c>
      <c r="G95" s="19">
        <f>SUMIFS('Cable Schedule'!$W$2:$W$6308,'Cable Schedule'!$K$2:$K$6308,A95)</f>
        <v/>
      </c>
      <c r="H95" s="20">
        <f>'Read Me'!$B$14</f>
        <v/>
      </c>
      <c r="I95" s="17">
        <f>ROUNDUP(G95*(1+H95),-2)</f>
        <v/>
      </c>
      <c r="J95" s="21" t="n">
        <v>5000</v>
      </c>
      <c r="K95" s="12">
        <f>IF(J95&gt;0,ROUNDUP(I95/J95,0),0)</f>
        <v/>
      </c>
      <c r="L95" s="22">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8">
        <f>SUMIFS('Cable Schedule'!$AA$2:$AA$6308,'Cable Schedule'!$K$2:$K$6308,A96)</f>
        <v/>
      </c>
      <c r="G96" s="19">
        <f>SUMIFS('Cable Schedule'!$W$2:$W$6308,'Cable Schedule'!$K$2:$K$6308,A96)</f>
        <v/>
      </c>
      <c r="H96" s="20">
        <f>'Read Me'!$B$14</f>
        <v/>
      </c>
      <c r="I96" s="17">
        <f>ROUNDUP(G96*(1+H96),-2)</f>
        <v/>
      </c>
      <c r="J96" s="21" t="n">
        <v>5000</v>
      </c>
      <c r="K96" s="12">
        <f>IF(J96&gt;0,ROUNDUP(I96/J96,0),0)</f>
        <v/>
      </c>
      <c r="L96" s="22">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8">
        <f>SUMIFS('Cable Schedule'!$AA$2:$AA$6308,'Cable Schedule'!$K$2:$K$6308,A97)</f>
        <v/>
      </c>
      <c r="G97" s="19">
        <f>SUMIFS('Cable Schedule'!$W$2:$W$6308,'Cable Schedule'!$K$2:$K$6308,A97)</f>
        <v/>
      </c>
      <c r="H97" s="20">
        <f>'Read Me'!$B$14</f>
        <v/>
      </c>
      <c r="I97" s="17">
        <f>ROUNDUP(G97*(1+H97),-2)</f>
        <v/>
      </c>
      <c r="J97" s="21" t="n">
        <v>7000</v>
      </c>
      <c r="K97" s="12">
        <f>IF(J97&gt;0,ROUNDUP(I97/J97,0),0)</f>
        <v/>
      </c>
      <c r="L97" s="22">
        <f>I97*0.3048/1000</f>
        <v/>
      </c>
    </row>
    <row r="98">
      <c r="C98" s="23" t="inlineStr">
        <is>
          <t>Total</t>
        </is>
      </c>
      <c r="F98" s="24">
        <f>SUM(F2:F97)</f>
        <v/>
      </c>
      <c r="G98" s="24">
        <f>SUM(G2:G97)</f>
        <v/>
      </c>
      <c r="I98" s="24">
        <f>SUM(I2:I97)</f>
        <v/>
      </c>
      <c r="K98" s="24">
        <f>SUM(K2:K97)</f>
        <v/>
      </c>
      <c r="L98" s="25">
        <f>SUM(L2:L97)</f>
        <v/>
      </c>
    </row>
    <row r="100">
      <c r="A100"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Schedule'!X2:X6308)</f>
        <v/>
      </c>
    </row>
    <row r="3">
      <c r="A3" s="12" t="inlineStr">
        <is>
          <t>ARMOR-X / Type W connectors and glands</t>
        </is>
      </c>
      <c r="B3" s="19">
        <f>SUM('Cable Schedule'!Y2:Y6308)</f>
        <v/>
      </c>
    </row>
    <row r="4">
      <c r="A4" s="12" t="inlineStr">
        <is>
          <t>MV splice kits (allowance: 1 per 2,500 ft of MV 1/C)</t>
        </is>
      </c>
      <c r="B4" s="19">
        <f>ROUNDUP(SUMIFS('Cable Schedule'!W2:W6308,'Cable Schedule'!I2:I6308,"MV*",'Cable Schedule'!L2:L6308,"1/C")/2500,0)</f>
        <v/>
      </c>
    </row>
    <row r="5">
      <c r="A5" s="12" t="inlineStr">
        <is>
          <t>230 kV outdoor terminations</t>
        </is>
      </c>
      <c r="B5" s="19">
        <f>2*SUMIFS('Cable Schedule'!O2:O6308,'Cable Schedule'!I2:I6308,"HV 230 kV")</f>
        <v/>
      </c>
    </row>
    <row r="6">
      <c r="A6" s="12" t="inlineStr">
        <is>
          <t>600 V compression lugs (power, 4 per end)</t>
        </is>
      </c>
      <c r="B6" s="19">
        <f>2*4*SUMIFS('Cable Schedule'!N2:N6308,'Cable Schedule'!I2:I6308,"LV 600 V")</f>
        <v/>
      </c>
    </row>
    <row r="7">
      <c r="A7" s="12" t="inlineStr">
        <is>
          <t>Instrument / control cable glands (2 per run)</t>
        </is>
      </c>
      <c r="B7" s="19">
        <f>2*(COUNTIF('Cable Schedule'!I2:I6308,"Control")+COUNTIF('Cable Schedule'!I2:I6308,"Instrumentation"))</f>
        <v/>
      </c>
    </row>
    <row r="8">
      <c r="A8" s="12" t="inlineStr">
        <is>
          <t>Fibre patch / termination (2 per link)</t>
        </is>
      </c>
      <c r="B8" s="19">
        <f>2*COUNTIF('Cable Schedule'!I2:I6308,"Fibre / data")</f>
        <v/>
      </c>
    </row>
    <row r="9">
      <c r="A9" s="12" t="inlineStr">
        <is>
          <t>Ground connections: exothermic welds (allowance 1 per 25 ft of grid)</t>
        </is>
      </c>
      <c r="B9" s="19">
        <f>ROUNDUP(SUMIFS('Cable Schedule'!W2:W6308,'Cable Schedule'!I2:I6308,"Grounding")/25,0)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Schedule'!$W$2:$W$6308,'Cable Schedule'!$B$2:$B$6308,"A",'Cable Schedule'!$I$2:$I$6308,"MV 15 kV")</f>
        <v/>
      </c>
      <c r="C3" s="19">
        <f>SUMIFS('Cable Schedule'!$W$2:$W$6308,'Cable Schedule'!$B$2:$B$6308,"A",'Cable Schedule'!$I$2:$I$6308,"MV 5 kV")</f>
        <v/>
      </c>
      <c r="D3" s="19">
        <f>SUMIFS('Cable Schedule'!$W$2:$W$6308,'Cable Schedule'!$B$2:$B$6308,"A",'Cable Schedule'!$I$2:$I$6308,"MV 25 kV")</f>
        <v/>
      </c>
      <c r="E3" s="19">
        <f>SUMIFS('Cable Schedule'!$W$2:$W$6308,'Cable Schedule'!$B$2:$B$6308,"A",'Cable Schedule'!$I$2:$I$6308,"MV 35 kV")</f>
        <v/>
      </c>
      <c r="F3" s="19">
        <f>SUMIFS('Cable Schedule'!$W$2:$W$6308,'Cable Schedule'!$B$2:$B$6308,"A",'Cable Schedule'!$I$2:$I$6308,"HV 230 kV")</f>
        <v/>
      </c>
      <c r="G3" s="19">
        <f>SUMIFS('Cable Schedule'!$W$2:$W$6308,'Cable Schedule'!$B$2:$B$6308,"A",'Cable Schedule'!$I$2:$I$6308,"LV 600 V")</f>
        <v/>
      </c>
      <c r="H3" s="19">
        <f>SUMIFS('Cable Schedule'!$W$2:$W$6308,'Cable Schedule'!$B$2:$B$6308,"A",'Cable Schedule'!$I$2:$I$6308,"Control")</f>
        <v/>
      </c>
      <c r="I3" s="19">
        <f>SUMIFS('Cable Schedule'!$W$2:$W$6308,'Cable Schedule'!$B$2:$B$6308,"A",'Cable Schedule'!$I$2:$I$6308,"Instrumentation")</f>
        <v/>
      </c>
      <c r="J3" s="19">
        <f>SUMIFS('Cable Schedule'!$W$2:$W$6308,'Cable Schedule'!$B$2:$B$6308,"A",'Cable Schedule'!$I$2:$I$6308,"Fire alarm")</f>
        <v/>
      </c>
      <c r="K3" s="19">
        <f>SUMIFS('Cable Schedule'!$W$2:$W$6308,'Cable Schedule'!$B$2:$B$6308,"A",'Cable Schedule'!$I$2:$I$6308,"Fibre / data")</f>
        <v/>
      </c>
      <c r="L3" s="19">
        <f>SUMIFS('Cable Schedule'!$W$2:$W$6308,'Cable Schedule'!$B$2:$B$6308,"A",'Cable Schedule'!$I$2:$I$6308,"DC 2 kV")</f>
        <v/>
      </c>
      <c r="M3" s="19">
        <f>SUMIFS('Cable Schedule'!$W$2:$W$6308,'Cable Schedule'!$B$2:$B$6308,"A",'Cable Schedule'!$I$2:$I$6308,"Portable MV")</f>
        <v/>
      </c>
      <c r="N3" s="19">
        <f>SUMIFS('Cable Schedule'!$W$2:$W$6308,'Cable Schedule'!$B$2:$B$6308,"A",'Cable Schedule'!$I$2:$I$6308,"Portable LV")</f>
        <v/>
      </c>
      <c r="O3" s="19">
        <f>SUMIFS('Cable Schedule'!$W$2:$W$6308,'Cable Schedule'!$B$2:$B$6308,"A",'Cable Schedule'!$I$2:$I$6308,"Building wire")</f>
        <v/>
      </c>
      <c r="P3" s="19">
        <f>SUMIFS('Cable Schedule'!$W$2:$W$6308,'Cable Schedule'!$B$2:$B$6308,"A",'Cable Schedule'!$I$2:$I$6308,"Grounding")</f>
        <v/>
      </c>
      <c r="Q3" s="19">
        <f>SUMIFS('Cable Schedule'!$W$2:$W$6308,'Cable Schedule'!$B$2:$B$6308,"A",'Cable Schedule'!$I$2:$I$6308,"Overhead")</f>
        <v/>
      </c>
      <c r="R3" s="29">
        <f>SUM(B3:Q3)</f>
        <v/>
      </c>
    </row>
    <row r="4">
      <c r="A4" s="12" t="inlineStr">
        <is>
          <t>B  ACC</t>
        </is>
      </c>
      <c r="B4" s="19">
        <f>SUMIFS('Cable Schedule'!$W$2:$W$6308,'Cable Schedule'!$B$2:$B$6308,"B",'Cable Schedule'!$I$2:$I$6308,"MV 15 kV")</f>
        <v/>
      </c>
      <c r="C4" s="19">
        <f>SUMIFS('Cable Schedule'!$W$2:$W$6308,'Cable Schedule'!$B$2:$B$6308,"B",'Cable Schedule'!$I$2:$I$6308,"MV 5 kV")</f>
        <v/>
      </c>
      <c r="D4" s="19">
        <f>SUMIFS('Cable Schedule'!$W$2:$W$6308,'Cable Schedule'!$B$2:$B$6308,"B",'Cable Schedule'!$I$2:$I$6308,"MV 25 kV")</f>
        <v/>
      </c>
      <c r="E4" s="19">
        <f>SUMIFS('Cable Schedule'!$W$2:$W$6308,'Cable Schedule'!$B$2:$B$6308,"B",'Cable Schedule'!$I$2:$I$6308,"MV 35 kV")</f>
        <v/>
      </c>
      <c r="F4" s="19">
        <f>SUMIFS('Cable Schedule'!$W$2:$W$6308,'Cable Schedule'!$B$2:$B$6308,"B",'Cable Schedule'!$I$2:$I$6308,"HV 230 kV")</f>
        <v/>
      </c>
      <c r="G4" s="19">
        <f>SUMIFS('Cable Schedule'!$W$2:$W$6308,'Cable Schedule'!$B$2:$B$6308,"B",'Cable Schedule'!$I$2:$I$6308,"LV 600 V")</f>
        <v/>
      </c>
      <c r="H4" s="19">
        <f>SUMIFS('Cable Schedule'!$W$2:$W$6308,'Cable Schedule'!$B$2:$B$6308,"B",'Cable Schedule'!$I$2:$I$6308,"Control")</f>
        <v/>
      </c>
      <c r="I4" s="19">
        <f>SUMIFS('Cable Schedule'!$W$2:$W$6308,'Cable Schedule'!$B$2:$B$6308,"B",'Cable Schedule'!$I$2:$I$6308,"Instrumentation")</f>
        <v/>
      </c>
      <c r="J4" s="19">
        <f>SUMIFS('Cable Schedule'!$W$2:$W$6308,'Cable Schedule'!$B$2:$B$6308,"B",'Cable Schedule'!$I$2:$I$6308,"Fire alarm")</f>
        <v/>
      </c>
      <c r="K4" s="19">
        <f>SUMIFS('Cable Schedule'!$W$2:$W$6308,'Cable Schedule'!$B$2:$B$6308,"B",'Cable Schedule'!$I$2:$I$6308,"Fibre / data")</f>
        <v/>
      </c>
      <c r="L4" s="19">
        <f>SUMIFS('Cable Schedule'!$W$2:$W$6308,'Cable Schedule'!$B$2:$B$6308,"B",'Cable Schedule'!$I$2:$I$6308,"DC 2 kV")</f>
        <v/>
      </c>
      <c r="M4" s="19">
        <f>SUMIFS('Cable Schedule'!$W$2:$W$6308,'Cable Schedule'!$B$2:$B$6308,"B",'Cable Schedule'!$I$2:$I$6308,"Portable MV")</f>
        <v/>
      </c>
      <c r="N4" s="19">
        <f>SUMIFS('Cable Schedule'!$W$2:$W$6308,'Cable Schedule'!$B$2:$B$6308,"B",'Cable Schedule'!$I$2:$I$6308,"Portable LV")</f>
        <v/>
      </c>
      <c r="O4" s="19">
        <f>SUMIFS('Cable Schedule'!$W$2:$W$6308,'Cable Schedule'!$B$2:$B$6308,"B",'Cable Schedule'!$I$2:$I$6308,"Building wire")</f>
        <v/>
      </c>
      <c r="P4" s="19">
        <f>SUMIFS('Cable Schedule'!$W$2:$W$6308,'Cable Schedule'!$B$2:$B$6308,"B",'Cable Schedule'!$I$2:$I$6308,"Grounding")</f>
        <v/>
      </c>
      <c r="Q4" s="19">
        <f>SUMIFS('Cable Schedule'!$W$2:$W$6308,'Cable Schedule'!$B$2:$B$6308,"B",'Cable Schedule'!$I$2:$I$6308,"Overhead")</f>
        <v/>
      </c>
      <c r="R4" s="29">
        <f>SUM(B4:Q4)</f>
        <v/>
      </c>
    </row>
    <row r="5">
      <c r="A5" s="12" t="inlineStr">
        <is>
          <t>C  Grid interface</t>
        </is>
      </c>
      <c r="B5" s="19">
        <f>SUMIFS('Cable Schedule'!$W$2:$W$6308,'Cable Schedule'!$B$2:$B$6308,"C",'Cable Schedule'!$I$2:$I$6308,"MV 15 kV")</f>
        <v/>
      </c>
      <c r="C5" s="19">
        <f>SUMIFS('Cable Schedule'!$W$2:$W$6308,'Cable Schedule'!$B$2:$B$6308,"C",'Cable Schedule'!$I$2:$I$6308,"MV 5 kV")</f>
        <v/>
      </c>
      <c r="D5" s="19">
        <f>SUMIFS('Cable Schedule'!$W$2:$W$6308,'Cable Schedule'!$B$2:$B$6308,"C",'Cable Schedule'!$I$2:$I$6308,"MV 25 kV")</f>
        <v/>
      </c>
      <c r="E5" s="19">
        <f>SUMIFS('Cable Schedule'!$W$2:$W$6308,'Cable Schedule'!$B$2:$B$6308,"C",'Cable Schedule'!$I$2:$I$6308,"MV 35 kV")</f>
        <v/>
      </c>
      <c r="F5" s="19">
        <f>SUMIFS('Cable Schedule'!$W$2:$W$6308,'Cable Schedule'!$B$2:$B$6308,"C",'Cable Schedule'!$I$2:$I$6308,"HV 230 kV")</f>
        <v/>
      </c>
      <c r="G5" s="19">
        <f>SUMIFS('Cable Schedule'!$W$2:$W$6308,'Cable Schedule'!$B$2:$B$6308,"C",'Cable Schedule'!$I$2:$I$6308,"LV 600 V")</f>
        <v/>
      </c>
      <c r="H5" s="19">
        <f>SUMIFS('Cable Schedule'!$W$2:$W$6308,'Cable Schedule'!$B$2:$B$6308,"C",'Cable Schedule'!$I$2:$I$6308,"Control")</f>
        <v/>
      </c>
      <c r="I5" s="19">
        <f>SUMIFS('Cable Schedule'!$W$2:$W$6308,'Cable Schedule'!$B$2:$B$6308,"C",'Cable Schedule'!$I$2:$I$6308,"Instrumentation")</f>
        <v/>
      </c>
      <c r="J5" s="19">
        <f>SUMIFS('Cable Schedule'!$W$2:$W$6308,'Cable Schedule'!$B$2:$B$6308,"C",'Cable Schedule'!$I$2:$I$6308,"Fire alarm")</f>
        <v/>
      </c>
      <c r="K5" s="19">
        <f>SUMIFS('Cable Schedule'!$W$2:$W$6308,'Cable Schedule'!$B$2:$B$6308,"C",'Cable Schedule'!$I$2:$I$6308,"Fibre / data")</f>
        <v/>
      </c>
      <c r="L5" s="19">
        <f>SUMIFS('Cable Schedule'!$W$2:$W$6308,'Cable Schedule'!$B$2:$B$6308,"C",'Cable Schedule'!$I$2:$I$6308,"DC 2 kV")</f>
        <v/>
      </c>
      <c r="M5" s="19">
        <f>SUMIFS('Cable Schedule'!$W$2:$W$6308,'Cable Schedule'!$B$2:$B$6308,"C",'Cable Schedule'!$I$2:$I$6308,"Portable MV")</f>
        <v/>
      </c>
      <c r="N5" s="19">
        <f>SUMIFS('Cable Schedule'!$W$2:$W$6308,'Cable Schedule'!$B$2:$B$6308,"C",'Cable Schedule'!$I$2:$I$6308,"Portable LV")</f>
        <v/>
      </c>
      <c r="O5" s="19">
        <f>SUMIFS('Cable Schedule'!$W$2:$W$6308,'Cable Schedule'!$B$2:$B$6308,"C",'Cable Schedule'!$I$2:$I$6308,"Building wire")</f>
        <v/>
      </c>
      <c r="P5" s="19">
        <f>SUMIFS('Cable Schedule'!$W$2:$W$6308,'Cable Schedule'!$B$2:$B$6308,"C",'Cable Schedule'!$I$2:$I$6308,"Grounding")</f>
        <v/>
      </c>
      <c r="Q5" s="19">
        <f>SUMIFS('Cable Schedule'!$W$2:$W$6308,'Cable Schedule'!$B$2:$B$6308,"C",'Cable Schedule'!$I$2:$I$6308,"Overhead")</f>
        <v/>
      </c>
      <c r="R5" s="29">
        <f>SUM(B5:Q5)</f>
        <v/>
      </c>
    </row>
    <row r="6">
      <c r="A6" s="12" t="inlineStr">
        <is>
          <t>D  Fuel gas</t>
        </is>
      </c>
      <c r="B6" s="19">
        <f>SUMIFS('Cable Schedule'!$W$2:$W$6308,'Cable Schedule'!$B$2:$B$6308,"D",'Cable Schedule'!$I$2:$I$6308,"MV 15 kV")</f>
        <v/>
      </c>
      <c r="C6" s="19">
        <f>SUMIFS('Cable Schedule'!$W$2:$W$6308,'Cable Schedule'!$B$2:$B$6308,"D",'Cable Schedule'!$I$2:$I$6308,"MV 5 kV")</f>
        <v/>
      </c>
      <c r="D6" s="19">
        <f>SUMIFS('Cable Schedule'!$W$2:$W$6308,'Cable Schedule'!$B$2:$B$6308,"D",'Cable Schedule'!$I$2:$I$6308,"MV 25 kV")</f>
        <v/>
      </c>
      <c r="E6" s="19">
        <f>SUMIFS('Cable Schedule'!$W$2:$W$6308,'Cable Schedule'!$B$2:$B$6308,"D",'Cable Schedule'!$I$2:$I$6308,"MV 35 kV")</f>
        <v/>
      </c>
      <c r="F6" s="19">
        <f>SUMIFS('Cable Schedule'!$W$2:$W$6308,'Cable Schedule'!$B$2:$B$6308,"D",'Cable Schedule'!$I$2:$I$6308,"HV 230 kV")</f>
        <v/>
      </c>
      <c r="G6" s="19">
        <f>SUMIFS('Cable Schedule'!$W$2:$W$6308,'Cable Schedule'!$B$2:$B$6308,"D",'Cable Schedule'!$I$2:$I$6308,"LV 600 V")</f>
        <v/>
      </c>
      <c r="H6" s="19">
        <f>SUMIFS('Cable Schedule'!$W$2:$W$6308,'Cable Schedule'!$B$2:$B$6308,"D",'Cable Schedule'!$I$2:$I$6308,"Control")</f>
        <v/>
      </c>
      <c r="I6" s="19">
        <f>SUMIFS('Cable Schedule'!$W$2:$W$6308,'Cable Schedule'!$B$2:$B$6308,"D",'Cable Schedule'!$I$2:$I$6308,"Instrumentation")</f>
        <v/>
      </c>
      <c r="J6" s="19">
        <f>SUMIFS('Cable Schedule'!$W$2:$W$6308,'Cable Schedule'!$B$2:$B$6308,"D",'Cable Schedule'!$I$2:$I$6308,"Fire alarm")</f>
        <v/>
      </c>
      <c r="K6" s="19">
        <f>SUMIFS('Cable Schedule'!$W$2:$W$6308,'Cable Schedule'!$B$2:$B$6308,"D",'Cable Schedule'!$I$2:$I$6308,"Fibre / data")</f>
        <v/>
      </c>
      <c r="L6" s="19">
        <f>SUMIFS('Cable Schedule'!$W$2:$W$6308,'Cable Schedule'!$B$2:$B$6308,"D",'Cable Schedule'!$I$2:$I$6308,"DC 2 kV")</f>
        <v/>
      </c>
      <c r="M6" s="19">
        <f>SUMIFS('Cable Schedule'!$W$2:$W$6308,'Cable Schedule'!$B$2:$B$6308,"D",'Cable Schedule'!$I$2:$I$6308,"Portable MV")</f>
        <v/>
      </c>
      <c r="N6" s="19">
        <f>SUMIFS('Cable Schedule'!$W$2:$W$6308,'Cable Schedule'!$B$2:$B$6308,"D",'Cable Schedule'!$I$2:$I$6308,"Portable LV")</f>
        <v/>
      </c>
      <c r="O6" s="19">
        <f>SUMIFS('Cable Schedule'!$W$2:$W$6308,'Cable Schedule'!$B$2:$B$6308,"D",'Cable Schedule'!$I$2:$I$6308,"Building wire")</f>
        <v/>
      </c>
      <c r="P6" s="19">
        <f>SUMIFS('Cable Schedule'!$W$2:$W$6308,'Cable Schedule'!$B$2:$B$6308,"D",'Cable Schedule'!$I$2:$I$6308,"Grounding")</f>
        <v/>
      </c>
      <c r="Q6" s="19">
        <f>SUMIFS('Cable Schedule'!$W$2:$W$6308,'Cable Schedule'!$B$2:$B$6308,"D",'Cable Schedule'!$I$2:$I$6308,"Overhead")</f>
        <v/>
      </c>
      <c r="R6" s="29">
        <f>SUM(B6:Q6)</f>
        <v/>
      </c>
    </row>
    <row r="7">
      <c r="A7" s="12" t="inlineStr">
        <is>
          <t>E  Water / utilities</t>
        </is>
      </c>
      <c r="B7" s="19">
        <f>SUMIFS('Cable Schedule'!$W$2:$W$6308,'Cable Schedule'!$B$2:$B$6308,"E",'Cable Schedule'!$I$2:$I$6308,"MV 15 kV")</f>
        <v/>
      </c>
      <c r="C7" s="19">
        <f>SUMIFS('Cable Schedule'!$W$2:$W$6308,'Cable Schedule'!$B$2:$B$6308,"E",'Cable Schedule'!$I$2:$I$6308,"MV 5 kV")</f>
        <v/>
      </c>
      <c r="D7" s="19">
        <f>SUMIFS('Cable Schedule'!$W$2:$W$6308,'Cable Schedule'!$B$2:$B$6308,"E",'Cable Schedule'!$I$2:$I$6308,"MV 25 kV")</f>
        <v/>
      </c>
      <c r="E7" s="19">
        <f>SUMIFS('Cable Schedule'!$W$2:$W$6308,'Cable Schedule'!$B$2:$B$6308,"E",'Cable Schedule'!$I$2:$I$6308,"MV 35 kV")</f>
        <v/>
      </c>
      <c r="F7" s="19">
        <f>SUMIFS('Cable Schedule'!$W$2:$W$6308,'Cable Schedule'!$B$2:$B$6308,"E",'Cable Schedule'!$I$2:$I$6308,"HV 230 kV")</f>
        <v/>
      </c>
      <c r="G7" s="19">
        <f>SUMIFS('Cable Schedule'!$W$2:$W$6308,'Cable Schedule'!$B$2:$B$6308,"E",'Cable Schedule'!$I$2:$I$6308,"LV 600 V")</f>
        <v/>
      </c>
      <c r="H7" s="19">
        <f>SUMIFS('Cable Schedule'!$W$2:$W$6308,'Cable Schedule'!$B$2:$B$6308,"E",'Cable Schedule'!$I$2:$I$6308,"Control")</f>
        <v/>
      </c>
      <c r="I7" s="19">
        <f>SUMIFS('Cable Schedule'!$W$2:$W$6308,'Cable Schedule'!$B$2:$B$6308,"E",'Cable Schedule'!$I$2:$I$6308,"Instrumentation")</f>
        <v/>
      </c>
      <c r="J7" s="19">
        <f>SUMIFS('Cable Schedule'!$W$2:$W$6308,'Cable Schedule'!$B$2:$B$6308,"E",'Cable Schedule'!$I$2:$I$6308,"Fire alarm")</f>
        <v/>
      </c>
      <c r="K7" s="19">
        <f>SUMIFS('Cable Schedule'!$W$2:$W$6308,'Cable Schedule'!$B$2:$B$6308,"E",'Cable Schedule'!$I$2:$I$6308,"Fibre / data")</f>
        <v/>
      </c>
      <c r="L7" s="19">
        <f>SUMIFS('Cable Schedule'!$W$2:$W$6308,'Cable Schedule'!$B$2:$B$6308,"E",'Cable Schedule'!$I$2:$I$6308,"DC 2 kV")</f>
        <v/>
      </c>
      <c r="M7" s="19">
        <f>SUMIFS('Cable Schedule'!$W$2:$W$6308,'Cable Schedule'!$B$2:$B$6308,"E",'Cable Schedule'!$I$2:$I$6308,"Portable MV")</f>
        <v/>
      </c>
      <c r="N7" s="19">
        <f>SUMIFS('Cable Schedule'!$W$2:$W$6308,'Cable Schedule'!$B$2:$B$6308,"E",'Cable Schedule'!$I$2:$I$6308,"Portable LV")</f>
        <v/>
      </c>
      <c r="O7" s="19">
        <f>SUMIFS('Cable Schedule'!$W$2:$W$6308,'Cable Schedule'!$B$2:$B$6308,"E",'Cable Schedule'!$I$2:$I$6308,"Building wire")</f>
        <v/>
      </c>
      <c r="P7" s="19">
        <f>SUMIFS('Cable Schedule'!$W$2:$W$6308,'Cable Schedule'!$B$2:$B$6308,"E",'Cable Schedule'!$I$2:$I$6308,"Grounding")</f>
        <v/>
      </c>
      <c r="Q7" s="19">
        <f>SUMIFS('Cable Schedule'!$W$2:$W$6308,'Cable Schedule'!$B$2:$B$6308,"E",'Cable Schedule'!$I$2:$I$6308,"Overhead")</f>
        <v/>
      </c>
      <c r="R7" s="29">
        <f>SUM(B7:Q7)</f>
        <v/>
      </c>
    </row>
    <row r="8">
      <c r="A8" s="12" t="inlineStr">
        <is>
          <t>F  Controls / service</t>
        </is>
      </c>
      <c r="B8" s="19">
        <f>SUMIFS('Cable Schedule'!$W$2:$W$6308,'Cable Schedule'!$B$2:$B$6308,"F",'Cable Schedule'!$I$2:$I$6308,"MV 15 kV")</f>
        <v/>
      </c>
      <c r="C8" s="19">
        <f>SUMIFS('Cable Schedule'!$W$2:$W$6308,'Cable Schedule'!$B$2:$B$6308,"F",'Cable Schedule'!$I$2:$I$6308,"MV 5 kV")</f>
        <v/>
      </c>
      <c r="D8" s="19">
        <f>SUMIFS('Cable Schedule'!$W$2:$W$6308,'Cable Schedule'!$B$2:$B$6308,"F",'Cable Schedule'!$I$2:$I$6308,"MV 25 kV")</f>
        <v/>
      </c>
      <c r="E8" s="19">
        <f>SUMIFS('Cable Schedule'!$W$2:$W$6308,'Cable Schedule'!$B$2:$B$6308,"F",'Cable Schedule'!$I$2:$I$6308,"MV 35 kV")</f>
        <v/>
      </c>
      <c r="F8" s="19">
        <f>SUMIFS('Cable Schedule'!$W$2:$W$6308,'Cable Schedule'!$B$2:$B$6308,"F",'Cable Schedule'!$I$2:$I$6308,"HV 230 kV")</f>
        <v/>
      </c>
      <c r="G8" s="19">
        <f>SUMIFS('Cable Schedule'!$W$2:$W$6308,'Cable Schedule'!$B$2:$B$6308,"F",'Cable Schedule'!$I$2:$I$6308,"LV 600 V")</f>
        <v/>
      </c>
      <c r="H8" s="19">
        <f>SUMIFS('Cable Schedule'!$W$2:$W$6308,'Cable Schedule'!$B$2:$B$6308,"F",'Cable Schedule'!$I$2:$I$6308,"Control")</f>
        <v/>
      </c>
      <c r="I8" s="19">
        <f>SUMIFS('Cable Schedule'!$W$2:$W$6308,'Cable Schedule'!$B$2:$B$6308,"F",'Cable Schedule'!$I$2:$I$6308,"Instrumentation")</f>
        <v/>
      </c>
      <c r="J8" s="19">
        <f>SUMIFS('Cable Schedule'!$W$2:$W$6308,'Cable Schedule'!$B$2:$B$6308,"F",'Cable Schedule'!$I$2:$I$6308,"Fire alarm")</f>
        <v/>
      </c>
      <c r="K8" s="19">
        <f>SUMIFS('Cable Schedule'!$W$2:$W$6308,'Cable Schedule'!$B$2:$B$6308,"F",'Cable Schedule'!$I$2:$I$6308,"Fibre / data")</f>
        <v/>
      </c>
      <c r="L8" s="19">
        <f>SUMIFS('Cable Schedule'!$W$2:$W$6308,'Cable Schedule'!$B$2:$B$6308,"F",'Cable Schedule'!$I$2:$I$6308,"DC 2 kV")</f>
        <v/>
      </c>
      <c r="M8" s="19">
        <f>SUMIFS('Cable Schedule'!$W$2:$W$6308,'Cable Schedule'!$B$2:$B$6308,"F",'Cable Schedule'!$I$2:$I$6308,"Portable MV")</f>
        <v/>
      </c>
      <c r="N8" s="19">
        <f>SUMIFS('Cable Schedule'!$W$2:$W$6308,'Cable Schedule'!$B$2:$B$6308,"F",'Cable Schedule'!$I$2:$I$6308,"Portable LV")</f>
        <v/>
      </c>
      <c r="O8" s="19">
        <f>SUMIFS('Cable Schedule'!$W$2:$W$6308,'Cable Schedule'!$B$2:$B$6308,"F",'Cable Schedule'!$I$2:$I$6308,"Building wire")</f>
        <v/>
      </c>
      <c r="P8" s="19">
        <f>SUMIFS('Cable Schedule'!$W$2:$W$6308,'Cable Schedule'!$B$2:$B$6308,"F",'Cable Schedule'!$I$2:$I$6308,"Grounding")</f>
        <v/>
      </c>
      <c r="Q8" s="19">
        <f>SUMIFS('Cable Schedule'!$W$2:$W$6308,'Cable Schedule'!$B$2:$B$6308,"F",'Cable Schedule'!$I$2:$I$6308,"Overhead")</f>
        <v/>
      </c>
      <c r="R8" s="29">
        <f>SUM(B8:Q8)</f>
        <v/>
      </c>
    </row>
    <row r="9">
      <c r="A9" s="12" t="inlineStr">
        <is>
          <t>G  Carbon capture</t>
        </is>
      </c>
      <c r="B9" s="19">
        <f>SUMIFS('Cable Schedule'!$W$2:$W$6308,'Cable Schedule'!$B$2:$B$6308,"G",'Cable Schedule'!$I$2:$I$6308,"MV 15 kV")</f>
        <v/>
      </c>
      <c r="C9" s="19">
        <f>SUMIFS('Cable Schedule'!$W$2:$W$6308,'Cable Schedule'!$B$2:$B$6308,"G",'Cable Schedule'!$I$2:$I$6308,"MV 5 kV")</f>
        <v/>
      </c>
      <c r="D9" s="19">
        <f>SUMIFS('Cable Schedule'!$W$2:$W$6308,'Cable Schedule'!$B$2:$B$6308,"G",'Cable Schedule'!$I$2:$I$6308,"MV 25 kV")</f>
        <v/>
      </c>
      <c r="E9" s="19">
        <f>SUMIFS('Cable Schedule'!$W$2:$W$6308,'Cable Schedule'!$B$2:$B$6308,"G",'Cable Schedule'!$I$2:$I$6308,"MV 35 kV")</f>
        <v/>
      </c>
      <c r="F9" s="19">
        <f>SUMIFS('Cable Schedule'!$W$2:$W$6308,'Cable Schedule'!$B$2:$B$6308,"G",'Cable Schedule'!$I$2:$I$6308,"HV 230 kV")</f>
        <v/>
      </c>
      <c r="G9" s="19">
        <f>SUMIFS('Cable Schedule'!$W$2:$W$6308,'Cable Schedule'!$B$2:$B$6308,"G",'Cable Schedule'!$I$2:$I$6308,"LV 600 V")</f>
        <v/>
      </c>
      <c r="H9" s="19">
        <f>SUMIFS('Cable Schedule'!$W$2:$W$6308,'Cable Schedule'!$B$2:$B$6308,"G",'Cable Schedule'!$I$2:$I$6308,"Control")</f>
        <v/>
      </c>
      <c r="I9" s="19">
        <f>SUMIFS('Cable Schedule'!$W$2:$W$6308,'Cable Schedule'!$B$2:$B$6308,"G",'Cable Schedule'!$I$2:$I$6308,"Instrumentation")</f>
        <v/>
      </c>
      <c r="J9" s="19">
        <f>SUMIFS('Cable Schedule'!$W$2:$W$6308,'Cable Schedule'!$B$2:$B$6308,"G",'Cable Schedule'!$I$2:$I$6308,"Fire alarm")</f>
        <v/>
      </c>
      <c r="K9" s="19">
        <f>SUMIFS('Cable Schedule'!$W$2:$W$6308,'Cable Schedule'!$B$2:$B$6308,"G",'Cable Schedule'!$I$2:$I$6308,"Fibre / data")</f>
        <v/>
      </c>
      <c r="L9" s="19">
        <f>SUMIFS('Cable Schedule'!$W$2:$W$6308,'Cable Schedule'!$B$2:$B$6308,"G",'Cable Schedule'!$I$2:$I$6308,"DC 2 kV")</f>
        <v/>
      </c>
      <c r="M9" s="19">
        <f>SUMIFS('Cable Schedule'!$W$2:$W$6308,'Cable Schedule'!$B$2:$B$6308,"G",'Cable Schedule'!$I$2:$I$6308,"Portable MV")</f>
        <v/>
      </c>
      <c r="N9" s="19">
        <f>SUMIFS('Cable Schedule'!$W$2:$W$6308,'Cable Schedule'!$B$2:$B$6308,"G",'Cable Schedule'!$I$2:$I$6308,"Portable LV")</f>
        <v/>
      </c>
      <c r="O9" s="19">
        <f>SUMIFS('Cable Schedule'!$W$2:$W$6308,'Cable Schedule'!$B$2:$B$6308,"G",'Cable Schedule'!$I$2:$I$6308,"Building wire")</f>
        <v/>
      </c>
      <c r="P9" s="19">
        <f>SUMIFS('Cable Schedule'!$W$2:$W$6308,'Cable Schedule'!$B$2:$B$6308,"G",'Cable Schedule'!$I$2:$I$6308,"Grounding")</f>
        <v/>
      </c>
      <c r="Q9" s="19">
        <f>SUMIFS('Cable Schedule'!$W$2:$W$6308,'Cable Schedule'!$B$2:$B$6308,"G",'Cable Schedule'!$I$2:$I$6308,"Overhead")</f>
        <v/>
      </c>
      <c r="R9" s="29">
        <f>SUM(B9:Q9)</f>
        <v/>
      </c>
    </row>
    <row r="10">
      <c r="A10" s="12" t="inlineStr">
        <is>
          <t>H  BESS</t>
        </is>
      </c>
      <c r="B10" s="19">
        <f>SUMIFS('Cable Schedule'!$W$2:$W$6308,'Cable Schedule'!$B$2:$B$6308,"H",'Cable Schedule'!$I$2:$I$6308,"MV 15 kV")</f>
        <v/>
      </c>
      <c r="C10" s="19">
        <f>SUMIFS('Cable Schedule'!$W$2:$W$6308,'Cable Schedule'!$B$2:$B$6308,"H",'Cable Schedule'!$I$2:$I$6308,"MV 5 kV")</f>
        <v/>
      </c>
      <c r="D10" s="19">
        <f>SUMIFS('Cable Schedule'!$W$2:$W$6308,'Cable Schedule'!$B$2:$B$6308,"H",'Cable Schedule'!$I$2:$I$6308,"MV 25 kV")</f>
        <v/>
      </c>
      <c r="E10" s="19">
        <f>SUMIFS('Cable Schedule'!$W$2:$W$6308,'Cable Schedule'!$B$2:$B$6308,"H",'Cable Schedule'!$I$2:$I$6308,"MV 35 kV")</f>
        <v/>
      </c>
      <c r="F10" s="19">
        <f>SUMIFS('Cable Schedule'!$W$2:$W$6308,'Cable Schedule'!$B$2:$B$6308,"H",'Cable Schedule'!$I$2:$I$6308,"HV 230 kV")</f>
        <v/>
      </c>
      <c r="G10" s="19">
        <f>SUMIFS('Cable Schedule'!$W$2:$W$6308,'Cable Schedule'!$B$2:$B$6308,"H",'Cable Schedule'!$I$2:$I$6308,"LV 600 V")</f>
        <v/>
      </c>
      <c r="H10" s="19">
        <f>SUMIFS('Cable Schedule'!$W$2:$W$6308,'Cable Schedule'!$B$2:$B$6308,"H",'Cable Schedule'!$I$2:$I$6308,"Control")</f>
        <v/>
      </c>
      <c r="I10" s="19">
        <f>SUMIFS('Cable Schedule'!$W$2:$W$6308,'Cable Schedule'!$B$2:$B$6308,"H",'Cable Schedule'!$I$2:$I$6308,"Instrumentation")</f>
        <v/>
      </c>
      <c r="J10" s="19">
        <f>SUMIFS('Cable Schedule'!$W$2:$W$6308,'Cable Schedule'!$B$2:$B$6308,"H",'Cable Schedule'!$I$2:$I$6308,"Fire alarm")</f>
        <v/>
      </c>
      <c r="K10" s="19">
        <f>SUMIFS('Cable Schedule'!$W$2:$W$6308,'Cable Schedule'!$B$2:$B$6308,"H",'Cable Schedule'!$I$2:$I$6308,"Fibre / data")</f>
        <v/>
      </c>
      <c r="L10" s="19">
        <f>SUMIFS('Cable Schedule'!$W$2:$W$6308,'Cable Schedule'!$B$2:$B$6308,"H",'Cable Schedule'!$I$2:$I$6308,"DC 2 kV")</f>
        <v/>
      </c>
      <c r="M10" s="19">
        <f>SUMIFS('Cable Schedule'!$W$2:$W$6308,'Cable Schedule'!$B$2:$B$6308,"H",'Cable Schedule'!$I$2:$I$6308,"Portable MV")</f>
        <v/>
      </c>
      <c r="N10" s="19">
        <f>SUMIFS('Cable Schedule'!$W$2:$W$6308,'Cable Schedule'!$B$2:$B$6308,"H",'Cable Schedule'!$I$2:$I$6308,"Portable LV")</f>
        <v/>
      </c>
      <c r="O10" s="19">
        <f>SUMIFS('Cable Schedule'!$W$2:$W$6308,'Cable Schedule'!$B$2:$B$6308,"H",'Cable Schedule'!$I$2:$I$6308,"Building wire")</f>
        <v/>
      </c>
      <c r="P10" s="19">
        <f>SUMIFS('Cable Schedule'!$W$2:$W$6308,'Cable Schedule'!$B$2:$B$6308,"H",'Cable Schedule'!$I$2:$I$6308,"Grounding")</f>
        <v/>
      </c>
      <c r="Q10" s="19">
        <f>SUMIFS('Cable Schedule'!$W$2:$W$6308,'Cable Schedule'!$B$2:$B$6308,"H",'Cable Schedule'!$I$2:$I$6308,"Overhead")</f>
        <v/>
      </c>
      <c r="R10" s="29">
        <f>SUM(B10:Q10)</f>
        <v/>
      </c>
    </row>
    <row r="11">
      <c r="A11" s="12" t="inlineStr">
        <is>
          <t>I  Modular / portable power</t>
        </is>
      </c>
      <c r="B11" s="19">
        <f>SUMIFS('Cable Schedule'!$W$2:$W$6308,'Cable Schedule'!$B$2:$B$6308,"I",'Cable Schedule'!$I$2:$I$6308,"MV 15 kV")</f>
        <v/>
      </c>
      <c r="C11" s="19">
        <f>SUMIFS('Cable Schedule'!$W$2:$W$6308,'Cable Schedule'!$B$2:$B$6308,"I",'Cable Schedule'!$I$2:$I$6308,"MV 5 kV")</f>
        <v/>
      </c>
      <c r="D11" s="19">
        <f>SUMIFS('Cable Schedule'!$W$2:$W$6308,'Cable Schedule'!$B$2:$B$6308,"I",'Cable Schedule'!$I$2:$I$6308,"MV 25 kV")</f>
        <v/>
      </c>
      <c r="E11" s="19">
        <f>SUMIFS('Cable Schedule'!$W$2:$W$6308,'Cable Schedule'!$B$2:$B$6308,"I",'Cable Schedule'!$I$2:$I$6308,"MV 35 kV")</f>
        <v/>
      </c>
      <c r="F11" s="19">
        <f>SUMIFS('Cable Schedule'!$W$2:$W$6308,'Cable Schedule'!$B$2:$B$6308,"I",'Cable Schedule'!$I$2:$I$6308,"HV 230 kV")</f>
        <v/>
      </c>
      <c r="G11" s="19">
        <f>SUMIFS('Cable Schedule'!$W$2:$W$6308,'Cable Schedule'!$B$2:$B$6308,"I",'Cable Schedule'!$I$2:$I$6308,"LV 600 V")</f>
        <v/>
      </c>
      <c r="H11" s="19">
        <f>SUMIFS('Cable Schedule'!$W$2:$W$6308,'Cable Schedule'!$B$2:$B$6308,"I",'Cable Schedule'!$I$2:$I$6308,"Control")</f>
        <v/>
      </c>
      <c r="I11" s="19">
        <f>SUMIFS('Cable Schedule'!$W$2:$W$6308,'Cable Schedule'!$B$2:$B$6308,"I",'Cable Schedule'!$I$2:$I$6308,"Instrumentation")</f>
        <v/>
      </c>
      <c r="J11" s="19">
        <f>SUMIFS('Cable Schedule'!$W$2:$W$6308,'Cable Schedule'!$B$2:$B$6308,"I",'Cable Schedule'!$I$2:$I$6308,"Fire alarm")</f>
        <v/>
      </c>
      <c r="K11" s="19">
        <f>SUMIFS('Cable Schedule'!$W$2:$W$6308,'Cable Schedule'!$B$2:$B$6308,"I",'Cable Schedule'!$I$2:$I$6308,"Fibre / data")</f>
        <v/>
      </c>
      <c r="L11" s="19">
        <f>SUMIFS('Cable Schedule'!$W$2:$W$6308,'Cable Schedule'!$B$2:$B$6308,"I",'Cable Schedule'!$I$2:$I$6308,"DC 2 kV")</f>
        <v/>
      </c>
      <c r="M11" s="19">
        <f>SUMIFS('Cable Schedule'!$W$2:$W$6308,'Cable Schedule'!$B$2:$B$6308,"I",'Cable Schedule'!$I$2:$I$6308,"Portable MV")</f>
        <v/>
      </c>
      <c r="N11" s="19">
        <f>SUMIFS('Cable Schedule'!$W$2:$W$6308,'Cable Schedule'!$B$2:$B$6308,"I",'Cable Schedule'!$I$2:$I$6308,"Portable LV")</f>
        <v/>
      </c>
      <c r="O11" s="19">
        <f>SUMIFS('Cable Schedule'!$W$2:$W$6308,'Cable Schedule'!$B$2:$B$6308,"I",'Cable Schedule'!$I$2:$I$6308,"Building wire")</f>
        <v/>
      </c>
      <c r="P11" s="19">
        <f>SUMIFS('Cable Schedule'!$W$2:$W$6308,'Cable Schedule'!$B$2:$B$6308,"I",'Cable Schedule'!$I$2:$I$6308,"Grounding")</f>
        <v/>
      </c>
      <c r="Q11" s="19">
        <f>SUMIFS('Cable Schedule'!$W$2:$W$6308,'Cable Schedule'!$B$2:$B$6308,"I",'Cable Schedule'!$I$2:$I$6308,"Overhead")</f>
        <v/>
      </c>
      <c r="R11" s="29">
        <f>SUM(B11:Q11)</f>
        <v/>
      </c>
    </row>
    <row r="12">
      <c r="A12" s="12" t="inlineStr">
        <is>
          <t>J  GT inlet chilling</t>
        </is>
      </c>
      <c r="B12" s="19">
        <f>SUMIFS('Cable Schedule'!$W$2:$W$6308,'Cable Schedule'!$B$2:$B$6308,"J",'Cable Schedule'!$I$2:$I$6308,"MV 15 kV")</f>
        <v/>
      </c>
      <c r="C12" s="19">
        <f>SUMIFS('Cable Schedule'!$W$2:$W$6308,'Cable Schedule'!$B$2:$B$6308,"J",'Cable Schedule'!$I$2:$I$6308,"MV 5 kV")</f>
        <v/>
      </c>
      <c r="D12" s="19">
        <f>SUMIFS('Cable Schedule'!$W$2:$W$6308,'Cable Schedule'!$B$2:$B$6308,"J",'Cable Schedule'!$I$2:$I$6308,"MV 25 kV")</f>
        <v/>
      </c>
      <c r="E12" s="19">
        <f>SUMIFS('Cable Schedule'!$W$2:$W$6308,'Cable Schedule'!$B$2:$B$6308,"J",'Cable Schedule'!$I$2:$I$6308,"MV 35 kV")</f>
        <v/>
      </c>
      <c r="F12" s="19">
        <f>SUMIFS('Cable Schedule'!$W$2:$W$6308,'Cable Schedule'!$B$2:$B$6308,"J",'Cable Schedule'!$I$2:$I$6308,"HV 230 kV")</f>
        <v/>
      </c>
      <c r="G12" s="19">
        <f>SUMIFS('Cable Schedule'!$W$2:$W$6308,'Cable Schedule'!$B$2:$B$6308,"J",'Cable Schedule'!$I$2:$I$6308,"LV 600 V")</f>
        <v/>
      </c>
      <c r="H12" s="19">
        <f>SUMIFS('Cable Schedule'!$W$2:$W$6308,'Cable Schedule'!$B$2:$B$6308,"J",'Cable Schedule'!$I$2:$I$6308,"Control")</f>
        <v/>
      </c>
      <c r="I12" s="19">
        <f>SUMIFS('Cable Schedule'!$W$2:$W$6308,'Cable Schedule'!$B$2:$B$6308,"J",'Cable Schedule'!$I$2:$I$6308,"Instrumentation")</f>
        <v/>
      </c>
      <c r="J12" s="19">
        <f>SUMIFS('Cable Schedule'!$W$2:$W$6308,'Cable Schedule'!$B$2:$B$6308,"J",'Cable Schedule'!$I$2:$I$6308,"Fire alarm")</f>
        <v/>
      </c>
      <c r="K12" s="19">
        <f>SUMIFS('Cable Schedule'!$W$2:$W$6308,'Cable Schedule'!$B$2:$B$6308,"J",'Cable Schedule'!$I$2:$I$6308,"Fibre / data")</f>
        <v/>
      </c>
      <c r="L12" s="19">
        <f>SUMIFS('Cable Schedule'!$W$2:$W$6308,'Cable Schedule'!$B$2:$B$6308,"J",'Cable Schedule'!$I$2:$I$6308,"DC 2 kV")</f>
        <v/>
      </c>
      <c r="M12" s="19">
        <f>SUMIFS('Cable Schedule'!$W$2:$W$6308,'Cable Schedule'!$B$2:$B$6308,"J",'Cable Schedule'!$I$2:$I$6308,"Portable MV")</f>
        <v/>
      </c>
      <c r="N12" s="19">
        <f>SUMIFS('Cable Schedule'!$W$2:$W$6308,'Cable Schedule'!$B$2:$B$6308,"J",'Cable Schedule'!$I$2:$I$6308,"Portable LV")</f>
        <v/>
      </c>
      <c r="O12" s="19">
        <f>SUMIFS('Cable Schedule'!$W$2:$W$6308,'Cable Schedule'!$B$2:$B$6308,"J",'Cable Schedule'!$I$2:$I$6308,"Building wire")</f>
        <v/>
      </c>
      <c r="P12" s="19">
        <f>SUMIFS('Cable Schedule'!$W$2:$W$6308,'Cable Schedule'!$B$2:$B$6308,"J",'Cable Schedule'!$I$2:$I$6308,"Grounding")</f>
        <v/>
      </c>
      <c r="Q12" s="19">
        <f>SUMIFS('Cable Schedule'!$W$2:$W$6308,'Cable Schedule'!$B$2:$B$6308,"J",'Cable Schedule'!$I$2:$I$6308,"Overhead")</f>
        <v/>
      </c>
      <c r="R12" s="29">
        <f>SUM(B12:Q12)</f>
        <v/>
      </c>
    </row>
    <row r="13">
      <c r="A13" s="12" t="inlineStr">
        <is>
          <t>K  Fuel supply (adjacent market)</t>
        </is>
      </c>
      <c r="B13" s="19">
        <f>SUMIFS('Cable Schedule'!$W$2:$W$6308,'Cable Schedule'!$B$2:$B$6308,"K",'Cable Schedule'!$I$2:$I$6308,"MV 15 kV")</f>
        <v/>
      </c>
      <c r="C13" s="19">
        <f>SUMIFS('Cable Schedule'!$W$2:$W$6308,'Cable Schedule'!$B$2:$B$6308,"K",'Cable Schedule'!$I$2:$I$6308,"MV 5 kV")</f>
        <v/>
      </c>
      <c r="D13" s="19">
        <f>SUMIFS('Cable Schedule'!$W$2:$W$6308,'Cable Schedule'!$B$2:$B$6308,"K",'Cable Schedule'!$I$2:$I$6308,"MV 25 kV")</f>
        <v/>
      </c>
      <c r="E13" s="19">
        <f>SUMIFS('Cable Schedule'!$W$2:$W$6308,'Cable Schedule'!$B$2:$B$6308,"K",'Cable Schedule'!$I$2:$I$6308,"MV 35 kV")</f>
        <v/>
      </c>
      <c r="F13" s="19">
        <f>SUMIFS('Cable Schedule'!$W$2:$W$6308,'Cable Schedule'!$B$2:$B$6308,"K",'Cable Schedule'!$I$2:$I$6308,"HV 230 kV")</f>
        <v/>
      </c>
      <c r="G13" s="19">
        <f>SUMIFS('Cable Schedule'!$W$2:$W$6308,'Cable Schedule'!$B$2:$B$6308,"K",'Cable Schedule'!$I$2:$I$6308,"LV 600 V")</f>
        <v/>
      </c>
      <c r="H13" s="19">
        <f>SUMIFS('Cable Schedule'!$W$2:$W$6308,'Cable Schedule'!$B$2:$B$6308,"K",'Cable Schedule'!$I$2:$I$6308,"Control")</f>
        <v/>
      </c>
      <c r="I13" s="19">
        <f>SUMIFS('Cable Schedule'!$W$2:$W$6308,'Cable Schedule'!$B$2:$B$6308,"K",'Cable Schedule'!$I$2:$I$6308,"Instrumentation")</f>
        <v/>
      </c>
      <c r="J13" s="19">
        <f>SUMIFS('Cable Schedule'!$W$2:$W$6308,'Cable Schedule'!$B$2:$B$6308,"K",'Cable Schedule'!$I$2:$I$6308,"Fire alarm")</f>
        <v/>
      </c>
      <c r="K13" s="19">
        <f>SUMIFS('Cable Schedule'!$W$2:$W$6308,'Cable Schedule'!$B$2:$B$6308,"K",'Cable Schedule'!$I$2:$I$6308,"Fibre / data")</f>
        <v/>
      </c>
      <c r="L13" s="19">
        <f>SUMIFS('Cable Schedule'!$W$2:$W$6308,'Cable Schedule'!$B$2:$B$6308,"K",'Cable Schedule'!$I$2:$I$6308,"DC 2 kV")</f>
        <v/>
      </c>
      <c r="M13" s="19">
        <f>SUMIFS('Cable Schedule'!$W$2:$W$6308,'Cable Schedule'!$B$2:$B$6308,"K",'Cable Schedule'!$I$2:$I$6308,"Portable MV")</f>
        <v/>
      </c>
      <c r="N13" s="19">
        <f>SUMIFS('Cable Schedule'!$W$2:$W$6308,'Cable Schedule'!$B$2:$B$6308,"K",'Cable Schedule'!$I$2:$I$6308,"Portable LV")</f>
        <v/>
      </c>
      <c r="O13" s="19">
        <f>SUMIFS('Cable Schedule'!$W$2:$W$6308,'Cable Schedule'!$B$2:$B$6308,"K",'Cable Schedule'!$I$2:$I$6308,"Building wire")</f>
        <v/>
      </c>
      <c r="P13" s="19">
        <f>SUMIFS('Cable Schedule'!$W$2:$W$6308,'Cable Schedule'!$B$2:$B$6308,"K",'Cable Schedule'!$I$2:$I$6308,"Grounding")</f>
        <v/>
      </c>
      <c r="Q13" s="19">
        <f>SUMIFS('Cable Schedule'!$W$2:$W$6308,'Cable Schedule'!$B$2:$B$6308,"K",'Cable Schedule'!$I$2:$I$6308,"Overhead")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Schedule'!B2:B6308,"?")</f>
        <v/>
      </c>
    </row>
    <row r="18">
      <c r="A18" s="23" t="inlineStr">
        <is>
          <t>Cables (count)</t>
        </is>
      </c>
      <c r="B18" s="19">
        <f>SUM('Cable Schedule'!AA2:AA6308)</f>
        <v/>
      </c>
    </row>
    <row r="20">
      <c r="A20" s="23" t="inlineStr">
        <is>
          <t>Device count behind the schedule (typical for each equipment class)</t>
        </is>
      </c>
    </row>
    <row r="21">
      <c r="A21" s="12" t="inlineStr">
        <is>
          <t>Analog instruments</t>
        </is>
      </c>
      <c r="B21" s="31" t="n">
        <v>6332</v>
      </c>
    </row>
    <row r="22">
      <c r="A22" s="12" t="inlineStr">
        <is>
          <t>Discrete devices</t>
        </is>
      </c>
      <c r="B22" s="31" t="n">
        <v>6636</v>
      </c>
    </row>
    <row r="23">
      <c r="A23" s="12" t="inlineStr">
        <is>
          <t>Thermocouples</t>
        </is>
      </c>
      <c r="B23" s="31" t="n">
        <v>832</v>
      </c>
    </row>
    <row r="24">
      <c r="A24" s="12" t="inlineStr">
        <is>
          <t>RTDs</t>
        </is>
      </c>
      <c r="B24" s="31" t="n">
        <v>510</v>
      </c>
    </row>
    <row r="25">
      <c r="A25" s="12" t="inlineStr">
        <is>
          <t>Solenoids</t>
        </is>
      </c>
      <c r="B25" s="31" t="n">
        <v>586</v>
      </c>
    </row>
    <row r="26">
      <c r="A26" s="12" t="inlineStr">
        <is>
          <t>LV motors</t>
        </is>
      </c>
      <c r="B26" s="31" t="n">
        <v>782</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56"/>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FC-5..12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(Bloom ES5 class, 200-300 kW)</t>
        </is>
      </c>
      <c r="I1333" s="12" t="inlineStr">
        <is>
          <t>LV 600 V</t>
        </is>
      </c>
      <c r="J1333" s="12" t="inlineStr">
        <is>
          <t>3/0</t>
        </is>
      </c>
      <c r="K1333" s="12" t="n">
        <v>2</v>
      </c>
    </row>
    <row r="1334">
      <c r="A1334" s="12" t="inlineStr">
        <is>
          <t>FC-5..12 inverter / AC cabinet / desulfurizer</t>
        </is>
      </c>
      <c r="B1334" s="12" t="inlineStr"/>
      <c r="C1334" s="12" t="inlineStr">
        <is>
          <t>I</t>
        </is>
      </c>
      <c r="D1334" s="12" t="inlineStr">
        <is>
          <t>FC-9 SOFC output to inverter / AC cabinet</t>
        </is>
      </c>
      <c r="E1334" s="12" t="n">
        <v>480</v>
      </c>
      <c r="F1334" s="12" t="n">
        <v>250</v>
      </c>
      <c r="G1334" s="12" t="n">
        <v>316.5</v>
      </c>
      <c r="H1334" s="12" t="inlineStr">
        <is>
          <t>FC-9: SOFC module (Bloom ES5 class, 200-300 kW)</t>
        </is>
      </c>
      <c r="I1334" s="12" t="inlineStr">
        <is>
          <t>LV 600 V</t>
        </is>
      </c>
      <c r="J1334" s="12" t="inlineStr">
        <is>
          <t>3/0</t>
        </is>
      </c>
      <c r="K1334" s="12" t="n">
        <v>2</v>
      </c>
    </row>
    <row r="1335">
      <c r="A1335" s="12" t="inlineStr">
        <is>
          <t>FC-5..12 inverter / AC cabinet / desulfurizer</t>
        </is>
      </c>
      <c r="B1335" s="12" t="inlineStr"/>
      <c r="C1335" s="12" t="inlineStr">
        <is>
          <t>I</t>
        </is>
      </c>
      <c r="D1335" s="12" t="inlineStr">
        <is>
          <t>FC-10 SOFC output to inverter / AC cabinet</t>
        </is>
      </c>
      <c r="E1335" s="12" t="n">
        <v>480</v>
      </c>
      <c r="F1335" s="12" t="n">
        <v>250</v>
      </c>
      <c r="G1335" s="12" t="n">
        <v>316.5</v>
      </c>
      <c r="H1335" s="12" t="inlineStr">
        <is>
          <t>FC-10: SOFC module (Bloom ES5 class, 200-300 kW)</t>
        </is>
      </c>
      <c r="I1335" s="12" t="inlineStr">
        <is>
          <t>LV 600 V</t>
        </is>
      </c>
      <c r="J1335" s="12" t="inlineStr">
        <is>
          <t>3/0</t>
        </is>
      </c>
      <c r="K1335" s="12" t="n">
        <v>2</v>
      </c>
    </row>
    <row r="1336">
      <c r="A1336" s="12" t="inlineStr">
        <is>
          <t>FC-5..12 inverter / AC cabinet / desulfurizer</t>
        </is>
      </c>
      <c r="B1336" s="12" t="inlineStr"/>
      <c r="C1336" s="12" t="inlineStr">
        <is>
          <t>I</t>
        </is>
      </c>
      <c r="D1336" s="12" t="inlineStr">
        <is>
          <t>FC-11 SOFC output to inverter / AC cabinet</t>
        </is>
      </c>
      <c r="E1336" s="12" t="n">
        <v>480</v>
      </c>
      <c r="F1336" s="12" t="n">
        <v>250</v>
      </c>
      <c r="G1336" s="12" t="n">
        <v>316.5</v>
      </c>
      <c r="H1336" s="12" t="inlineStr">
        <is>
          <t>FC-11: SOFC module (Bloom ES5 class, 200-300 kW)</t>
        </is>
      </c>
      <c r="I1336" s="12" t="inlineStr">
        <is>
          <t>LV 600 V</t>
        </is>
      </c>
      <c r="J1336" s="12" t="inlineStr">
        <is>
          <t>3/0</t>
        </is>
      </c>
      <c r="K1336" s="12" t="n">
        <v>2</v>
      </c>
    </row>
    <row r="1337">
      <c r="A1337" s="12" t="inlineStr">
        <is>
          <t>FC-5..12 inverter / AC cabinet / desulfurizer</t>
        </is>
      </c>
      <c r="B1337" s="12" t="inlineStr"/>
      <c r="C1337" s="12" t="inlineStr">
        <is>
          <t>I</t>
        </is>
      </c>
      <c r="D1337" s="12" t="inlineStr">
        <is>
          <t>FC-12 SOFC output to inverter / AC cabinet</t>
        </is>
      </c>
      <c r="E1337" s="12" t="n">
        <v>480</v>
      </c>
      <c r="F1337" s="12" t="n">
        <v>250</v>
      </c>
      <c r="G1337" s="12" t="n">
        <v>316.5</v>
      </c>
      <c r="H1337" s="12" t="inlineStr">
        <is>
          <t>FC-12: SOFC module (Bloom ES5 class, 200-300 kW)</t>
        </is>
      </c>
      <c r="I1337" s="12" t="inlineStr">
        <is>
          <t>LV 600 V</t>
        </is>
      </c>
      <c r="J1337" s="12" t="inlineStr">
        <is>
          <t>3/0</t>
        </is>
      </c>
      <c r="K1337" s="12" t="n">
        <v>2</v>
      </c>
    </row>
    <row r="1338">
      <c r="A1338" s="12" t="inlineStr">
        <is>
          <t>Fuel-gas compressors 3 x 100% electric</t>
        </is>
      </c>
      <c r="B1338" s="12" t="inlineStr"/>
      <c r="C1338" s="12" t="inlineStr">
        <is>
          <t>I</t>
        </is>
      </c>
      <c r="D1338" s="12" t="inlineStr">
        <is>
          <t>Motor 1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2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Fuel-gas compressors 3 x 100% electric</t>
        </is>
      </c>
      <c r="B1340" s="12" t="inlineStr"/>
      <c r="C1340" s="12" t="inlineStr">
        <is>
          <t>I</t>
        </is>
      </c>
      <c r="D1340" s="12" t="inlineStr">
        <is>
          <t>Motor 3 of 6, 15 kW</t>
        </is>
      </c>
      <c r="E1340" s="12" t="n">
        <v>480</v>
      </c>
      <c r="F1340" s="12" t="n">
        <v>15</v>
      </c>
      <c r="G1340" s="12" t="n">
        <v>21.2</v>
      </c>
      <c r="H1340" s="12" t="inlineStr">
        <is>
          <t>SC-2 PCM + 15 kV GCB</t>
        </is>
      </c>
      <c r="I1340" s="12" t="inlineStr">
        <is>
          <t>LV 600 V</t>
        </is>
      </c>
      <c r="J1340" s="12" t="inlineStr">
        <is>
          <t>10</t>
        </is>
      </c>
      <c r="K1340" s="12" t="n">
        <v>1</v>
      </c>
    </row>
    <row r="1341">
      <c r="A1341" s="12" t="inlineStr">
        <is>
          <t>Fuel-gas compressors 3 x 100% electric</t>
        </is>
      </c>
      <c r="B1341" s="12" t="inlineStr"/>
      <c r="C1341" s="12" t="inlineStr">
        <is>
          <t>I</t>
        </is>
      </c>
      <c r="D1341" s="12" t="inlineStr">
        <is>
          <t>Motor 4 of 6, 15 kW</t>
        </is>
      </c>
      <c r="E1341" s="12" t="n">
        <v>480</v>
      </c>
      <c r="F1341" s="12" t="n">
        <v>15</v>
      </c>
      <c r="G1341" s="12" t="n">
        <v>21.2</v>
      </c>
      <c r="H1341" s="12" t="inlineStr">
        <is>
          <t>SC-2 PCM + 15 kV GCB</t>
        </is>
      </c>
      <c r="I1341" s="12" t="inlineStr">
        <is>
          <t>LV 600 V</t>
        </is>
      </c>
      <c r="J1341" s="12" t="inlineStr">
        <is>
          <t>10</t>
        </is>
      </c>
      <c r="K1341" s="12" t="n">
        <v>1</v>
      </c>
    </row>
    <row r="1342">
      <c r="A1342" s="12" t="inlineStr">
        <is>
          <t>Fuel-gas compressors 3 x 100% electric</t>
        </is>
      </c>
      <c r="B1342" s="12" t="inlineStr"/>
      <c r="C1342" s="12" t="inlineStr">
        <is>
          <t>I</t>
        </is>
      </c>
      <c r="D1342" s="12" t="inlineStr">
        <is>
          <t>Motor 5 of 6, 15 kW</t>
        </is>
      </c>
      <c r="E1342" s="12" t="n">
        <v>480</v>
      </c>
      <c r="F1342" s="12" t="n">
        <v>15</v>
      </c>
      <c r="G1342" s="12" t="n">
        <v>21.2</v>
      </c>
      <c r="H1342" s="12" t="inlineStr">
        <is>
          <t>SC-2 PCM + 15 kV GCB</t>
        </is>
      </c>
      <c r="I1342" s="12" t="inlineStr">
        <is>
          <t>LV 600 V</t>
        </is>
      </c>
      <c r="J1342" s="12" t="inlineStr">
        <is>
          <t>10</t>
        </is>
      </c>
      <c r="K1342" s="12" t="n">
        <v>1</v>
      </c>
    </row>
    <row r="1343">
      <c r="A1343" s="12" t="inlineStr">
        <is>
          <t>Fuel-gas compressors 3 x 100% electric</t>
        </is>
      </c>
      <c r="B1343" s="12" t="inlineStr"/>
      <c r="C1343" s="12" t="inlineStr">
        <is>
          <t>I</t>
        </is>
      </c>
      <c r="D1343" s="12" t="inlineStr">
        <is>
          <t>Motor 6 of 6, 15 kW</t>
        </is>
      </c>
      <c r="E1343" s="12" t="n">
        <v>480</v>
      </c>
      <c r="F1343" s="12" t="n">
        <v>15</v>
      </c>
      <c r="G1343" s="12" t="n">
        <v>21.2</v>
      </c>
      <c r="H1343" s="12" t="inlineStr">
        <is>
          <t>SC-2 PCM + 15 kV GCB</t>
        </is>
      </c>
      <c r="I1343" s="12" t="inlineStr">
        <is>
          <t>LV 600 V</t>
        </is>
      </c>
      <c r="J1343" s="12" t="inlineStr">
        <is>
          <t>10</t>
        </is>
      </c>
      <c r="K1343" s="12" t="n">
        <v>1</v>
      </c>
    </row>
    <row r="1344">
      <c r="A1344" s="12" t="inlineStr">
        <is>
          <t>GB-1.1: modular gas genset ~450 kW, 480 V (block 1)</t>
        </is>
      </c>
      <c r="B1344" s="12" t="inlineStr">
        <is>
          <t>GB-1.1</t>
        </is>
      </c>
      <c r="C1344" s="12" t="inlineStr">
        <is>
          <t>I</t>
        </is>
      </c>
      <c r="D1344" s="12" t="inlineStr">
        <is>
          <t>GB-1.1 aux power: jacket-water heater, battery charger, enclosure</t>
        </is>
      </c>
      <c r="E1344" s="12" t="n">
        <v>480</v>
      </c>
      <c r="F1344" s="12" t="n">
        <v>15</v>
      </c>
      <c r="G1344" s="12" t="n">
        <v>19</v>
      </c>
      <c r="H1344" s="12" t="inlineStr">
        <is>
          <t>GBS-1: block 1 480 V paralleling switchgear (4 gensets)</t>
        </is>
      </c>
      <c r="I1344" s="12" t="inlineStr">
        <is>
          <t>LV 600 V</t>
        </is>
      </c>
      <c r="J1344" s="12" t="inlineStr">
        <is>
          <t>10</t>
        </is>
      </c>
      <c r="K1344" s="12" t="n">
        <v>1</v>
      </c>
    </row>
    <row r="1345">
      <c r="A1345" s="12" t="inlineStr">
        <is>
          <t>GB-1.1: modular gas genset ~450 kW, 480 V (block 1)</t>
        </is>
      </c>
      <c r="B1345" s="12" t="inlineStr">
        <is>
          <t>GB-1.1</t>
        </is>
      </c>
      <c r="C1345" s="12" t="inlineStr">
        <is>
          <t>I</t>
        </is>
      </c>
      <c r="D1345" s="12" t="inlineStr">
        <is>
          <t>LV power feeder</t>
        </is>
      </c>
      <c r="E1345" s="12" t="n">
        <v>480</v>
      </c>
      <c r="F1345" s="12" t="n">
        <v>15</v>
      </c>
      <c r="G1345" s="12" t="n">
        <v>21.2</v>
      </c>
      <c r="H1345" s="12" t="inlineStr">
        <is>
          <t>PAD-LV 480 V paralleling switchboard</t>
        </is>
      </c>
      <c r="I1345" s="12" t="inlineStr">
        <is>
          <t>LV 600 V</t>
        </is>
      </c>
      <c r="J1345" s="12" t="inlineStr">
        <is>
          <t>10</t>
        </is>
      </c>
      <c r="K1345" s="12" t="n">
        <v>1</v>
      </c>
    </row>
    <row r="1346">
      <c r="A1346" s="12" t="inlineStr">
        <is>
          <t>GB-1.2: modular gas genset ~450 kW, 480 V (block 1)</t>
        </is>
      </c>
      <c r="B1346" s="12" t="inlineStr">
        <is>
          <t>GB-1.2</t>
        </is>
      </c>
      <c r="C1346" s="12" t="inlineStr">
        <is>
          <t>I</t>
        </is>
      </c>
      <c r="D1346" s="12" t="inlineStr">
        <is>
          <t>GB-1.2 aux power: jacket-water heater, battery charger, enclosure</t>
        </is>
      </c>
      <c r="E1346" s="12" t="n">
        <v>480</v>
      </c>
      <c r="F1346" s="12" t="n">
        <v>15</v>
      </c>
      <c r="G1346" s="12" t="n">
        <v>19</v>
      </c>
      <c r="H1346" s="12" t="inlineStr">
        <is>
          <t>GBS-1: block 1 480 V paralleling switchgear (4 gensets)</t>
        </is>
      </c>
      <c r="I1346" s="12" t="inlineStr">
        <is>
          <t>LV 600 V</t>
        </is>
      </c>
      <c r="J1346" s="12" t="inlineStr">
        <is>
          <t>10</t>
        </is>
      </c>
      <c r="K1346" s="12" t="n">
        <v>1</v>
      </c>
    </row>
    <row r="1347">
      <c r="A1347" s="12" t="inlineStr">
        <is>
          <t>GB-1.2: modular gas genset ~450 kW, 480 V (block 1)</t>
        </is>
      </c>
      <c r="B1347" s="12" t="inlineStr">
        <is>
          <t>GB-1.2</t>
        </is>
      </c>
      <c r="C1347" s="12" t="inlineStr">
        <is>
          <t>I</t>
        </is>
      </c>
      <c r="D1347" s="12" t="inlineStr">
        <is>
          <t>LV power feeder</t>
        </is>
      </c>
      <c r="E1347" s="12" t="n">
        <v>480</v>
      </c>
      <c r="F1347" s="12" t="n">
        <v>15</v>
      </c>
      <c r="G1347" s="12" t="n">
        <v>21.2</v>
      </c>
      <c r="H1347" s="12" t="inlineStr">
        <is>
          <t>PAD-LV 480 V paralleling switchboard</t>
        </is>
      </c>
      <c r="I1347" s="12" t="inlineStr">
        <is>
          <t>LV 600 V</t>
        </is>
      </c>
      <c r="J1347" s="12" t="inlineStr">
        <is>
          <t>10</t>
        </is>
      </c>
      <c r="K1347" s="12" t="n">
        <v>1</v>
      </c>
    </row>
    <row r="1348">
      <c r="A1348" s="12" t="inlineStr">
        <is>
          <t>GB-1.3: modular gas genset ~450 kW, 480 V (block 1)</t>
        </is>
      </c>
      <c r="B1348" s="12" t="inlineStr">
        <is>
          <t>GB-1.3</t>
        </is>
      </c>
      <c r="C1348" s="12" t="inlineStr">
        <is>
          <t>I</t>
        </is>
      </c>
      <c r="D1348" s="12" t="inlineStr">
        <is>
          <t>GB-1.3 aux power: jacket-water heater, battery charger, enclosure</t>
        </is>
      </c>
      <c r="E1348" s="12" t="n">
        <v>480</v>
      </c>
      <c r="F1348" s="12" t="n">
        <v>15</v>
      </c>
      <c r="G1348" s="12" t="n">
        <v>19</v>
      </c>
      <c r="H1348" s="12" t="inlineStr">
        <is>
          <t>GBS-1: block 1 480 V paralleling switchgear (4 gensets)</t>
        </is>
      </c>
      <c r="I1348" s="12" t="inlineStr">
        <is>
          <t>LV 600 V</t>
        </is>
      </c>
      <c r="J1348" s="12" t="inlineStr">
        <is>
          <t>10</t>
        </is>
      </c>
      <c r="K1348" s="12" t="n">
        <v>1</v>
      </c>
    </row>
    <row r="1349">
      <c r="A1349" s="12" t="inlineStr">
        <is>
          <t>GB-1.3: modular gas genset ~450 kW, 480 V (block 1)</t>
        </is>
      </c>
      <c r="B1349" s="12" t="inlineStr">
        <is>
          <t>GB-1.3</t>
        </is>
      </c>
      <c r="C1349" s="12" t="inlineStr">
        <is>
          <t>I</t>
        </is>
      </c>
      <c r="D1349" s="12" t="inlineStr">
        <is>
          <t>LV power feeder</t>
        </is>
      </c>
      <c r="E1349" s="12" t="n">
        <v>480</v>
      </c>
      <c r="F1349" s="12" t="n">
        <v>15</v>
      </c>
      <c r="G1349" s="12" t="n">
        <v>21.2</v>
      </c>
      <c r="H1349" s="12" t="inlineStr">
        <is>
          <t>PAD-LV 480 V paralleling switchboard</t>
        </is>
      </c>
      <c r="I1349" s="12" t="inlineStr">
        <is>
          <t>LV 600 V</t>
        </is>
      </c>
      <c r="J1349" s="12" t="inlineStr">
        <is>
          <t>10</t>
        </is>
      </c>
      <c r="K1349" s="12" t="n">
        <v>1</v>
      </c>
    </row>
    <row r="1350">
      <c r="A1350" s="12" t="inlineStr">
        <is>
          <t>GB-1.4: modular gas genset ~450 kW, 480 V (block 1)</t>
        </is>
      </c>
      <c r="B1350" s="12" t="inlineStr">
        <is>
          <t>GB-1.4</t>
        </is>
      </c>
      <c r="C1350" s="12" t="inlineStr">
        <is>
          <t>I</t>
        </is>
      </c>
      <c r="D1350" s="12" t="inlineStr">
        <is>
          <t>GB-1.4 aux power: jacket-water heater, battery charger, enclosure</t>
        </is>
      </c>
      <c r="E1350" s="12" t="n">
        <v>480</v>
      </c>
      <c r="F1350" s="12" t="n">
        <v>15</v>
      </c>
      <c r="G1350" s="12" t="n">
        <v>19</v>
      </c>
      <c r="H1350" s="12" t="inlineStr">
        <is>
          <t>GBS-1: block 1 480 V paralleling switchgear (4 gensets)</t>
        </is>
      </c>
      <c r="I1350" s="12" t="inlineStr">
        <is>
          <t>LV 600 V</t>
        </is>
      </c>
      <c r="J1350" s="12" t="inlineStr">
        <is>
          <t>10</t>
        </is>
      </c>
      <c r="K1350" s="12" t="n">
        <v>1</v>
      </c>
    </row>
    <row r="1351">
      <c r="A1351" s="12" t="inlineStr">
        <is>
          <t>GB-1.4: modular gas genset ~450 kW, 480 V (block 1)</t>
        </is>
      </c>
      <c r="B1351" s="12" t="inlineStr">
        <is>
          <t>GB-1.4</t>
        </is>
      </c>
      <c r="C1351" s="12" t="inlineStr">
        <is>
          <t>I</t>
        </is>
      </c>
      <c r="D1351" s="12" t="inlineStr">
        <is>
          <t>LV power feeder</t>
        </is>
      </c>
      <c r="E1351" s="12" t="n">
        <v>480</v>
      </c>
      <c r="F1351" s="12" t="n">
        <v>15</v>
      </c>
      <c r="G1351" s="12" t="n">
        <v>21.2</v>
      </c>
      <c r="H1351" s="12" t="inlineStr">
        <is>
          <t>PAD-LV 480 V paralleling switchboard</t>
        </is>
      </c>
      <c r="I1351" s="12" t="inlineStr">
        <is>
          <t>LV 600 V</t>
        </is>
      </c>
      <c r="J1351" s="12" t="inlineStr">
        <is>
          <t>10</t>
        </is>
      </c>
      <c r="K1351" s="12" t="n">
        <v>1</v>
      </c>
    </row>
    <row r="1352">
      <c r="A1352" s="12" t="inlineStr">
        <is>
          <t>GB-2.1: modular gas genset ~450 kW, 480 V (block 2)</t>
        </is>
      </c>
      <c r="B1352" s="12" t="inlineStr">
        <is>
          <t>GB-2.1</t>
        </is>
      </c>
      <c r="C1352" s="12" t="inlineStr">
        <is>
          <t>I</t>
        </is>
      </c>
      <c r="D1352" s="12" t="inlineStr">
        <is>
          <t>GB-2.1 aux power: jacket-water heater, battery charger, enclosure</t>
        </is>
      </c>
      <c r="E1352" s="12" t="n">
        <v>480</v>
      </c>
      <c r="F1352" s="12" t="n">
        <v>15</v>
      </c>
      <c r="G1352" s="12" t="n">
        <v>19</v>
      </c>
      <c r="H1352" s="12" t="inlineStr">
        <is>
          <t>GBS-2: block 2 480 V paralleling switchgear (4 gensets)</t>
        </is>
      </c>
      <c r="I1352" s="12" t="inlineStr">
        <is>
          <t>LV 600 V</t>
        </is>
      </c>
      <c r="J1352" s="12" t="inlineStr">
        <is>
          <t>10</t>
        </is>
      </c>
      <c r="K1352" s="12" t="n">
        <v>1</v>
      </c>
    </row>
    <row r="1353">
      <c r="A1353" s="12" t="inlineStr">
        <is>
          <t>GB-2.1: modular gas genset ~450 kW, 480 V (block 2)</t>
        </is>
      </c>
      <c r="B1353" s="12" t="inlineStr">
        <is>
          <t>GB-2.1</t>
        </is>
      </c>
      <c r="C1353" s="12" t="inlineStr">
        <is>
          <t>I</t>
        </is>
      </c>
      <c r="D1353" s="12" t="inlineStr">
        <is>
          <t>LV power feeder</t>
        </is>
      </c>
      <c r="E1353" s="12" t="n">
        <v>480</v>
      </c>
      <c r="F1353" s="12" t="n">
        <v>15</v>
      </c>
      <c r="G1353" s="12" t="n">
        <v>21.2</v>
      </c>
      <c r="H1353" s="12" t="inlineStr">
        <is>
          <t>PAD-LV 480 V paralleling switchboard</t>
        </is>
      </c>
      <c r="I1353" s="12" t="inlineStr">
        <is>
          <t>LV 600 V</t>
        </is>
      </c>
      <c r="J1353" s="12" t="inlineStr">
        <is>
          <t>10</t>
        </is>
      </c>
      <c r="K1353" s="12" t="n">
        <v>1</v>
      </c>
    </row>
    <row r="1354">
      <c r="A1354" s="12" t="inlineStr">
        <is>
          <t>GB-2.2: modular gas genset ~450 kW, 480 V (block 2)</t>
        </is>
      </c>
      <c r="B1354" s="12" t="inlineStr">
        <is>
          <t>GB-2.2</t>
        </is>
      </c>
      <c r="C1354" s="12" t="inlineStr">
        <is>
          <t>I</t>
        </is>
      </c>
      <c r="D1354" s="12" t="inlineStr">
        <is>
          <t>GB-2.2 aux power: jacket-water heater, battery charger, enclosure</t>
        </is>
      </c>
      <c r="E1354" s="12" t="n">
        <v>480</v>
      </c>
      <c r="F1354" s="12" t="n">
        <v>15</v>
      </c>
      <c r="G1354" s="12" t="n">
        <v>19</v>
      </c>
      <c r="H1354" s="12" t="inlineStr">
        <is>
          <t>GBS-2: block 2 480 V paralleling switchgear (4 gensets)</t>
        </is>
      </c>
      <c r="I1354" s="12" t="inlineStr">
        <is>
          <t>LV 600 V</t>
        </is>
      </c>
      <c r="J1354" s="12" t="inlineStr">
        <is>
          <t>10</t>
        </is>
      </c>
      <c r="K1354" s="12" t="n">
        <v>1</v>
      </c>
    </row>
    <row r="1355">
      <c r="A1355" s="12" t="inlineStr">
        <is>
          <t>GB-2.2: modular gas genset ~450 kW, 480 V (block 2)</t>
        </is>
      </c>
      <c r="B1355" s="12" t="inlineStr">
        <is>
          <t>GB-2.2</t>
        </is>
      </c>
      <c r="C1355" s="12" t="inlineStr">
        <is>
          <t>I</t>
        </is>
      </c>
      <c r="D1355" s="12" t="inlineStr">
        <is>
          <t>LV power feeder</t>
        </is>
      </c>
      <c r="E1355" s="12" t="n">
        <v>480</v>
      </c>
      <c r="F1355" s="12" t="n">
        <v>15</v>
      </c>
      <c r="G1355" s="12" t="n">
        <v>21.2</v>
      </c>
      <c r="H1355" s="12" t="inlineStr">
        <is>
          <t>PAD-LV 480 V paralleling switchboard</t>
        </is>
      </c>
      <c r="I1355" s="12" t="inlineStr">
        <is>
          <t>LV 600 V</t>
        </is>
      </c>
      <c r="J1355" s="12" t="inlineStr">
        <is>
          <t>10</t>
        </is>
      </c>
      <c r="K1355" s="12" t="n">
        <v>1</v>
      </c>
    </row>
    <row r="1356">
      <c r="A1356" s="12" t="inlineStr">
        <is>
          <t>GB-2.3: modular gas genset ~450 kW, 480 V (block 2)</t>
        </is>
      </c>
      <c r="B1356" s="12" t="inlineStr">
        <is>
          <t>GB-2.3</t>
        </is>
      </c>
      <c r="C1356" s="12" t="inlineStr">
        <is>
          <t>I</t>
        </is>
      </c>
      <c r="D1356" s="12" t="inlineStr">
        <is>
          <t>GB-2.3 aux power: jacket-water heater, battery charger, enclosure</t>
        </is>
      </c>
      <c r="E1356" s="12" t="n">
        <v>480</v>
      </c>
      <c r="F1356" s="12" t="n">
        <v>15</v>
      </c>
      <c r="G1356" s="12" t="n">
        <v>19</v>
      </c>
      <c r="H1356" s="12" t="inlineStr">
        <is>
          <t>GBS-2: block 2 480 V paralleling switchgear (4 gensets)</t>
        </is>
      </c>
      <c r="I1356" s="12" t="inlineStr">
        <is>
          <t>LV 600 V</t>
        </is>
      </c>
      <c r="J1356" s="12" t="inlineStr">
        <is>
          <t>10</t>
        </is>
      </c>
      <c r="K1356" s="12" t="n">
        <v>1</v>
      </c>
    </row>
    <row r="1357">
      <c r="A1357" s="12" t="inlineStr">
        <is>
          <t>GB-2.3: modular gas genset ~450 kW, 480 V (block 2)</t>
        </is>
      </c>
      <c r="B1357" s="12" t="inlineStr">
        <is>
          <t>GB-2.3</t>
        </is>
      </c>
      <c r="C1357" s="12" t="inlineStr">
        <is>
          <t>I</t>
        </is>
      </c>
      <c r="D1357" s="12" t="inlineStr">
        <is>
          <t>LV power feeder</t>
        </is>
      </c>
      <c r="E1357" s="12" t="n">
        <v>480</v>
      </c>
      <c r="F1357" s="12" t="n">
        <v>15</v>
      </c>
      <c r="G1357" s="12" t="n">
        <v>21.2</v>
      </c>
      <c r="H1357" s="12" t="inlineStr">
        <is>
          <t>PAD-LV 480 V paralleling switchboard</t>
        </is>
      </c>
      <c r="I1357" s="12" t="inlineStr">
        <is>
          <t>LV 600 V</t>
        </is>
      </c>
      <c r="J1357" s="12" t="inlineStr">
        <is>
          <t>10</t>
        </is>
      </c>
      <c r="K1357" s="12" t="n">
        <v>1</v>
      </c>
    </row>
    <row r="1358">
      <c r="A1358" s="12" t="inlineStr">
        <is>
          <t>GB-2.4: modular gas genset ~450 kW, 480 V (block 2)</t>
        </is>
      </c>
      <c r="B1358" s="12" t="inlineStr">
        <is>
          <t>GB-2.4</t>
        </is>
      </c>
      <c r="C1358" s="12" t="inlineStr">
        <is>
          <t>I</t>
        </is>
      </c>
      <c r="D1358" s="12" t="inlineStr">
        <is>
          <t>GB-2.4 aux power: jacket-water heater, battery charger, enclosure</t>
        </is>
      </c>
      <c r="E1358" s="12" t="n">
        <v>480</v>
      </c>
      <c r="F1358" s="12" t="n">
        <v>15</v>
      </c>
      <c r="G1358" s="12" t="n">
        <v>19</v>
      </c>
      <c r="H1358" s="12" t="inlineStr">
        <is>
          <t>GBS-2: block 2 480 V paralleling switchgear (4 gensets)</t>
        </is>
      </c>
      <c r="I1358" s="12" t="inlineStr">
        <is>
          <t>LV 600 V</t>
        </is>
      </c>
      <c r="J1358" s="12" t="inlineStr">
        <is>
          <t>10</t>
        </is>
      </c>
      <c r="K1358" s="12" t="n">
        <v>1</v>
      </c>
    </row>
    <row r="1359">
      <c r="A1359" s="12" t="inlineStr">
        <is>
          <t>GB-2.4: modular gas genset ~450 kW, 480 V (block 2)</t>
        </is>
      </c>
      <c r="B1359" s="12" t="inlineStr">
        <is>
          <t>GB-2.4</t>
        </is>
      </c>
      <c r="C1359" s="12" t="inlineStr">
        <is>
          <t>I</t>
        </is>
      </c>
      <c r="D1359" s="12" t="inlineStr">
        <is>
          <t>LV power feeder</t>
        </is>
      </c>
      <c r="E1359" s="12" t="n">
        <v>480</v>
      </c>
      <c r="F1359" s="12" t="n">
        <v>15</v>
      </c>
      <c r="G1359" s="12" t="n">
        <v>21.2</v>
      </c>
      <c r="H1359" s="12" t="inlineStr">
        <is>
          <t>PAD-LV 480 V paralleling switchboard</t>
        </is>
      </c>
      <c r="I1359" s="12" t="inlineStr">
        <is>
          <t>LV 600 V</t>
        </is>
      </c>
      <c r="J1359" s="12" t="inlineStr">
        <is>
          <t>10</t>
        </is>
      </c>
      <c r="K1359" s="12" t="n">
        <v>1</v>
      </c>
    </row>
    <row r="1360">
      <c r="A1360" s="12" t="inlineStr">
        <is>
          <t>GB-3.1: modular gas genset ~450 kW, 480 V (block 3)</t>
        </is>
      </c>
      <c r="B1360" s="12" t="inlineStr">
        <is>
          <t>GB-3.1</t>
        </is>
      </c>
      <c r="C1360" s="12" t="inlineStr">
        <is>
          <t>I</t>
        </is>
      </c>
      <c r="D1360" s="12" t="inlineStr">
        <is>
          <t>GB-3.1 aux power: jacket-water heater, battery charger, enclosure</t>
        </is>
      </c>
      <c r="E1360" s="12" t="n">
        <v>480</v>
      </c>
      <c r="F1360" s="12" t="n">
        <v>15</v>
      </c>
      <c r="G1360" s="12" t="n">
        <v>19</v>
      </c>
      <c r="H1360" s="12" t="inlineStr">
        <is>
          <t>GBS-3: block 3 480 V paralleling switchgear (4 gensets)</t>
        </is>
      </c>
      <c r="I1360" s="12" t="inlineStr">
        <is>
          <t>LV 600 V</t>
        </is>
      </c>
      <c r="J1360" s="12" t="inlineStr">
        <is>
          <t>10</t>
        </is>
      </c>
      <c r="K1360" s="12" t="n">
        <v>1</v>
      </c>
    </row>
    <row r="1361">
      <c r="A1361" s="12" t="inlineStr">
        <is>
          <t>GB-3.1: modular gas genset ~450 kW, 480 V (block 3)</t>
        </is>
      </c>
      <c r="B1361" s="12" t="inlineStr">
        <is>
          <t>GB-3.1</t>
        </is>
      </c>
      <c r="C1361" s="12" t="inlineStr">
        <is>
          <t>I</t>
        </is>
      </c>
      <c r="D1361" s="12" t="inlineStr">
        <is>
          <t>LV power feeder</t>
        </is>
      </c>
      <c r="E1361" s="12" t="n">
        <v>480</v>
      </c>
      <c r="F1361" s="12" t="n">
        <v>15</v>
      </c>
      <c r="G1361" s="12" t="n">
        <v>21.2</v>
      </c>
      <c r="H1361" s="12" t="inlineStr">
        <is>
          <t>PAD-LV 480 V paralleling switchboard</t>
        </is>
      </c>
      <c r="I1361" s="12" t="inlineStr">
        <is>
          <t>LV 600 V</t>
        </is>
      </c>
      <c r="J1361" s="12" t="inlineStr">
        <is>
          <t>10</t>
        </is>
      </c>
      <c r="K1361" s="12" t="n">
        <v>1</v>
      </c>
    </row>
    <row r="1362">
      <c r="A1362" s="12" t="inlineStr">
        <is>
          <t>GB-3.2: modular gas genset ~450 kW, 480 V (block 3)</t>
        </is>
      </c>
      <c r="B1362" s="12" t="inlineStr">
        <is>
          <t>GB-3.2</t>
        </is>
      </c>
      <c r="C1362" s="12" t="inlineStr">
        <is>
          <t>I</t>
        </is>
      </c>
      <c r="D1362" s="12" t="inlineStr">
        <is>
          <t>GB-3.2 aux power: jacket-water heater, battery charger, enclosure</t>
        </is>
      </c>
      <c r="E1362" s="12" t="n">
        <v>480</v>
      </c>
      <c r="F1362" s="12" t="n">
        <v>15</v>
      </c>
      <c r="G1362" s="12" t="n">
        <v>19</v>
      </c>
      <c r="H1362" s="12" t="inlineStr">
        <is>
          <t>GBS-3: block 3 480 V paralleling switchgear (4 gensets)</t>
        </is>
      </c>
      <c r="I1362" s="12" t="inlineStr">
        <is>
          <t>LV 600 V</t>
        </is>
      </c>
      <c r="J1362" s="12" t="inlineStr">
        <is>
          <t>10</t>
        </is>
      </c>
      <c r="K1362" s="12" t="n">
        <v>1</v>
      </c>
    </row>
    <row r="1363">
      <c r="A1363" s="12" t="inlineStr">
        <is>
          <t>GB-3.2: modular gas genset ~450 kW, 480 V (block 3)</t>
        </is>
      </c>
      <c r="B1363" s="12" t="inlineStr">
        <is>
          <t>GB-3.2</t>
        </is>
      </c>
      <c r="C1363" s="12" t="inlineStr">
        <is>
          <t>I</t>
        </is>
      </c>
      <c r="D1363" s="12" t="inlineStr">
        <is>
          <t>LV power feeder</t>
        </is>
      </c>
      <c r="E1363" s="12" t="n">
        <v>480</v>
      </c>
      <c r="F1363" s="12" t="n">
        <v>15</v>
      </c>
      <c r="G1363" s="12" t="n">
        <v>21.2</v>
      </c>
      <c r="H1363" s="12" t="inlineStr">
        <is>
          <t>PAD-LV 480 V paralleling switchboard</t>
        </is>
      </c>
      <c r="I1363" s="12" t="inlineStr">
        <is>
          <t>LV 600 V</t>
        </is>
      </c>
      <c r="J1363" s="12" t="inlineStr">
        <is>
          <t>10</t>
        </is>
      </c>
      <c r="K1363" s="12" t="n">
        <v>1</v>
      </c>
    </row>
    <row r="1364">
      <c r="A1364" s="12" t="inlineStr">
        <is>
          <t>GB-3.3: modular gas genset ~450 kW, 480 V (block 3)</t>
        </is>
      </c>
      <c r="B1364" s="12" t="inlineStr">
        <is>
          <t>GB-3.3</t>
        </is>
      </c>
      <c r="C1364" s="12" t="inlineStr">
        <is>
          <t>I</t>
        </is>
      </c>
      <c r="D1364" s="12" t="inlineStr">
        <is>
          <t>GB-3.3 aux power: jacket-water heater, battery charger, enclosure</t>
        </is>
      </c>
      <c r="E1364" s="12" t="n">
        <v>480</v>
      </c>
      <c r="F1364" s="12" t="n">
        <v>15</v>
      </c>
      <c r="G1364" s="12" t="n">
        <v>19</v>
      </c>
      <c r="H1364" s="12" t="inlineStr">
        <is>
          <t>GBS-3: block 3 480 V paralleling switchgear (4 gensets)</t>
        </is>
      </c>
      <c r="I1364" s="12" t="inlineStr">
        <is>
          <t>LV 600 V</t>
        </is>
      </c>
      <c r="J1364" s="12" t="inlineStr">
        <is>
          <t>10</t>
        </is>
      </c>
      <c r="K1364" s="12" t="n">
        <v>1</v>
      </c>
    </row>
    <row r="1365">
      <c r="A1365" s="12" t="inlineStr">
        <is>
          <t>GB-3.3: modular gas genset ~450 kW, 480 V (block 3)</t>
        </is>
      </c>
      <c r="B1365" s="12" t="inlineStr">
        <is>
          <t>GB-3.3</t>
        </is>
      </c>
      <c r="C1365" s="12" t="inlineStr">
        <is>
          <t>I</t>
        </is>
      </c>
      <c r="D1365" s="12" t="inlineStr">
        <is>
          <t>LV power feeder</t>
        </is>
      </c>
      <c r="E1365" s="12" t="n">
        <v>480</v>
      </c>
      <c r="F1365" s="12" t="n">
        <v>15</v>
      </c>
      <c r="G1365" s="12" t="n">
        <v>21.2</v>
      </c>
      <c r="H1365" s="12" t="inlineStr">
        <is>
          <t>PAD-LV 480 V paralleling switchboard</t>
        </is>
      </c>
      <c r="I1365" s="12" t="inlineStr">
        <is>
          <t>LV 600 V</t>
        </is>
      </c>
      <c r="J1365" s="12" t="inlineStr">
        <is>
          <t>10</t>
        </is>
      </c>
      <c r="K1365" s="12" t="n">
        <v>1</v>
      </c>
    </row>
    <row r="1366">
      <c r="A1366" s="12" t="inlineStr">
        <is>
          <t>GB-3.4: modular gas genset ~450 kW, 480 V (block 3)</t>
        </is>
      </c>
      <c r="B1366" s="12" t="inlineStr">
        <is>
          <t>GB-3.4</t>
        </is>
      </c>
      <c r="C1366" s="12" t="inlineStr">
        <is>
          <t>I</t>
        </is>
      </c>
      <c r="D1366" s="12" t="inlineStr">
        <is>
          <t>GB-3.4 aux power: jacket-water heater, battery charger, enclosure</t>
        </is>
      </c>
      <c r="E1366" s="12" t="n">
        <v>480</v>
      </c>
      <c r="F1366" s="12" t="n">
        <v>15</v>
      </c>
      <c r="G1366" s="12" t="n">
        <v>19</v>
      </c>
      <c r="H1366" s="12" t="inlineStr">
        <is>
          <t>GBS-3: block 3 480 V paralleling switchgear (4 gensets)</t>
        </is>
      </c>
      <c r="I1366" s="12" t="inlineStr">
        <is>
          <t>LV 600 V</t>
        </is>
      </c>
      <c r="J1366" s="12" t="inlineStr">
        <is>
          <t>10</t>
        </is>
      </c>
      <c r="K1366" s="12" t="n">
        <v>1</v>
      </c>
    </row>
    <row r="1367">
      <c r="A1367" s="12" t="inlineStr">
        <is>
          <t>GB-3.4: modular gas genset ~450 kW, 480 V (block 3)</t>
        </is>
      </c>
      <c r="B1367" s="12" t="inlineStr">
        <is>
          <t>GB-3.4</t>
        </is>
      </c>
      <c r="C1367" s="12" t="inlineStr">
        <is>
          <t>I</t>
        </is>
      </c>
      <c r="D1367" s="12" t="inlineStr">
        <is>
          <t>LV power feeder</t>
        </is>
      </c>
      <c r="E1367" s="12" t="n">
        <v>480</v>
      </c>
      <c r="F1367" s="12" t="n">
        <v>15</v>
      </c>
      <c r="G1367" s="12" t="n">
        <v>21.2</v>
      </c>
      <c r="H1367" s="12" t="inlineStr">
        <is>
          <t>PAD-LV 480 V paralleling switchboard</t>
        </is>
      </c>
      <c r="I1367" s="12" t="inlineStr">
        <is>
          <t>LV 600 V</t>
        </is>
      </c>
      <c r="J1367" s="12" t="inlineStr">
        <is>
          <t>10</t>
        </is>
      </c>
      <c r="K1367" s="12" t="n">
        <v>1</v>
      </c>
    </row>
    <row r="1368">
      <c r="A1368" s="12" t="inlineStr">
        <is>
          <t>GB-4.1: modular gas genset ~450 kW, 480 V (block 4)</t>
        </is>
      </c>
      <c r="B1368" s="12" t="inlineStr">
        <is>
          <t>GB-4.1</t>
        </is>
      </c>
      <c r="C1368" s="12" t="inlineStr">
        <is>
          <t>I</t>
        </is>
      </c>
      <c r="D1368" s="12" t="inlineStr">
        <is>
          <t>GB-4.1 aux power: jacket-water heater, battery charger, enclosure</t>
        </is>
      </c>
      <c r="E1368" s="12" t="n">
        <v>480</v>
      </c>
      <c r="F1368" s="12" t="n">
        <v>15</v>
      </c>
      <c r="G1368" s="12" t="n">
        <v>19</v>
      </c>
      <c r="H1368" s="12" t="inlineStr">
        <is>
          <t>GBS-4: block 4 480 V paralleling switchgear (4 gensets)</t>
        </is>
      </c>
      <c r="I1368" s="12" t="inlineStr">
        <is>
          <t>LV 600 V</t>
        </is>
      </c>
      <c r="J1368" s="12" t="inlineStr">
        <is>
          <t>10</t>
        </is>
      </c>
      <c r="K1368" s="12" t="n">
        <v>1</v>
      </c>
    </row>
    <row r="1369">
      <c r="A1369" s="12" t="inlineStr">
        <is>
          <t>GB-4.1: modular gas genset ~450 kW, 480 V (block 4)</t>
        </is>
      </c>
      <c r="B1369" s="12" t="inlineStr">
        <is>
          <t>GB-4.1</t>
        </is>
      </c>
      <c r="C1369" s="12" t="inlineStr">
        <is>
          <t>I</t>
        </is>
      </c>
      <c r="D1369" s="12" t="inlineStr">
        <is>
          <t>LV power feeder</t>
        </is>
      </c>
      <c r="E1369" s="12" t="n">
        <v>480</v>
      </c>
      <c r="F1369" s="12" t="n">
        <v>15</v>
      </c>
      <c r="G1369" s="12" t="n">
        <v>21.2</v>
      </c>
      <c r="H1369" s="12" t="inlineStr">
        <is>
          <t>PAD-LV 480 V paralleling switchboard</t>
        </is>
      </c>
      <c r="I1369" s="12" t="inlineStr">
        <is>
          <t>LV 600 V</t>
        </is>
      </c>
      <c r="J1369" s="12" t="inlineStr">
        <is>
          <t>8</t>
        </is>
      </c>
      <c r="K1369" s="12" t="n">
        <v>1</v>
      </c>
    </row>
    <row r="1370">
      <c r="A1370" s="12" t="inlineStr">
        <is>
          <t>GB-4.2: modular gas genset ~450 kW, 480 V (block 4)</t>
        </is>
      </c>
      <c r="B1370" s="12" t="inlineStr">
        <is>
          <t>GB-4.2</t>
        </is>
      </c>
      <c r="C1370" s="12" t="inlineStr">
        <is>
          <t>I</t>
        </is>
      </c>
      <c r="D1370" s="12" t="inlineStr">
        <is>
          <t>GB-4.2 aux power: jacket-water heater, battery charger, enclosure</t>
        </is>
      </c>
      <c r="E1370" s="12" t="n">
        <v>480</v>
      </c>
      <c r="F1370" s="12" t="n">
        <v>15</v>
      </c>
      <c r="G1370" s="12" t="n">
        <v>19</v>
      </c>
      <c r="H1370" s="12" t="inlineStr">
        <is>
          <t>GBS-4: block 4 480 V paralleling switchgear (4 gensets)</t>
        </is>
      </c>
      <c r="I1370" s="12" t="inlineStr">
        <is>
          <t>LV 600 V</t>
        </is>
      </c>
      <c r="J1370" s="12" t="inlineStr">
        <is>
          <t>10</t>
        </is>
      </c>
      <c r="K1370" s="12" t="n">
        <v>1</v>
      </c>
    </row>
    <row r="1371">
      <c r="A1371" s="12" t="inlineStr">
        <is>
          <t>GB-4.2: modular gas genset ~450 kW, 480 V (block 4)</t>
        </is>
      </c>
      <c r="B1371" s="12" t="inlineStr">
        <is>
          <t>GB-4.2</t>
        </is>
      </c>
      <c r="C1371" s="12" t="inlineStr">
        <is>
          <t>I</t>
        </is>
      </c>
      <c r="D1371" s="12" t="inlineStr">
        <is>
          <t>LV power feeder</t>
        </is>
      </c>
      <c r="E1371" s="12" t="n">
        <v>480</v>
      </c>
      <c r="F1371" s="12" t="n">
        <v>15</v>
      </c>
      <c r="G1371" s="12" t="n">
        <v>21.2</v>
      </c>
      <c r="H1371" s="12" t="inlineStr">
        <is>
          <t>PAD-LV 480 V paralleling switchboard</t>
        </is>
      </c>
      <c r="I1371" s="12" t="inlineStr">
        <is>
          <t>LV 600 V</t>
        </is>
      </c>
      <c r="J1371" s="12" t="inlineStr">
        <is>
          <t>8</t>
        </is>
      </c>
      <c r="K1371" s="12" t="n">
        <v>1</v>
      </c>
    </row>
    <row r="1372">
      <c r="A1372" s="12" t="inlineStr">
        <is>
          <t>GB-4.3: modular gas genset ~450 kW, 480 V (block 4)</t>
        </is>
      </c>
      <c r="B1372" s="12" t="inlineStr">
        <is>
          <t>GB-4.3</t>
        </is>
      </c>
      <c r="C1372" s="12" t="inlineStr">
        <is>
          <t>I</t>
        </is>
      </c>
      <c r="D1372" s="12" t="inlineStr">
        <is>
          <t>GB-4.3 aux power: jacket-water heater, battery charger, enclosure</t>
        </is>
      </c>
      <c r="E1372" s="12" t="n">
        <v>480</v>
      </c>
      <c r="F1372" s="12" t="n">
        <v>15</v>
      </c>
      <c r="G1372" s="12" t="n">
        <v>19</v>
      </c>
      <c r="H1372" s="12" t="inlineStr">
        <is>
          <t>GBS-4: block 4 480 V paralleling switchgear (4 gensets)</t>
        </is>
      </c>
      <c r="I1372" s="12" t="inlineStr">
        <is>
          <t>LV 600 V</t>
        </is>
      </c>
      <c r="J1372" s="12" t="inlineStr">
        <is>
          <t>10</t>
        </is>
      </c>
      <c r="K1372" s="12" t="n">
        <v>1</v>
      </c>
    </row>
    <row r="1373">
      <c r="A1373" s="12" t="inlineStr">
        <is>
          <t>GB-4.3: modular gas genset ~450 kW, 480 V (block 4)</t>
        </is>
      </c>
      <c r="B1373" s="12" t="inlineStr">
        <is>
          <t>GB-4.3</t>
        </is>
      </c>
      <c r="C1373" s="12" t="inlineStr">
        <is>
          <t>I</t>
        </is>
      </c>
      <c r="D1373" s="12" t="inlineStr">
        <is>
          <t>LV power feeder</t>
        </is>
      </c>
      <c r="E1373" s="12" t="n">
        <v>480</v>
      </c>
      <c r="F1373" s="12" t="n">
        <v>15</v>
      </c>
      <c r="G1373" s="12" t="n">
        <v>21.2</v>
      </c>
      <c r="H1373" s="12" t="inlineStr">
        <is>
          <t>PAD-LV 480 V paralleling switchboard</t>
        </is>
      </c>
      <c r="I1373" s="12" t="inlineStr">
        <is>
          <t>LV 600 V</t>
        </is>
      </c>
      <c r="J1373" s="12" t="inlineStr">
        <is>
          <t>8</t>
        </is>
      </c>
      <c r="K1373" s="12" t="n">
        <v>1</v>
      </c>
    </row>
    <row r="1374">
      <c r="A1374" s="12" t="inlineStr">
        <is>
          <t>GB-4.4: modular gas genset ~450 kW, 480 V (block 4)</t>
        </is>
      </c>
      <c r="B1374" s="12" t="inlineStr">
        <is>
          <t>GB-4.4</t>
        </is>
      </c>
      <c r="C1374" s="12" t="inlineStr">
        <is>
          <t>I</t>
        </is>
      </c>
      <c r="D1374" s="12" t="inlineStr">
        <is>
          <t>GB-4.4 aux power: jacket-water heater, battery charger, enclosure</t>
        </is>
      </c>
      <c r="E1374" s="12" t="n">
        <v>480</v>
      </c>
      <c r="F1374" s="12" t="n">
        <v>15</v>
      </c>
      <c r="G1374" s="12" t="n">
        <v>19</v>
      </c>
      <c r="H1374" s="12" t="inlineStr">
        <is>
          <t>GBS-4: block 4 480 V paralleling switchgear (4 gensets)</t>
        </is>
      </c>
      <c r="I1374" s="12" t="inlineStr">
        <is>
          <t>LV 600 V</t>
        </is>
      </c>
      <c r="J1374" s="12" t="inlineStr">
        <is>
          <t>10</t>
        </is>
      </c>
      <c r="K1374" s="12" t="n">
        <v>1</v>
      </c>
    </row>
    <row r="1375">
      <c r="A1375" s="12" t="inlineStr">
        <is>
          <t>GB-4.4: modular gas genset ~450 kW, 480 V (block 4)</t>
        </is>
      </c>
      <c r="B1375" s="12" t="inlineStr">
        <is>
          <t>GB-4.4</t>
        </is>
      </c>
      <c r="C1375" s="12" t="inlineStr">
        <is>
          <t>I</t>
        </is>
      </c>
      <c r="D1375" s="12" t="inlineStr">
        <is>
          <t>LV power feeder</t>
        </is>
      </c>
      <c r="E1375" s="12" t="n">
        <v>480</v>
      </c>
      <c r="F1375" s="12" t="n">
        <v>15</v>
      </c>
      <c r="G1375" s="12" t="n">
        <v>21.2</v>
      </c>
      <c r="H1375" s="12" t="inlineStr">
        <is>
          <t>PAD-LV 480 V paralleling switchboard</t>
        </is>
      </c>
      <c r="I1375" s="12" t="inlineStr">
        <is>
          <t>LV 600 V</t>
        </is>
      </c>
      <c r="J1375" s="12" t="inlineStr">
        <is>
          <t>8</t>
        </is>
      </c>
      <c r="K1375" s="12" t="n">
        <v>1</v>
      </c>
    </row>
    <row r="1376">
      <c r="A1376" s="12" t="inlineStr">
        <is>
          <t>GB-5.1: modular gas genset ~450 kW, 480 V (block 5)</t>
        </is>
      </c>
      <c r="B1376" s="12" t="inlineStr">
        <is>
          <t>GB-5.1</t>
        </is>
      </c>
      <c r="C1376" s="12" t="inlineStr">
        <is>
          <t>I</t>
        </is>
      </c>
      <c r="D1376" s="12" t="inlineStr">
        <is>
          <t>GB-5.1 aux power: jacket-water heater, battery charger, enclosure</t>
        </is>
      </c>
      <c r="E1376" s="12" t="n">
        <v>480</v>
      </c>
      <c r="F1376" s="12" t="n">
        <v>15</v>
      </c>
      <c r="G1376" s="12" t="n">
        <v>19</v>
      </c>
      <c r="H1376" s="12" t="inlineStr">
        <is>
          <t>GBS-5: block 5 480 V paralleling switchgear (4 gensets)</t>
        </is>
      </c>
      <c r="I1376" s="12" t="inlineStr">
        <is>
          <t>LV 600 V</t>
        </is>
      </c>
      <c r="J1376" s="12" t="inlineStr">
        <is>
          <t>10</t>
        </is>
      </c>
      <c r="K1376" s="12" t="n">
        <v>1</v>
      </c>
    </row>
    <row r="1377">
      <c r="A1377" s="12" t="inlineStr">
        <is>
          <t>GB-5.1: modular gas genset ~450 kW, 480 V (block 5)</t>
        </is>
      </c>
      <c r="B1377" s="12" t="inlineStr">
        <is>
          <t>GB-5.1</t>
        </is>
      </c>
      <c r="C1377" s="12" t="inlineStr">
        <is>
          <t>I</t>
        </is>
      </c>
      <c r="D1377" s="12" t="inlineStr">
        <is>
          <t>LV power feeder</t>
        </is>
      </c>
      <c r="E1377" s="12" t="n">
        <v>480</v>
      </c>
      <c r="F1377" s="12" t="n">
        <v>15</v>
      </c>
      <c r="G1377" s="12" t="n">
        <v>21.2</v>
      </c>
      <c r="H1377" s="12" t="inlineStr">
        <is>
          <t>PAD-LV 480 V paralleling switchboard</t>
        </is>
      </c>
      <c r="I1377" s="12" t="inlineStr">
        <is>
          <t>LV 600 V</t>
        </is>
      </c>
      <c r="J1377" s="12" t="inlineStr">
        <is>
          <t>8</t>
        </is>
      </c>
      <c r="K1377" s="12" t="n">
        <v>1</v>
      </c>
    </row>
    <row r="1378">
      <c r="A1378" s="12" t="inlineStr">
        <is>
          <t>GB-5.2: modular gas genset ~450 kW, 480 V (block 5)</t>
        </is>
      </c>
      <c r="B1378" s="12" t="inlineStr">
        <is>
          <t>GB-5.2</t>
        </is>
      </c>
      <c r="C1378" s="12" t="inlineStr">
        <is>
          <t>I</t>
        </is>
      </c>
      <c r="D1378" s="12" t="inlineStr">
        <is>
          <t>GB-5.2 aux power: jacket-water heater, battery charger, enclosure</t>
        </is>
      </c>
      <c r="E1378" s="12" t="n">
        <v>480</v>
      </c>
      <c r="F1378" s="12" t="n">
        <v>15</v>
      </c>
      <c r="G1378" s="12" t="n">
        <v>19</v>
      </c>
      <c r="H1378" s="12" t="inlineStr">
        <is>
          <t>GBS-5: block 5 480 V paralleling switchgear (4 gensets)</t>
        </is>
      </c>
      <c r="I1378" s="12" t="inlineStr">
        <is>
          <t>LV 600 V</t>
        </is>
      </c>
      <c r="J1378" s="12" t="inlineStr">
        <is>
          <t>10</t>
        </is>
      </c>
      <c r="K1378" s="12" t="n">
        <v>1</v>
      </c>
    </row>
    <row r="1379">
      <c r="A1379" s="12" t="inlineStr">
        <is>
          <t>GB-5.2: modular gas genset ~450 kW, 480 V (block 5)</t>
        </is>
      </c>
      <c r="B1379" s="12" t="inlineStr">
        <is>
          <t>GB-5.2</t>
        </is>
      </c>
      <c r="C1379" s="12" t="inlineStr">
        <is>
          <t>I</t>
        </is>
      </c>
      <c r="D1379" s="12" t="inlineStr">
        <is>
          <t>LV power feeder</t>
        </is>
      </c>
      <c r="E1379" s="12" t="n">
        <v>480</v>
      </c>
      <c r="F1379" s="12" t="n">
        <v>15</v>
      </c>
      <c r="G1379" s="12" t="n">
        <v>21.2</v>
      </c>
      <c r="H1379" s="12" t="inlineStr">
        <is>
          <t>PAD-LV 480 V paralleling switchboard</t>
        </is>
      </c>
      <c r="I1379" s="12" t="inlineStr">
        <is>
          <t>LV 600 V</t>
        </is>
      </c>
      <c r="J1379" s="12" t="inlineStr">
        <is>
          <t>8</t>
        </is>
      </c>
      <c r="K1379" s="12" t="n">
        <v>1</v>
      </c>
    </row>
    <row r="1380">
      <c r="A1380" s="12" t="inlineStr">
        <is>
          <t>GB-5.3: modular gas genset ~450 kW, 480 V (block 5)</t>
        </is>
      </c>
      <c r="B1380" s="12" t="inlineStr">
        <is>
          <t>GB-5.3</t>
        </is>
      </c>
      <c r="C1380" s="12" t="inlineStr">
        <is>
          <t>I</t>
        </is>
      </c>
      <c r="D1380" s="12" t="inlineStr">
        <is>
          <t>GB-5.3 aux power: jacket-water heater, battery charger, enclosure</t>
        </is>
      </c>
      <c r="E1380" s="12" t="n">
        <v>480</v>
      </c>
      <c r="F1380" s="12" t="n">
        <v>15</v>
      </c>
      <c r="G1380" s="12" t="n">
        <v>19</v>
      </c>
      <c r="H1380" s="12" t="inlineStr">
        <is>
          <t>GBS-5: block 5 480 V paralleling switchgear (4 gensets)</t>
        </is>
      </c>
      <c r="I1380" s="12" t="inlineStr">
        <is>
          <t>LV 600 V</t>
        </is>
      </c>
      <c r="J1380" s="12" t="inlineStr">
        <is>
          <t>10</t>
        </is>
      </c>
      <c r="K1380" s="12" t="n">
        <v>1</v>
      </c>
    </row>
    <row r="1381">
      <c r="A1381" s="12" t="inlineStr">
        <is>
          <t>GB-5.3: modular gas genset ~450 kW, 480 V (block 5)</t>
        </is>
      </c>
      <c r="B1381" s="12" t="inlineStr">
        <is>
          <t>GB-5.3</t>
        </is>
      </c>
      <c r="C1381" s="12" t="inlineStr">
        <is>
          <t>I</t>
        </is>
      </c>
      <c r="D1381" s="12" t="inlineStr">
        <is>
          <t>LV power feeder</t>
        </is>
      </c>
      <c r="E1381" s="12" t="n">
        <v>480</v>
      </c>
      <c r="F1381" s="12" t="n">
        <v>15</v>
      </c>
      <c r="G1381" s="12" t="n">
        <v>21.2</v>
      </c>
      <c r="H1381" s="12" t="inlineStr">
        <is>
          <t>PAD-LV 480 V paralleling switchboard</t>
        </is>
      </c>
      <c r="I1381" s="12" t="inlineStr">
        <is>
          <t>LV 600 V</t>
        </is>
      </c>
      <c r="J1381" s="12" t="inlineStr">
        <is>
          <t>8</t>
        </is>
      </c>
      <c r="K1381" s="12" t="n">
        <v>1</v>
      </c>
    </row>
    <row r="1382">
      <c r="A1382" s="12" t="inlineStr">
        <is>
          <t>GB-5.4: modular gas genset ~450 kW, 480 V (block 5)</t>
        </is>
      </c>
      <c r="B1382" s="12" t="inlineStr">
        <is>
          <t>GB-5.4</t>
        </is>
      </c>
      <c r="C1382" s="12" t="inlineStr">
        <is>
          <t>I</t>
        </is>
      </c>
      <c r="D1382" s="12" t="inlineStr">
        <is>
          <t>GB-5.4 aux power: jacket-water heater, battery charger, enclosure</t>
        </is>
      </c>
      <c r="E1382" s="12" t="n">
        <v>480</v>
      </c>
      <c r="F1382" s="12" t="n">
        <v>15</v>
      </c>
      <c r="G1382" s="12" t="n">
        <v>19</v>
      </c>
      <c r="H1382" s="12" t="inlineStr">
        <is>
          <t>GBS-5: block 5 480 V paralleling switchgear (4 gensets)</t>
        </is>
      </c>
      <c r="I1382" s="12" t="inlineStr">
        <is>
          <t>LV 600 V</t>
        </is>
      </c>
      <c r="J1382" s="12" t="inlineStr">
        <is>
          <t>10</t>
        </is>
      </c>
      <c r="K1382" s="12" t="n">
        <v>1</v>
      </c>
    </row>
    <row r="1383">
      <c r="A1383" s="12" t="inlineStr">
        <is>
          <t>GB-5.4: modular gas genset ~450 kW, 480 V (block 5)</t>
        </is>
      </c>
      <c r="B1383" s="12" t="inlineStr">
        <is>
          <t>GB-5.4</t>
        </is>
      </c>
      <c r="C1383" s="12" t="inlineStr">
        <is>
          <t>I</t>
        </is>
      </c>
      <c r="D1383" s="12" t="inlineStr">
        <is>
          <t>LV power feeder</t>
        </is>
      </c>
      <c r="E1383" s="12" t="n">
        <v>480</v>
      </c>
      <c r="F1383" s="12" t="n">
        <v>15</v>
      </c>
      <c r="G1383" s="12" t="n">
        <v>21.2</v>
      </c>
      <c r="H1383" s="12" t="inlineStr">
        <is>
          <t>PAD-LV 480 V paralleling switchboard</t>
        </is>
      </c>
      <c r="I1383" s="12" t="inlineStr">
        <is>
          <t>LV 600 V</t>
        </is>
      </c>
      <c r="J1383" s="12" t="inlineStr">
        <is>
          <t>8</t>
        </is>
      </c>
      <c r="K1383" s="12" t="n">
        <v>1</v>
      </c>
    </row>
    <row r="1384">
      <c r="A1384" s="12" t="inlineStr">
        <is>
          <t>GB-6.1: modular gas genset ~450 kW, 480 V (block 6)</t>
        </is>
      </c>
      <c r="B1384" s="12" t="inlineStr">
        <is>
          <t>GB-6.1</t>
        </is>
      </c>
      <c r="C1384" s="12" t="inlineStr">
        <is>
          <t>I</t>
        </is>
      </c>
      <c r="D1384" s="12" t="inlineStr">
        <is>
          <t>GB-6.1 aux power: jacket-water heater, battery charger, enclosure</t>
        </is>
      </c>
      <c r="E1384" s="12" t="n">
        <v>480</v>
      </c>
      <c r="F1384" s="12" t="n">
        <v>15</v>
      </c>
      <c r="G1384" s="12" t="n">
        <v>19</v>
      </c>
      <c r="H1384" s="12" t="inlineStr">
        <is>
          <t>GBS-6: block 6 480 V paralleling switchgear (4 gensets)</t>
        </is>
      </c>
      <c r="I1384" s="12" t="inlineStr">
        <is>
          <t>LV 600 V</t>
        </is>
      </c>
      <c r="J1384" s="12" t="inlineStr">
        <is>
          <t>10</t>
        </is>
      </c>
      <c r="K1384" s="12" t="n">
        <v>1</v>
      </c>
    </row>
    <row r="1385">
      <c r="A1385" s="12" t="inlineStr">
        <is>
          <t>GB-6.1: modular gas genset ~450 kW, 480 V (block 6)</t>
        </is>
      </c>
      <c r="B1385" s="12" t="inlineStr">
        <is>
          <t>GB-6.1</t>
        </is>
      </c>
      <c r="C1385" s="12" t="inlineStr">
        <is>
          <t>I</t>
        </is>
      </c>
      <c r="D1385" s="12" t="inlineStr">
        <is>
          <t>LV power feeder</t>
        </is>
      </c>
      <c r="E1385" s="12" t="n">
        <v>480</v>
      </c>
      <c r="F1385" s="12" t="n">
        <v>15</v>
      </c>
      <c r="G1385" s="12" t="n">
        <v>21.2</v>
      </c>
      <c r="H1385" s="12" t="inlineStr">
        <is>
          <t>PAD-LV 480 V paralleling switchboard</t>
        </is>
      </c>
      <c r="I1385" s="12" t="inlineStr">
        <is>
          <t>LV 600 V</t>
        </is>
      </c>
      <c r="J1385" s="12" t="inlineStr">
        <is>
          <t>6</t>
        </is>
      </c>
      <c r="K1385" s="12" t="n">
        <v>1</v>
      </c>
    </row>
    <row r="1386">
      <c r="A1386" s="12" t="inlineStr">
        <is>
          <t>GB-6.2: modular gas genset ~450 kW, 480 V (block 6)</t>
        </is>
      </c>
      <c r="B1386" s="12" t="inlineStr">
        <is>
          <t>GB-6.2</t>
        </is>
      </c>
      <c r="C1386" s="12" t="inlineStr">
        <is>
          <t>I</t>
        </is>
      </c>
      <c r="D1386" s="12" t="inlineStr">
        <is>
          <t>GB-6.2 aux power: jacket-water heater, battery charger, enclosure</t>
        </is>
      </c>
      <c r="E1386" s="12" t="n">
        <v>480</v>
      </c>
      <c r="F1386" s="12" t="n">
        <v>15</v>
      </c>
      <c r="G1386" s="12" t="n">
        <v>19</v>
      </c>
      <c r="H1386" s="12" t="inlineStr">
        <is>
          <t>GBS-6: block 6 480 V paralleling switchgear (4 gensets)</t>
        </is>
      </c>
      <c r="I1386" s="12" t="inlineStr">
        <is>
          <t>LV 600 V</t>
        </is>
      </c>
      <c r="J1386" s="12" t="inlineStr">
        <is>
          <t>10</t>
        </is>
      </c>
      <c r="K1386" s="12" t="n">
        <v>1</v>
      </c>
    </row>
    <row r="1387">
      <c r="A1387" s="12" t="inlineStr">
        <is>
          <t>GB-6.2: modular gas genset ~450 kW, 480 V (block 6)</t>
        </is>
      </c>
      <c r="B1387" s="12" t="inlineStr">
        <is>
          <t>GB-6.2</t>
        </is>
      </c>
      <c r="C1387" s="12" t="inlineStr">
        <is>
          <t>I</t>
        </is>
      </c>
      <c r="D1387" s="12" t="inlineStr">
        <is>
          <t>LV power feeder</t>
        </is>
      </c>
      <c r="E1387" s="12" t="n">
        <v>480</v>
      </c>
      <c r="F1387" s="12" t="n">
        <v>15</v>
      </c>
      <c r="G1387" s="12" t="n">
        <v>21.2</v>
      </c>
      <c r="H1387" s="12" t="inlineStr">
        <is>
          <t>PAD-LV 480 V paralleling switchboard</t>
        </is>
      </c>
      <c r="I1387" s="12" t="inlineStr">
        <is>
          <t>LV 600 V</t>
        </is>
      </c>
      <c r="J1387" s="12" t="inlineStr">
        <is>
          <t>6</t>
        </is>
      </c>
      <c r="K1387" s="12" t="n">
        <v>1</v>
      </c>
    </row>
    <row r="1388">
      <c r="A1388" s="12" t="inlineStr">
        <is>
          <t>GB-6.3: modular gas genset ~450 kW, 480 V (block 6)</t>
        </is>
      </c>
      <c r="B1388" s="12" t="inlineStr">
        <is>
          <t>GB-6.3</t>
        </is>
      </c>
      <c r="C1388" s="12" t="inlineStr">
        <is>
          <t>I</t>
        </is>
      </c>
      <c r="D1388" s="12" t="inlineStr">
        <is>
          <t>GB-6.3 aux power: jacket-water heater, battery charger, enclosure</t>
        </is>
      </c>
      <c r="E1388" s="12" t="n">
        <v>480</v>
      </c>
      <c r="F1388" s="12" t="n">
        <v>15</v>
      </c>
      <c r="G1388" s="12" t="n">
        <v>19</v>
      </c>
      <c r="H1388" s="12" t="inlineStr">
        <is>
          <t>GBS-6: block 6 480 V paralleling switchgear (4 gensets)</t>
        </is>
      </c>
      <c r="I1388" s="12" t="inlineStr">
        <is>
          <t>LV 600 V</t>
        </is>
      </c>
      <c r="J1388" s="12" t="inlineStr">
        <is>
          <t>10</t>
        </is>
      </c>
      <c r="K1388" s="12" t="n">
        <v>1</v>
      </c>
    </row>
    <row r="1389">
      <c r="A1389" s="12" t="inlineStr">
        <is>
          <t>GB-6.3: modular gas genset ~450 kW, 480 V (block 6)</t>
        </is>
      </c>
      <c r="B1389" s="12" t="inlineStr">
        <is>
          <t>GB-6.3</t>
        </is>
      </c>
      <c r="C1389" s="12" t="inlineStr">
        <is>
          <t>I</t>
        </is>
      </c>
      <c r="D1389" s="12" t="inlineStr">
        <is>
          <t>LV power feeder</t>
        </is>
      </c>
      <c r="E1389" s="12" t="n">
        <v>480</v>
      </c>
      <c r="F1389" s="12" t="n">
        <v>15</v>
      </c>
      <c r="G1389" s="12" t="n">
        <v>21.2</v>
      </c>
      <c r="H1389" s="12" t="inlineStr">
        <is>
          <t>PAD-LV 480 V paralleling switchboard</t>
        </is>
      </c>
      <c r="I1389" s="12" t="inlineStr">
        <is>
          <t>LV 600 V</t>
        </is>
      </c>
      <c r="J1389" s="12" t="inlineStr">
        <is>
          <t>6</t>
        </is>
      </c>
      <c r="K1389" s="12" t="n">
        <v>1</v>
      </c>
    </row>
    <row r="1390">
      <c r="A1390" s="12" t="inlineStr">
        <is>
          <t>GB-6.4: modular gas genset ~450 kW, 480 V (block 6)</t>
        </is>
      </c>
      <c r="B1390" s="12" t="inlineStr">
        <is>
          <t>GB-6.4</t>
        </is>
      </c>
      <c r="C1390" s="12" t="inlineStr">
        <is>
          <t>I</t>
        </is>
      </c>
      <c r="D1390" s="12" t="inlineStr">
        <is>
          <t>GB-6.4 aux power: jacket-water heater, battery charger, enclosure</t>
        </is>
      </c>
      <c r="E1390" s="12" t="n">
        <v>480</v>
      </c>
      <c r="F1390" s="12" t="n">
        <v>15</v>
      </c>
      <c r="G1390" s="12" t="n">
        <v>19</v>
      </c>
      <c r="H1390" s="12" t="inlineStr">
        <is>
          <t>GBS-6: block 6 480 V paralleling switchgear (4 gensets)</t>
        </is>
      </c>
      <c r="I1390" s="12" t="inlineStr">
        <is>
          <t>LV 600 V</t>
        </is>
      </c>
      <c r="J1390" s="12" t="inlineStr">
        <is>
          <t>10</t>
        </is>
      </c>
      <c r="K1390" s="12" t="n">
        <v>1</v>
      </c>
    </row>
    <row r="1391">
      <c r="A1391" s="12" t="inlineStr">
        <is>
          <t>GB-6.4: modular gas genset ~450 kW, 480 V (block 6)</t>
        </is>
      </c>
      <c r="B1391" s="12" t="inlineStr">
        <is>
          <t>GB-6.4</t>
        </is>
      </c>
      <c r="C1391" s="12" t="inlineStr">
        <is>
          <t>I</t>
        </is>
      </c>
      <c r="D1391" s="12" t="inlineStr">
        <is>
          <t>LV power feeder</t>
        </is>
      </c>
      <c r="E1391" s="12" t="n">
        <v>480</v>
      </c>
      <c r="F1391" s="12" t="n">
        <v>15</v>
      </c>
      <c r="G1391" s="12" t="n">
        <v>21.2</v>
      </c>
      <c r="H1391" s="12" t="inlineStr">
        <is>
          <t>PAD-LV 480 V paralleling switchboard</t>
        </is>
      </c>
      <c r="I1391" s="12" t="inlineStr">
        <is>
          <t>LV 600 V</t>
        </is>
      </c>
      <c r="J1391" s="12" t="inlineStr">
        <is>
          <t>6</t>
        </is>
      </c>
      <c r="K1391" s="12" t="n">
        <v>1</v>
      </c>
    </row>
    <row r="1392">
      <c r="A1392" s="12" t="inlineStr">
        <is>
          <t>GBS-1: block 1 480 V paralleling switchgear (4 gensets)</t>
        </is>
      </c>
      <c r="B1392" s="12" t="inlineStr">
        <is>
          <t>GBS-1</t>
        </is>
      </c>
      <c r="C1392" s="12" t="inlineStr">
        <is>
          <t>I</t>
        </is>
      </c>
      <c r="D1392" s="12" t="inlineStr">
        <is>
          <t>GB-1.1 480 V generator leads to GBS-1</t>
        </is>
      </c>
      <c r="E1392" s="12" t="n">
        <v>480</v>
      </c>
      <c r="F1392" s="12" t="n">
        <v>450</v>
      </c>
      <c r="G1392" s="12" t="n">
        <v>677</v>
      </c>
      <c r="H1392" s="12" t="inlineStr">
        <is>
          <t>GB-1.1: modular gas genset ~450 kW, 480 V (block 1)</t>
        </is>
      </c>
      <c r="I1392" s="12" t="inlineStr">
        <is>
          <t>LV 600 V</t>
        </is>
      </c>
      <c r="J1392" s="12" t="inlineStr">
        <is>
          <t>500 kcmil</t>
        </is>
      </c>
      <c r="K1392" s="12" t="n">
        <v>2</v>
      </c>
    </row>
    <row r="1393">
      <c r="A1393" s="12" t="inlineStr">
        <is>
          <t>GBS-1: block 1 480 V paralleling switchgear (4 gensets)</t>
        </is>
      </c>
      <c r="B1393" s="12" t="inlineStr">
        <is>
          <t>GBS-1</t>
        </is>
      </c>
      <c r="C1393" s="12" t="inlineStr">
        <is>
          <t>I</t>
        </is>
      </c>
      <c r="D1393" s="12" t="inlineStr">
        <is>
          <t>GB-1.2 480 V generator leads to GBS-1</t>
        </is>
      </c>
      <c r="E1393" s="12" t="n">
        <v>480</v>
      </c>
      <c r="F1393" s="12" t="n">
        <v>450</v>
      </c>
      <c r="G1393" s="12" t="n">
        <v>677</v>
      </c>
      <c r="H1393" s="12" t="inlineStr">
        <is>
          <t>GB-1.2: modular gas genset ~450 kW, 480 V (block 1)</t>
        </is>
      </c>
      <c r="I1393" s="12" t="inlineStr">
        <is>
          <t>LV 600 V</t>
        </is>
      </c>
      <c r="J1393" s="12" t="inlineStr">
        <is>
          <t>500 kcmil</t>
        </is>
      </c>
      <c r="K1393" s="12" t="n">
        <v>2</v>
      </c>
    </row>
    <row r="1394">
      <c r="A1394" s="12" t="inlineStr">
        <is>
          <t>GBS-1: block 1 480 V paralleling switchgear (4 gensets)</t>
        </is>
      </c>
      <c r="B1394" s="12" t="inlineStr">
        <is>
          <t>GBS-1</t>
        </is>
      </c>
      <c r="C1394" s="12" t="inlineStr">
        <is>
          <t>I</t>
        </is>
      </c>
      <c r="D1394" s="12" t="inlineStr">
        <is>
          <t>GB-1.3 480 V generator leads to GBS-1</t>
        </is>
      </c>
      <c r="E1394" s="12" t="n">
        <v>480</v>
      </c>
      <c r="F1394" s="12" t="n">
        <v>450</v>
      </c>
      <c r="G1394" s="12" t="n">
        <v>677</v>
      </c>
      <c r="H1394" s="12" t="inlineStr">
        <is>
          <t>GB-1.3: modular gas genset ~450 kW, 480 V (block 1)</t>
        </is>
      </c>
      <c r="I1394" s="12" t="inlineStr">
        <is>
          <t>LV 600 V</t>
        </is>
      </c>
      <c r="J1394" s="12" t="inlineStr">
        <is>
          <t>500 kcmil</t>
        </is>
      </c>
      <c r="K1394" s="12" t="n">
        <v>2</v>
      </c>
    </row>
    <row r="1395">
      <c r="A1395" s="12" t="inlineStr">
        <is>
          <t>GBS-1: block 1 480 V paralleling switchgear (4 gensets)</t>
        </is>
      </c>
      <c r="B1395" s="12" t="inlineStr">
        <is>
          <t>GBS-1</t>
        </is>
      </c>
      <c r="C1395" s="12" t="inlineStr">
        <is>
          <t>I</t>
        </is>
      </c>
      <c r="D1395" s="12" t="inlineStr">
        <is>
          <t>GB-1.4 480 V generator leads to GBS-1</t>
        </is>
      </c>
      <c r="E1395" s="12" t="n">
        <v>480</v>
      </c>
      <c r="F1395" s="12" t="n">
        <v>450</v>
      </c>
      <c r="G1395" s="12" t="n">
        <v>677</v>
      </c>
      <c r="H1395" s="12" t="inlineStr">
        <is>
          <t>GB-1.4: modular gas genset ~450 kW, 480 V (block 1)</t>
        </is>
      </c>
      <c r="I1395" s="12" t="inlineStr">
        <is>
          <t>LV 600 V</t>
        </is>
      </c>
      <c r="J1395" s="12" t="inlineStr">
        <is>
          <t>500 kcmil</t>
        </is>
      </c>
      <c r="K1395" s="12" t="n">
        <v>2</v>
      </c>
    </row>
    <row r="1396">
      <c r="A1396" s="12" t="inlineStr">
        <is>
          <t>GBS-1: block 1 480 V paralleling switchgear (4 gensets)</t>
        </is>
      </c>
      <c r="B1396" s="12" t="inlineStr">
        <is>
          <t>GBS-1</t>
        </is>
      </c>
      <c r="C1396" s="12" t="inlineStr">
        <is>
          <t>I</t>
        </is>
      </c>
      <c r="D1396" s="12" t="inlineStr">
        <is>
          <t>LV power feeder</t>
        </is>
      </c>
      <c r="E1396" s="12" t="n">
        <v>480</v>
      </c>
      <c r="F1396" s="12" t="n">
        <v>15</v>
      </c>
      <c r="G1396" s="12" t="n">
        <v>21.2</v>
      </c>
      <c r="H1396" s="12" t="inlineStr">
        <is>
          <t>PAD-LV 480 V paralleling switchboard</t>
        </is>
      </c>
      <c r="I1396" s="12" t="inlineStr">
        <is>
          <t>LV 600 V</t>
        </is>
      </c>
      <c r="J1396" s="12" t="inlineStr">
        <is>
          <t>10</t>
        </is>
      </c>
      <c r="K1396" s="12" t="n">
        <v>1</v>
      </c>
    </row>
    <row r="1397">
      <c r="A1397" s="12" t="inlineStr">
        <is>
          <t>GBS-2: block 2 480 V paralleling switchgear (4 gensets)</t>
        </is>
      </c>
      <c r="B1397" s="12" t="inlineStr">
        <is>
          <t>GBS-2</t>
        </is>
      </c>
      <c r="C1397" s="12" t="inlineStr">
        <is>
          <t>I</t>
        </is>
      </c>
      <c r="D1397" s="12" t="inlineStr">
        <is>
          <t>GB-2.1 480 V generator leads to GBS-2</t>
        </is>
      </c>
      <c r="E1397" s="12" t="n">
        <v>480</v>
      </c>
      <c r="F1397" s="12" t="n">
        <v>450</v>
      </c>
      <c r="G1397" s="12" t="n">
        <v>677</v>
      </c>
      <c r="H1397" s="12" t="inlineStr">
        <is>
          <t>GB-2.1: modular gas genset ~450 kW, 480 V (block 2)</t>
        </is>
      </c>
      <c r="I1397" s="12" t="inlineStr">
        <is>
          <t>LV 600 V</t>
        </is>
      </c>
      <c r="J1397" s="12" t="inlineStr">
        <is>
          <t>500 kcmil</t>
        </is>
      </c>
      <c r="K1397" s="12" t="n">
        <v>2</v>
      </c>
    </row>
    <row r="1398">
      <c r="A1398" s="12" t="inlineStr">
        <is>
          <t>GBS-2: block 2 480 V paralleling switchgear (4 gensets)</t>
        </is>
      </c>
      <c r="B1398" s="12" t="inlineStr">
        <is>
          <t>GBS-2</t>
        </is>
      </c>
      <c r="C1398" s="12" t="inlineStr">
        <is>
          <t>I</t>
        </is>
      </c>
      <c r="D1398" s="12" t="inlineStr">
        <is>
          <t>GB-2.2 480 V generator leads to GBS-2</t>
        </is>
      </c>
      <c r="E1398" s="12" t="n">
        <v>480</v>
      </c>
      <c r="F1398" s="12" t="n">
        <v>450</v>
      </c>
      <c r="G1398" s="12" t="n">
        <v>677</v>
      </c>
      <c r="H1398" s="12" t="inlineStr">
        <is>
          <t>GB-2.2: modular gas genset ~450 kW, 480 V (block 2)</t>
        </is>
      </c>
      <c r="I1398" s="12" t="inlineStr">
        <is>
          <t>LV 600 V</t>
        </is>
      </c>
      <c r="J1398" s="12" t="inlineStr">
        <is>
          <t>500 kcmil</t>
        </is>
      </c>
      <c r="K1398" s="12" t="n">
        <v>2</v>
      </c>
    </row>
    <row r="1399">
      <c r="A1399" s="12" t="inlineStr">
        <is>
          <t>GBS-2: block 2 480 V paralleling switchgear (4 gensets)</t>
        </is>
      </c>
      <c r="B1399" s="12" t="inlineStr">
        <is>
          <t>GBS-2</t>
        </is>
      </c>
      <c r="C1399" s="12" t="inlineStr">
        <is>
          <t>I</t>
        </is>
      </c>
      <c r="D1399" s="12" t="inlineStr">
        <is>
          <t>GB-2.3 480 V generator leads to GBS-2</t>
        </is>
      </c>
      <c r="E1399" s="12" t="n">
        <v>480</v>
      </c>
      <c r="F1399" s="12" t="n">
        <v>450</v>
      </c>
      <c r="G1399" s="12" t="n">
        <v>677</v>
      </c>
      <c r="H1399" s="12" t="inlineStr">
        <is>
          <t>GB-2.3: modular gas genset ~450 kW, 480 V (block 2)</t>
        </is>
      </c>
      <c r="I1399" s="12" t="inlineStr">
        <is>
          <t>LV 600 V</t>
        </is>
      </c>
      <c r="J1399" s="12" t="inlineStr">
        <is>
          <t>500 kcmil</t>
        </is>
      </c>
      <c r="K1399" s="12" t="n">
        <v>2</v>
      </c>
    </row>
    <row r="1400">
      <c r="A1400" s="12" t="inlineStr">
        <is>
          <t>GBS-2: block 2 480 V paralleling switchgear (4 gensets)</t>
        </is>
      </c>
      <c r="B1400" s="12" t="inlineStr">
        <is>
          <t>GBS-2</t>
        </is>
      </c>
      <c r="C1400" s="12" t="inlineStr">
        <is>
          <t>I</t>
        </is>
      </c>
      <c r="D1400" s="12" t="inlineStr">
        <is>
          <t>GB-2.4 480 V generator leads to GBS-2</t>
        </is>
      </c>
      <c r="E1400" s="12" t="n">
        <v>480</v>
      </c>
      <c r="F1400" s="12" t="n">
        <v>450</v>
      </c>
      <c r="G1400" s="12" t="n">
        <v>677</v>
      </c>
      <c r="H1400" s="12" t="inlineStr">
        <is>
          <t>GB-2.4: modular gas genset ~450 kW, 480 V (block 2)</t>
        </is>
      </c>
      <c r="I1400" s="12" t="inlineStr">
        <is>
          <t>LV 600 V</t>
        </is>
      </c>
      <c r="J1400" s="12" t="inlineStr">
        <is>
          <t>500 kcmil</t>
        </is>
      </c>
      <c r="K1400" s="12" t="n">
        <v>2</v>
      </c>
    </row>
    <row r="1401">
      <c r="A1401" s="12" t="inlineStr">
        <is>
          <t>GBS-2: block 2 480 V paralleling switchgear (4 gensets)</t>
        </is>
      </c>
      <c r="B1401" s="12" t="inlineStr">
        <is>
          <t>GBS-2</t>
        </is>
      </c>
      <c r="C1401" s="12" t="inlineStr">
        <is>
          <t>I</t>
        </is>
      </c>
      <c r="D1401" s="12" t="inlineStr">
        <is>
          <t>LV power feeder</t>
        </is>
      </c>
      <c r="E1401" s="12" t="n">
        <v>480</v>
      </c>
      <c r="F1401" s="12" t="n">
        <v>15</v>
      </c>
      <c r="G1401" s="12" t="n">
        <v>21.2</v>
      </c>
      <c r="H1401" s="12" t="inlineStr">
        <is>
          <t>PAD-LV 480 V paralleling switchboard</t>
        </is>
      </c>
      <c r="I1401" s="12" t="inlineStr">
        <is>
          <t>LV 600 V</t>
        </is>
      </c>
      <c r="J1401" s="12" t="inlineStr">
        <is>
          <t>10</t>
        </is>
      </c>
      <c r="K1401" s="12" t="n">
        <v>1</v>
      </c>
    </row>
    <row r="1402">
      <c r="A1402" s="12" t="inlineStr">
        <is>
          <t>GBS-3: block 3 480 V paralleling switchgear (4 gensets)</t>
        </is>
      </c>
      <c r="B1402" s="12" t="inlineStr">
        <is>
          <t>GBS-3</t>
        </is>
      </c>
      <c r="C1402" s="12" t="inlineStr">
        <is>
          <t>I</t>
        </is>
      </c>
      <c r="D1402" s="12" t="inlineStr">
        <is>
          <t>GB-3.1 480 V generator leads to GBS-3</t>
        </is>
      </c>
      <c r="E1402" s="12" t="n">
        <v>480</v>
      </c>
      <c r="F1402" s="12" t="n">
        <v>450</v>
      </c>
      <c r="G1402" s="12" t="n">
        <v>677</v>
      </c>
      <c r="H1402" s="12" t="inlineStr">
        <is>
          <t>GB-3.1: modular gas genset ~450 kW, 480 V (block 3)</t>
        </is>
      </c>
      <c r="I1402" s="12" t="inlineStr">
        <is>
          <t>LV 600 V</t>
        </is>
      </c>
      <c r="J1402" s="12" t="inlineStr">
        <is>
          <t>500 kcmil</t>
        </is>
      </c>
      <c r="K1402" s="12" t="n">
        <v>2</v>
      </c>
    </row>
    <row r="1403">
      <c r="A1403" s="12" t="inlineStr">
        <is>
          <t>GBS-3: block 3 480 V paralleling switchgear (4 gensets)</t>
        </is>
      </c>
      <c r="B1403" s="12" t="inlineStr">
        <is>
          <t>GBS-3</t>
        </is>
      </c>
      <c r="C1403" s="12" t="inlineStr">
        <is>
          <t>I</t>
        </is>
      </c>
      <c r="D1403" s="12" t="inlineStr">
        <is>
          <t>GB-3.2 480 V generator leads to GBS-3</t>
        </is>
      </c>
      <c r="E1403" s="12" t="n">
        <v>480</v>
      </c>
      <c r="F1403" s="12" t="n">
        <v>450</v>
      </c>
      <c r="G1403" s="12" t="n">
        <v>677</v>
      </c>
      <c r="H1403" s="12" t="inlineStr">
        <is>
          <t>GB-3.2: modular gas genset ~450 kW, 480 V (block 3)</t>
        </is>
      </c>
      <c r="I1403" s="12" t="inlineStr">
        <is>
          <t>LV 600 V</t>
        </is>
      </c>
      <c r="J1403" s="12" t="inlineStr">
        <is>
          <t>500 kcmil</t>
        </is>
      </c>
      <c r="K1403" s="12" t="n">
        <v>2</v>
      </c>
    </row>
    <row r="1404">
      <c r="A1404" s="12" t="inlineStr">
        <is>
          <t>GBS-3: block 3 480 V paralleling switchgear (4 gensets)</t>
        </is>
      </c>
      <c r="B1404" s="12" t="inlineStr">
        <is>
          <t>GBS-3</t>
        </is>
      </c>
      <c r="C1404" s="12" t="inlineStr">
        <is>
          <t>I</t>
        </is>
      </c>
      <c r="D1404" s="12" t="inlineStr">
        <is>
          <t>GB-3.3 480 V generator leads to GBS-3</t>
        </is>
      </c>
      <c r="E1404" s="12" t="n">
        <v>480</v>
      </c>
      <c r="F1404" s="12" t="n">
        <v>450</v>
      </c>
      <c r="G1404" s="12" t="n">
        <v>677</v>
      </c>
      <c r="H1404" s="12" t="inlineStr">
        <is>
          <t>GB-3.3: modular gas genset ~450 kW, 480 V (block 3)</t>
        </is>
      </c>
      <c r="I1404" s="12" t="inlineStr">
        <is>
          <t>LV 600 V</t>
        </is>
      </c>
      <c r="J1404" s="12" t="inlineStr">
        <is>
          <t>500 kcmil</t>
        </is>
      </c>
      <c r="K1404" s="12" t="n">
        <v>2</v>
      </c>
    </row>
    <row r="1405">
      <c r="A1405" s="12" t="inlineStr">
        <is>
          <t>GBS-3: block 3 480 V paralleling switchgear (4 gensets)</t>
        </is>
      </c>
      <c r="B1405" s="12" t="inlineStr">
        <is>
          <t>GBS-3</t>
        </is>
      </c>
      <c r="C1405" s="12" t="inlineStr">
        <is>
          <t>I</t>
        </is>
      </c>
      <c r="D1405" s="12" t="inlineStr">
        <is>
          <t>GB-3.4 480 V generator leads to GBS-3</t>
        </is>
      </c>
      <c r="E1405" s="12" t="n">
        <v>480</v>
      </c>
      <c r="F1405" s="12" t="n">
        <v>450</v>
      </c>
      <c r="G1405" s="12" t="n">
        <v>677</v>
      </c>
      <c r="H1405" s="12" t="inlineStr">
        <is>
          <t>GB-3.4: modular gas genset ~450 kW, 480 V (block 3)</t>
        </is>
      </c>
      <c r="I1405" s="12" t="inlineStr">
        <is>
          <t>LV 600 V</t>
        </is>
      </c>
      <c r="J1405" s="12" t="inlineStr">
        <is>
          <t>500 kcmil</t>
        </is>
      </c>
      <c r="K1405" s="12" t="n">
        <v>2</v>
      </c>
    </row>
    <row r="1406">
      <c r="A1406" s="12" t="inlineStr">
        <is>
          <t>GBS-3: block 3 480 V paralleling switchgear (4 gensets)</t>
        </is>
      </c>
      <c r="B1406" s="12" t="inlineStr">
        <is>
          <t>GBS-3</t>
        </is>
      </c>
      <c r="C1406" s="12" t="inlineStr">
        <is>
          <t>I</t>
        </is>
      </c>
      <c r="D1406" s="12" t="inlineStr">
        <is>
          <t>LV power feeder</t>
        </is>
      </c>
      <c r="E1406" s="12" t="n">
        <v>480</v>
      </c>
      <c r="F1406" s="12" t="n">
        <v>15</v>
      </c>
      <c r="G1406" s="12" t="n">
        <v>21.2</v>
      </c>
      <c r="H1406" s="12" t="inlineStr">
        <is>
          <t>PAD-LV 480 V paralleling switchboard</t>
        </is>
      </c>
      <c r="I1406" s="12" t="inlineStr">
        <is>
          <t>LV 600 V</t>
        </is>
      </c>
      <c r="J1406" s="12" t="inlineStr">
        <is>
          <t>10</t>
        </is>
      </c>
      <c r="K1406" s="12" t="n">
        <v>1</v>
      </c>
    </row>
    <row r="1407">
      <c r="A1407" s="12" t="inlineStr">
        <is>
          <t>GBS-4: block 4 480 V paralleling switchgear (4 gensets)</t>
        </is>
      </c>
      <c r="B1407" s="12" t="inlineStr">
        <is>
          <t>GBS-4</t>
        </is>
      </c>
      <c r="C1407" s="12" t="inlineStr">
        <is>
          <t>I</t>
        </is>
      </c>
      <c r="D1407" s="12" t="inlineStr">
        <is>
          <t>GB-4.1 480 V generator leads to GBS-4</t>
        </is>
      </c>
      <c r="E1407" s="12" t="n">
        <v>480</v>
      </c>
      <c r="F1407" s="12" t="n">
        <v>450</v>
      </c>
      <c r="G1407" s="12" t="n">
        <v>677</v>
      </c>
      <c r="H1407" s="12" t="inlineStr">
        <is>
          <t>GB-4.1: modular gas genset ~450 kW, 480 V (block 4)</t>
        </is>
      </c>
      <c r="I1407" s="12" t="inlineStr">
        <is>
          <t>LV 600 V</t>
        </is>
      </c>
      <c r="J1407" s="12" t="inlineStr">
        <is>
          <t>500 kcmil</t>
        </is>
      </c>
      <c r="K1407" s="12" t="n">
        <v>2</v>
      </c>
    </row>
    <row r="1408">
      <c r="A1408" s="12" t="inlineStr">
        <is>
          <t>GBS-4: block 4 480 V paralleling switchgear (4 gensets)</t>
        </is>
      </c>
      <c r="B1408" s="12" t="inlineStr">
        <is>
          <t>GBS-4</t>
        </is>
      </c>
      <c r="C1408" s="12" t="inlineStr">
        <is>
          <t>I</t>
        </is>
      </c>
      <c r="D1408" s="12" t="inlineStr">
        <is>
          <t>GB-4.2 480 V generator leads to GBS-4</t>
        </is>
      </c>
      <c r="E1408" s="12" t="n">
        <v>480</v>
      </c>
      <c r="F1408" s="12" t="n">
        <v>450</v>
      </c>
      <c r="G1408" s="12" t="n">
        <v>677</v>
      </c>
      <c r="H1408" s="12" t="inlineStr">
        <is>
          <t>GB-4.2: modular gas genset ~450 kW, 480 V (block 4)</t>
        </is>
      </c>
      <c r="I1408" s="12" t="inlineStr">
        <is>
          <t>LV 600 V</t>
        </is>
      </c>
      <c r="J1408" s="12" t="inlineStr">
        <is>
          <t>500 kcmil</t>
        </is>
      </c>
      <c r="K1408" s="12" t="n">
        <v>2</v>
      </c>
    </row>
    <row r="1409">
      <c r="A1409" s="12" t="inlineStr">
        <is>
          <t>GBS-4: block 4 480 V paralleling switchgear (4 gensets)</t>
        </is>
      </c>
      <c r="B1409" s="12" t="inlineStr">
        <is>
          <t>GBS-4</t>
        </is>
      </c>
      <c r="C1409" s="12" t="inlineStr">
        <is>
          <t>I</t>
        </is>
      </c>
      <c r="D1409" s="12" t="inlineStr">
        <is>
          <t>GB-4.3 480 V generator leads to GBS-4</t>
        </is>
      </c>
      <c r="E1409" s="12" t="n">
        <v>480</v>
      </c>
      <c r="F1409" s="12" t="n">
        <v>450</v>
      </c>
      <c r="G1409" s="12" t="n">
        <v>677</v>
      </c>
      <c r="H1409" s="12" t="inlineStr">
        <is>
          <t>GB-4.3: modular gas genset ~450 kW, 480 V (block 4)</t>
        </is>
      </c>
      <c r="I1409" s="12" t="inlineStr">
        <is>
          <t>LV 600 V</t>
        </is>
      </c>
      <c r="J1409" s="12" t="inlineStr">
        <is>
          <t>500 kcmil</t>
        </is>
      </c>
      <c r="K1409" s="12" t="n">
        <v>2</v>
      </c>
    </row>
    <row r="1410">
      <c r="A1410" s="12" t="inlineStr">
        <is>
          <t>GBS-4: block 4 480 V paralleling switchgear (4 gensets)</t>
        </is>
      </c>
      <c r="B1410" s="12" t="inlineStr">
        <is>
          <t>GBS-4</t>
        </is>
      </c>
      <c r="C1410" s="12" t="inlineStr">
        <is>
          <t>I</t>
        </is>
      </c>
      <c r="D1410" s="12" t="inlineStr">
        <is>
          <t>GB-4.4 480 V generator leads to GBS-4</t>
        </is>
      </c>
      <c r="E1410" s="12" t="n">
        <v>480</v>
      </c>
      <c r="F1410" s="12" t="n">
        <v>450</v>
      </c>
      <c r="G1410" s="12" t="n">
        <v>677</v>
      </c>
      <c r="H1410" s="12" t="inlineStr">
        <is>
          <t>GB-4.4: modular gas genset ~450 kW, 480 V (block 4)</t>
        </is>
      </c>
      <c r="I1410" s="12" t="inlineStr">
        <is>
          <t>LV 600 V</t>
        </is>
      </c>
      <c r="J1410" s="12" t="inlineStr">
        <is>
          <t>500 kcmil</t>
        </is>
      </c>
      <c r="K1410" s="12" t="n">
        <v>2</v>
      </c>
    </row>
    <row r="1411">
      <c r="A1411" s="12" t="inlineStr">
        <is>
          <t>GBS-4: block 4 480 V paralleling switchgear (4 gensets)</t>
        </is>
      </c>
      <c r="B1411" s="12" t="inlineStr">
        <is>
          <t>GBS-4</t>
        </is>
      </c>
      <c r="C1411" s="12" t="inlineStr">
        <is>
          <t>I</t>
        </is>
      </c>
      <c r="D1411" s="12" t="inlineStr">
        <is>
          <t>LV power feeder</t>
        </is>
      </c>
      <c r="E1411" s="12" t="n">
        <v>480</v>
      </c>
      <c r="F1411" s="12" t="n">
        <v>15</v>
      </c>
      <c r="G1411" s="12" t="n">
        <v>21.2</v>
      </c>
      <c r="H1411" s="12" t="inlineStr">
        <is>
          <t>PAD-LV 480 V paralleling switchboard</t>
        </is>
      </c>
      <c r="I1411" s="12" t="inlineStr">
        <is>
          <t>LV 600 V</t>
        </is>
      </c>
      <c r="J1411" s="12" t="inlineStr">
        <is>
          <t>8</t>
        </is>
      </c>
      <c r="K1411" s="12" t="n">
        <v>1</v>
      </c>
    </row>
    <row r="1412">
      <c r="A1412" s="12" t="inlineStr">
        <is>
          <t>GBS-5: block 5 480 V paralleling switchgear (4 gensets)</t>
        </is>
      </c>
      <c r="B1412" s="12" t="inlineStr">
        <is>
          <t>GBS-5</t>
        </is>
      </c>
      <c r="C1412" s="12" t="inlineStr">
        <is>
          <t>I</t>
        </is>
      </c>
      <c r="D1412" s="12" t="inlineStr">
        <is>
          <t>GB-5.1 480 V generator leads to GBS-5</t>
        </is>
      </c>
      <c r="E1412" s="12" t="n">
        <v>480</v>
      </c>
      <c r="F1412" s="12" t="n">
        <v>450</v>
      </c>
      <c r="G1412" s="12" t="n">
        <v>677</v>
      </c>
      <c r="H1412" s="12" t="inlineStr">
        <is>
          <t>GB-5.1: modular gas genset ~450 kW, 480 V (block 5)</t>
        </is>
      </c>
      <c r="I1412" s="12" t="inlineStr">
        <is>
          <t>LV 600 V</t>
        </is>
      </c>
      <c r="J1412" s="12" t="inlineStr">
        <is>
          <t>500 kcmil</t>
        </is>
      </c>
      <c r="K1412" s="12" t="n">
        <v>2</v>
      </c>
    </row>
    <row r="1413">
      <c r="A1413" s="12" t="inlineStr">
        <is>
          <t>GBS-5: block 5 480 V paralleling switchgear (4 gensets)</t>
        </is>
      </c>
      <c r="B1413" s="12" t="inlineStr">
        <is>
          <t>GBS-5</t>
        </is>
      </c>
      <c r="C1413" s="12" t="inlineStr">
        <is>
          <t>I</t>
        </is>
      </c>
      <c r="D1413" s="12" t="inlineStr">
        <is>
          <t>GB-5.2 480 V generator leads to GBS-5</t>
        </is>
      </c>
      <c r="E1413" s="12" t="n">
        <v>480</v>
      </c>
      <c r="F1413" s="12" t="n">
        <v>450</v>
      </c>
      <c r="G1413" s="12" t="n">
        <v>677</v>
      </c>
      <c r="H1413" s="12" t="inlineStr">
        <is>
          <t>GB-5.2: modular gas genset ~450 kW, 480 V (block 5)</t>
        </is>
      </c>
      <c r="I1413" s="12" t="inlineStr">
        <is>
          <t>LV 600 V</t>
        </is>
      </c>
      <c r="J1413" s="12" t="inlineStr">
        <is>
          <t>500 kcmil</t>
        </is>
      </c>
      <c r="K1413" s="12" t="n">
        <v>2</v>
      </c>
    </row>
    <row r="1414">
      <c r="A1414" s="12" t="inlineStr">
        <is>
          <t>GBS-5: block 5 480 V paralleling switchgear (4 gensets)</t>
        </is>
      </c>
      <c r="B1414" s="12" t="inlineStr">
        <is>
          <t>GBS-5</t>
        </is>
      </c>
      <c r="C1414" s="12" t="inlineStr">
        <is>
          <t>I</t>
        </is>
      </c>
      <c r="D1414" s="12" t="inlineStr">
        <is>
          <t>GB-5.3 480 V generator leads to GBS-5</t>
        </is>
      </c>
      <c r="E1414" s="12" t="n">
        <v>480</v>
      </c>
      <c r="F1414" s="12" t="n">
        <v>450</v>
      </c>
      <c r="G1414" s="12" t="n">
        <v>677</v>
      </c>
      <c r="H1414" s="12" t="inlineStr">
        <is>
          <t>GB-5.3: modular gas genset ~450 kW, 480 V (block 5)</t>
        </is>
      </c>
      <c r="I1414" s="12" t="inlineStr">
        <is>
          <t>LV 600 V</t>
        </is>
      </c>
      <c r="J1414" s="12" t="inlineStr">
        <is>
          <t>500 kcmil</t>
        </is>
      </c>
      <c r="K1414" s="12" t="n">
        <v>2</v>
      </c>
    </row>
    <row r="1415">
      <c r="A1415" s="12" t="inlineStr">
        <is>
          <t>GBS-5: block 5 480 V paralleling switchgear (4 gensets)</t>
        </is>
      </c>
      <c r="B1415" s="12" t="inlineStr">
        <is>
          <t>GBS-5</t>
        </is>
      </c>
      <c r="C1415" s="12" t="inlineStr">
        <is>
          <t>I</t>
        </is>
      </c>
      <c r="D1415" s="12" t="inlineStr">
        <is>
          <t>GB-5.4 480 V generator leads to GBS-5</t>
        </is>
      </c>
      <c r="E1415" s="12" t="n">
        <v>480</v>
      </c>
      <c r="F1415" s="12" t="n">
        <v>450</v>
      </c>
      <c r="G1415" s="12" t="n">
        <v>677</v>
      </c>
      <c r="H1415" s="12" t="inlineStr">
        <is>
          <t>GB-5.4: modular gas genset ~450 kW, 480 V (block 5)</t>
        </is>
      </c>
      <c r="I1415" s="12" t="inlineStr">
        <is>
          <t>LV 600 V</t>
        </is>
      </c>
      <c r="J1415" s="12" t="inlineStr">
        <is>
          <t>500 kcmil</t>
        </is>
      </c>
      <c r="K1415" s="12" t="n">
        <v>2</v>
      </c>
    </row>
    <row r="1416">
      <c r="A1416" s="12" t="inlineStr">
        <is>
          <t>GBS-5: block 5 480 V paralleling switchgear (4 gensets)</t>
        </is>
      </c>
      <c r="B1416" s="12" t="inlineStr">
        <is>
          <t>GBS-5</t>
        </is>
      </c>
      <c r="C1416" s="12" t="inlineStr">
        <is>
          <t>I</t>
        </is>
      </c>
      <c r="D1416" s="12" t="inlineStr">
        <is>
          <t>LV power feeder</t>
        </is>
      </c>
      <c r="E1416" s="12" t="n">
        <v>480</v>
      </c>
      <c r="F1416" s="12" t="n">
        <v>15</v>
      </c>
      <c r="G1416" s="12" t="n">
        <v>21.2</v>
      </c>
      <c r="H1416" s="12" t="inlineStr">
        <is>
          <t>PAD-LV 480 V paralleling switchboard</t>
        </is>
      </c>
      <c r="I1416" s="12" t="inlineStr">
        <is>
          <t>LV 600 V</t>
        </is>
      </c>
      <c r="J1416" s="12" t="inlineStr">
        <is>
          <t>8</t>
        </is>
      </c>
      <c r="K1416" s="12" t="n">
        <v>1</v>
      </c>
    </row>
    <row r="1417">
      <c r="A1417" s="12" t="inlineStr">
        <is>
          <t>GBS-6: block 6 480 V paralleling switchgear (4 gensets)</t>
        </is>
      </c>
      <c r="B1417" s="12" t="inlineStr">
        <is>
          <t>GBS-6</t>
        </is>
      </c>
      <c r="C1417" s="12" t="inlineStr">
        <is>
          <t>I</t>
        </is>
      </c>
      <c r="D1417" s="12" t="inlineStr">
        <is>
          <t>GB-6.1 480 V generator leads to GBS-6</t>
        </is>
      </c>
      <c r="E1417" s="12" t="n">
        <v>480</v>
      </c>
      <c r="F1417" s="12" t="n">
        <v>450</v>
      </c>
      <c r="G1417" s="12" t="n">
        <v>677</v>
      </c>
      <c r="H1417" s="12" t="inlineStr">
        <is>
          <t>GB-6.1: modular gas genset ~450 kW, 480 V (block 6)</t>
        </is>
      </c>
      <c r="I1417" s="12" t="inlineStr">
        <is>
          <t>LV 600 V</t>
        </is>
      </c>
      <c r="J1417" s="12" t="inlineStr">
        <is>
          <t>500 kcmil</t>
        </is>
      </c>
      <c r="K1417" s="12" t="n">
        <v>2</v>
      </c>
    </row>
    <row r="1418">
      <c r="A1418" s="12" t="inlineStr">
        <is>
          <t>GBS-6: block 6 480 V paralleling switchgear (4 gensets)</t>
        </is>
      </c>
      <c r="B1418" s="12" t="inlineStr">
        <is>
          <t>GBS-6</t>
        </is>
      </c>
      <c r="C1418" s="12" t="inlineStr">
        <is>
          <t>I</t>
        </is>
      </c>
      <c r="D1418" s="12" t="inlineStr">
        <is>
          <t>GB-6.2 480 V generator leads to GBS-6</t>
        </is>
      </c>
      <c r="E1418" s="12" t="n">
        <v>480</v>
      </c>
      <c r="F1418" s="12" t="n">
        <v>450</v>
      </c>
      <c r="G1418" s="12" t="n">
        <v>677</v>
      </c>
      <c r="H1418" s="12" t="inlineStr">
        <is>
          <t>GB-6.2: modular gas genset ~450 kW, 480 V (block 6)</t>
        </is>
      </c>
      <c r="I1418" s="12" t="inlineStr">
        <is>
          <t>LV 600 V</t>
        </is>
      </c>
      <c r="J1418" s="12" t="inlineStr">
        <is>
          <t>500 kcmil</t>
        </is>
      </c>
      <c r="K1418" s="12" t="n">
        <v>2</v>
      </c>
    </row>
    <row r="1419">
      <c r="A1419" s="12" t="inlineStr">
        <is>
          <t>GBS-6: block 6 480 V paralleling switchgear (4 gensets)</t>
        </is>
      </c>
      <c r="B1419" s="12" t="inlineStr">
        <is>
          <t>GBS-6</t>
        </is>
      </c>
      <c r="C1419" s="12" t="inlineStr">
        <is>
          <t>I</t>
        </is>
      </c>
      <c r="D1419" s="12" t="inlineStr">
        <is>
          <t>GB-6.3 480 V generator leads to GBS-6</t>
        </is>
      </c>
      <c r="E1419" s="12" t="n">
        <v>480</v>
      </c>
      <c r="F1419" s="12" t="n">
        <v>450</v>
      </c>
      <c r="G1419" s="12" t="n">
        <v>677</v>
      </c>
      <c r="H1419" s="12" t="inlineStr">
        <is>
          <t>GB-6.3: modular gas genset ~450 kW, 480 V (block 6)</t>
        </is>
      </c>
      <c r="I1419" s="12" t="inlineStr">
        <is>
          <t>LV 600 V</t>
        </is>
      </c>
      <c r="J1419" s="12" t="inlineStr">
        <is>
          <t>500 kcmil</t>
        </is>
      </c>
      <c r="K1419" s="12" t="n">
        <v>2</v>
      </c>
    </row>
    <row r="1420">
      <c r="A1420" s="12" t="inlineStr">
        <is>
          <t>GBS-6: block 6 480 V paralleling switchgear (4 gensets)</t>
        </is>
      </c>
      <c r="B1420" s="12" t="inlineStr">
        <is>
          <t>GBS-6</t>
        </is>
      </c>
      <c r="C1420" s="12" t="inlineStr">
        <is>
          <t>I</t>
        </is>
      </c>
      <c r="D1420" s="12" t="inlineStr">
        <is>
          <t>GB-6.4 480 V generator leads to GBS-6</t>
        </is>
      </c>
      <c r="E1420" s="12" t="n">
        <v>480</v>
      </c>
      <c r="F1420" s="12" t="n">
        <v>450</v>
      </c>
      <c r="G1420" s="12" t="n">
        <v>677</v>
      </c>
      <c r="H1420" s="12" t="inlineStr">
        <is>
          <t>GB-6.4: modular gas genset ~450 kW, 480 V (block 6)</t>
        </is>
      </c>
      <c r="I1420" s="12" t="inlineStr">
        <is>
          <t>LV 600 V</t>
        </is>
      </c>
      <c r="J1420" s="12" t="inlineStr">
        <is>
          <t>500 kcmil</t>
        </is>
      </c>
      <c r="K1420" s="12" t="n">
        <v>2</v>
      </c>
    </row>
    <row r="1421">
      <c r="A1421" s="12" t="inlineStr">
        <is>
          <t>GBS-6: block 6 480 V paralleling switchgear (4 gensets)</t>
        </is>
      </c>
      <c r="B1421" s="12" t="inlineStr">
        <is>
          <t>GBS-6</t>
        </is>
      </c>
      <c r="C1421" s="12" t="inlineStr">
        <is>
          <t>I</t>
        </is>
      </c>
      <c r="D1421" s="12" t="inlineStr">
        <is>
          <t>LV power feeder</t>
        </is>
      </c>
      <c r="E1421" s="12" t="n">
        <v>480</v>
      </c>
      <c r="F1421" s="12" t="n">
        <v>15</v>
      </c>
      <c r="G1421" s="12" t="n">
        <v>21.2</v>
      </c>
      <c r="H1421" s="12" t="inlineStr">
        <is>
          <t>PAD-LV 480 V paralleling switchboard</t>
        </is>
      </c>
      <c r="I1421" s="12" t="inlineStr">
        <is>
          <t>LV 600 V</t>
        </is>
      </c>
      <c r="J1421" s="12" t="inlineStr">
        <is>
          <t>6</t>
        </is>
      </c>
      <c r="K1421" s="12" t="n">
        <v>1</v>
      </c>
    </row>
    <row r="1422">
      <c r="A1422" s="12" t="inlineStr">
        <is>
          <t>GBT-1: block 1 480 V : 13.8 kV 2,500 kVA pad-mount step-up</t>
        </is>
      </c>
      <c r="B1422" s="12" t="inlineStr">
        <is>
          <t>GBT-1</t>
        </is>
      </c>
      <c r="C1422" s="12" t="inlineStr">
        <is>
          <t>I</t>
        </is>
      </c>
      <c r="D1422" s="12" t="inlineStr">
        <is>
          <t>GBS-1 to GBT-1 480 V secondary</t>
        </is>
      </c>
      <c r="E1422" s="12" t="n">
        <v>480</v>
      </c>
      <c r="F1422" s="12" t="n">
        <v>2250</v>
      </c>
      <c r="G1422" s="12" t="n">
        <v>2706</v>
      </c>
      <c r="H1422" s="12" t="inlineStr">
        <is>
          <t>GBS-1: block 1 480 V paralleling switchgear (4 gensets)</t>
        </is>
      </c>
      <c r="I1422" s="12" t="inlineStr">
        <is>
          <t>LV 600 V</t>
        </is>
      </c>
      <c r="J1422" s="12" t="inlineStr">
        <is>
          <t>600 kcmil</t>
        </is>
      </c>
      <c r="K1422" s="12" t="n">
        <v>8</v>
      </c>
    </row>
    <row r="1423">
      <c r="A1423" s="12" t="inlineStr">
        <is>
          <t>GBT-2: block 2 480 V : 13.8 kV 2,500 kVA pad-mount step-up</t>
        </is>
      </c>
      <c r="B1423" s="12" t="inlineStr">
        <is>
          <t>GBT-2</t>
        </is>
      </c>
      <c r="C1423" s="12" t="inlineStr">
        <is>
          <t>I</t>
        </is>
      </c>
      <c r="D1423" s="12" t="inlineStr">
        <is>
          <t>GBS-2 to GBT-2 480 V secondary</t>
        </is>
      </c>
      <c r="E1423" s="12" t="n">
        <v>480</v>
      </c>
      <c r="F1423" s="12" t="n">
        <v>2250</v>
      </c>
      <c r="G1423" s="12" t="n">
        <v>2706</v>
      </c>
      <c r="H1423" s="12" t="inlineStr">
        <is>
          <t>GBS-2: block 2 480 V paralleling switchgear (4 gensets)</t>
        </is>
      </c>
      <c r="I1423" s="12" t="inlineStr">
        <is>
          <t>LV 600 V</t>
        </is>
      </c>
      <c r="J1423" s="12" t="inlineStr">
        <is>
          <t>600 kcmil</t>
        </is>
      </c>
      <c r="K1423" s="12" t="n">
        <v>8</v>
      </c>
    </row>
    <row r="1424">
      <c r="A1424" s="12" t="inlineStr">
        <is>
          <t>GBT-3: block 3 480 V : 13.8 kV 2,500 kVA pad-mount step-up</t>
        </is>
      </c>
      <c r="B1424" s="12" t="inlineStr">
        <is>
          <t>GBT-3</t>
        </is>
      </c>
      <c r="C1424" s="12" t="inlineStr">
        <is>
          <t>I</t>
        </is>
      </c>
      <c r="D1424" s="12" t="inlineStr">
        <is>
          <t>GBS-3 to GBT-3 480 V secondary</t>
        </is>
      </c>
      <c r="E1424" s="12" t="n">
        <v>480</v>
      </c>
      <c r="F1424" s="12" t="n">
        <v>2250</v>
      </c>
      <c r="G1424" s="12" t="n">
        <v>2706</v>
      </c>
      <c r="H1424" s="12" t="inlineStr">
        <is>
          <t>GBS-3: block 3 480 V paralleling switchgear (4 gensets)</t>
        </is>
      </c>
      <c r="I1424" s="12" t="inlineStr">
        <is>
          <t>LV 600 V</t>
        </is>
      </c>
      <c r="J1424" s="12" t="inlineStr">
        <is>
          <t>600 kcmil</t>
        </is>
      </c>
      <c r="K1424" s="12" t="n">
        <v>8</v>
      </c>
    </row>
    <row r="1425">
      <c r="A1425" s="12" t="inlineStr">
        <is>
          <t>GBT-4: block 4 480 V : 13.8 kV 2,500 kVA pad-mount step-up</t>
        </is>
      </c>
      <c r="B1425" s="12" t="inlineStr">
        <is>
          <t>GBT-4</t>
        </is>
      </c>
      <c r="C1425" s="12" t="inlineStr">
        <is>
          <t>I</t>
        </is>
      </c>
      <c r="D1425" s="12" t="inlineStr">
        <is>
          <t>GBS-4 to GBT-4 480 V secondary</t>
        </is>
      </c>
      <c r="E1425" s="12" t="n">
        <v>480</v>
      </c>
      <c r="F1425" s="12" t="n">
        <v>2250</v>
      </c>
      <c r="G1425" s="12" t="n">
        <v>2706</v>
      </c>
      <c r="H1425" s="12" t="inlineStr">
        <is>
          <t>GBS-4: block 4 480 V paralleling switchgear (4 gensets)</t>
        </is>
      </c>
      <c r="I1425" s="12" t="inlineStr">
        <is>
          <t>LV 600 V</t>
        </is>
      </c>
      <c r="J1425" s="12" t="inlineStr">
        <is>
          <t>600 kcmil</t>
        </is>
      </c>
      <c r="K1425" s="12" t="n">
        <v>8</v>
      </c>
    </row>
    <row r="1426">
      <c r="A1426" s="12" t="inlineStr">
        <is>
          <t>GBT-5: block 5 480 V : 13.8 kV 2,500 kVA pad-mount step-up</t>
        </is>
      </c>
      <c r="B1426" s="12" t="inlineStr">
        <is>
          <t>GBT-5</t>
        </is>
      </c>
      <c r="C1426" s="12" t="inlineStr">
        <is>
          <t>I</t>
        </is>
      </c>
      <c r="D1426" s="12" t="inlineStr">
        <is>
          <t>GBS-5 to GBT-5 480 V secondary</t>
        </is>
      </c>
      <c r="E1426" s="12" t="n">
        <v>480</v>
      </c>
      <c r="F1426" s="12" t="n">
        <v>2250</v>
      </c>
      <c r="G1426" s="12" t="n">
        <v>2706</v>
      </c>
      <c r="H1426" s="12" t="inlineStr">
        <is>
          <t>GBS-5: block 5 480 V paralleling switchgear (4 gensets)</t>
        </is>
      </c>
      <c r="I1426" s="12" t="inlineStr">
        <is>
          <t>LV 600 V</t>
        </is>
      </c>
      <c r="J1426" s="12" t="inlineStr">
        <is>
          <t>600 kcmil</t>
        </is>
      </c>
      <c r="K1426" s="12" t="n">
        <v>8</v>
      </c>
    </row>
    <row r="1427">
      <c r="A1427" s="12" t="inlineStr">
        <is>
          <t>GBT-6: block 6 480 V : 13.8 kV 2,500 kVA pad-mount step-up</t>
        </is>
      </c>
      <c r="B1427" s="12" t="inlineStr">
        <is>
          <t>GBT-6</t>
        </is>
      </c>
      <c r="C1427" s="12" t="inlineStr">
        <is>
          <t>I</t>
        </is>
      </c>
      <c r="D1427" s="12" t="inlineStr">
        <is>
          <t>GBS-6 to GBT-6 480 V secondary</t>
        </is>
      </c>
      <c r="E1427" s="12" t="n">
        <v>480</v>
      </c>
      <c r="F1427" s="12" t="n">
        <v>2250</v>
      </c>
      <c r="G1427" s="12" t="n">
        <v>2706</v>
      </c>
      <c r="H1427" s="12" t="inlineStr">
        <is>
          <t>GBS-6: block 6 480 V paralleling switchgear (4 gensets)</t>
        </is>
      </c>
      <c r="I1427" s="12" t="inlineStr">
        <is>
          <t>LV 600 V</t>
        </is>
      </c>
      <c r="J1427" s="12" t="inlineStr">
        <is>
          <t>600 kcmil</t>
        </is>
      </c>
      <c r="K1427" s="12" t="n">
        <v>8</v>
      </c>
    </row>
    <row r="1428">
      <c r="A1428" s="12" t="inlineStr">
        <is>
          <t>Gas conditioning skid</t>
        </is>
      </c>
      <c r="B1428" s="12" t="inlineStr"/>
      <c r="C1428" s="12" t="inlineStr">
        <is>
          <t>I</t>
        </is>
      </c>
      <c r="D1428" s="12" t="inlineStr">
        <is>
          <t>LV power feeder</t>
        </is>
      </c>
      <c r="E1428" s="12" t="n">
        <v>480</v>
      </c>
      <c r="F1428" s="12" t="n">
        <v>30</v>
      </c>
      <c r="G1428" s="12" t="n">
        <v>42.5</v>
      </c>
      <c r="H1428" s="12" t="inlineStr">
        <is>
          <t>PCM: power control module</t>
        </is>
      </c>
      <c r="I1428" s="12" t="inlineStr">
        <is>
          <t>LV 600 V</t>
        </is>
      </c>
      <c r="J1428" s="12" t="inlineStr">
        <is>
          <t>6</t>
        </is>
      </c>
      <c r="K1428" s="12" t="n">
        <v>1</v>
      </c>
    </row>
    <row r="1429">
      <c r="A1429" s="12" t="inlineStr">
        <is>
          <t>Lube oil / starting air / oily water building</t>
        </is>
      </c>
      <c r="B1429" s="12" t="inlineStr"/>
      <c r="C1429" s="12" t="inlineStr">
        <is>
          <t>I</t>
        </is>
      </c>
      <c r="D1429" s="12" t="inlineStr">
        <is>
          <t>LV panel / distribution feeder</t>
        </is>
      </c>
      <c r="E1429" s="12" t="n">
        <v>480</v>
      </c>
      <c r="F1429" s="12" t="n">
        <v>79</v>
      </c>
      <c r="G1429" s="12" t="n">
        <v>111.8</v>
      </c>
      <c r="H1429" s="12" t="inlineStr">
        <is>
          <t>PCM: power control module</t>
        </is>
      </c>
      <c r="I1429" s="12" t="inlineStr">
        <is>
          <t>LV 600 V</t>
        </is>
      </c>
      <c r="J1429" s="12" t="inlineStr">
        <is>
          <t>1/0</t>
        </is>
      </c>
      <c r="K1429" s="12" t="n">
        <v>1</v>
      </c>
    </row>
    <row r="1430">
      <c r="A1430" s="12" t="inlineStr">
        <is>
          <t>MOD-EH: 13.8 kV modular collector e-house</t>
        </is>
      </c>
      <c r="B1430" s="12" t="inlineStr">
        <is>
          <t>MOD-EH</t>
        </is>
      </c>
      <c r="C1430" s="12" t="inlineStr">
        <is>
          <t>I</t>
        </is>
      </c>
      <c r="D1430" s="12" t="inlineStr">
        <is>
          <t>LV panel / distribution feeder</t>
        </is>
      </c>
      <c r="E1430" s="12" t="n">
        <v>480</v>
      </c>
      <c r="F1430" s="12" t="n">
        <v>30</v>
      </c>
      <c r="G1430" s="12" t="n">
        <v>42.5</v>
      </c>
      <c r="H1430" s="12" t="inlineStr">
        <is>
          <t>MOD-LV 480 V board + 480 V : 13.8 kV step-up</t>
        </is>
      </c>
      <c r="I1430" s="12" t="inlineStr">
        <is>
          <t>LV 600 V</t>
        </is>
      </c>
      <c r="J1430" s="12" t="inlineStr">
        <is>
          <t>4</t>
        </is>
      </c>
      <c r="K1430" s="12" t="n">
        <v>1</v>
      </c>
    </row>
    <row r="1431">
      <c r="A1431" s="12" t="inlineStr">
        <is>
          <t>MOD-LV 480 V board + 480 V : 13.8 kV step-up</t>
        </is>
      </c>
      <c r="B1431" s="12" t="inlineStr"/>
      <c r="C1431" s="12" t="inlineStr">
        <is>
          <t>I</t>
        </is>
      </c>
      <c r="D1431" s="12" t="inlineStr">
        <is>
          <t>Fuel-cell AC cabinet to MOD-LV</t>
        </is>
      </c>
      <c r="E1431" s="12" t="n">
        <v>480</v>
      </c>
      <c r="F1431" s="12" t="n">
        <v>2000</v>
      </c>
      <c r="G1431" s="12" t="n">
        <v>2532.3</v>
      </c>
      <c r="H1431" s="12" t="inlineStr">
        <is>
          <t>FC-5..12 inverter / AC cabinet / desulfurizer</t>
        </is>
      </c>
      <c r="I1431" s="12" t="inlineStr">
        <is>
          <t>LV 600 V</t>
        </is>
      </c>
      <c r="J1431" s="12" t="inlineStr">
        <is>
          <t>500 kcmil</t>
        </is>
      </c>
      <c r="K1431" s="12" t="n">
        <v>12</v>
      </c>
    </row>
    <row r="1432">
      <c r="A1432" s="12" t="inlineStr">
        <is>
          <t>MOD-LV 480 V board + 480 V : 13.8 kV step-up</t>
        </is>
      </c>
      <c r="B1432" s="12" t="inlineStr"/>
      <c r="C1432" s="12" t="inlineStr">
        <is>
          <t>I</t>
        </is>
      </c>
      <c r="D1432" s="12" t="inlineStr">
        <is>
          <t>MT-4 microturbine output</t>
        </is>
      </c>
      <c r="E1432" s="12" t="n">
        <v>480</v>
      </c>
      <c r="F1432" s="12" t="n">
        <v>1000</v>
      </c>
      <c r="G1432" s="12" t="n">
        <v>1266.2</v>
      </c>
      <c r="H1432" s="12" t="inlineStr">
        <is>
          <t>MT-4: microturbine 1 MW (Capstone C1000 class)</t>
        </is>
      </c>
      <c r="I1432" s="12" t="inlineStr">
        <is>
          <t>LV 600 V</t>
        </is>
      </c>
      <c r="J1432" s="12" t="inlineStr">
        <is>
          <t>500 kcmil</t>
        </is>
      </c>
      <c r="K1432" s="12" t="n">
        <v>12</v>
      </c>
    </row>
    <row r="1433">
      <c r="A1433" s="12" t="inlineStr">
        <is>
          <t>MOD-LV 480 V board + 480 V : 13.8 kV step-up</t>
        </is>
      </c>
      <c r="B1433" s="12" t="inlineStr"/>
      <c r="C1433" s="12" t="inlineStr">
        <is>
          <t>I</t>
        </is>
      </c>
      <c r="D1433" s="12" t="inlineStr">
        <is>
          <t>MT-5 microturbine output</t>
        </is>
      </c>
      <c r="E1433" s="12" t="n">
        <v>480</v>
      </c>
      <c r="F1433" s="12" t="n">
        <v>1000</v>
      </c>
      <c r="G1433" s="12" t="n">
        <v>1266.2</v>
      </c>
      <c r="H1433" s="12" t="inlineStr">
        <is>
          <t>MT-5: microturbine 1 MW (Capstone C1000 class)</t>
        </is>
      </c>
      <c r="I1433" s="12" t="inlineStr">
        <is>
          <t>LV 600 V</t>
        </is>
      </c>
      <c r="J1433" s="12" t="inlineStr">
        <is>
          <t>500 kcmil</t>
        </is>
      </c>
      <c r="K1433" s="12" t="n">
        <v>12</v>
      </c>
    </row>
    <row r="1434">
      <c r="A1434" s="12" t="inlineStr">
        <is>
          <t>MOD-LV 480 V board + 480 V : 13.8 kV step-up</t>
        </is>
      </c>
      <c r="B1434" s="12" t="inlineStr"/>
      <c r="C1434" s="12" t="inlineStr">
        <is>
          <t>I</t>
        </is>
      </c>
      <c r="D1434" s="12" t="inlineStr">
        <is>
          <t>MT-6 microturbine output</t>
        </is>
      </c>
      <c r="E1434" s="12" t="n">
        <v>480</v>
      </c>
      <c r="F1434" s="12" t="n">
        <v>1000</v>
      </c>
      <c r="G1434" s="12" t="n">
        <v>1266.2</v>
      </c>
      <c r="H1434" s="12" t="inlineStr">
        <is>
          <t>MT-6: microturbine 1 MW (Capstone C1000 class)</t>
        </is>
      </c>
      <c r="I1434" s="12" t="inlineStr">
        <is>
          <t>LV 600 V</t>
        </is>
      </c>
      <c r="J1434" s="12" t="inlineStr">
        <is>
          <t>500 kcmil</t>
        </is>
      </c>
      <c r="K1434" s="12" t="n">
        <v>12</v>
      </c>
    </row>
    <row r="1435">
      <c r="A1435" s="12" t="inlineStr">
        <is>
          <t>PAD-TX 480 V : 13.8 kV</t>
        </is>
      </c>
      <c r="B1435" s="12" t="inlineStr">
        <is>
          <t>PAD-TX</t>
        </is>
      </c>
      <c r="C1435" s="12" t="inlineStr">
        <is>
          <t>I</t>
        </is>
      </c>
      <c r="D1435" s="12" t="inlineStr">
        <is>
          <t>PAD-LV to PAD-TX</t>
        </is>
      </c>
      <c r="E1435" s="12" t="n">
        <v>480</v>
      </c>
      <c r="F1435" s="12" t="n">
        <v>3000</v>
      </c>
      <c r="G1435" s="12" t="n">
        <v>3600</v>
      </c>
      <c r="H1435" s="12" t="inlineStr">
        <is>
          <t>PAD-LV 480 V paralleling switchboard</t>
        </is>
      </c>
      <c r="I1435" s="12" t="inlineStr">
        <is>
          <t>LV 600 V</t>
        </is>
      </c>
      <c r="J1435" s="12" t="inlineStr">
        <is>
          <t>500 kcmil</t>
        </is>
      </c>
      <c r="K1435" s="12" t="n">
        <v>12</v>
      </c>
    </row>
    <row r="1436">
      <c r="A1436" s="12" t="inlineStr">
        <is>
          <t>PCM: power control module</t>
        </is>
      </c>
      <c r="B1436" s="12" t="inlineStr"/>
      <c r="C1436" s="12" t="inlineStr">
        <is>
          <t>I</t>
        </is>
      </c>
      <c r="D1436" s="12" t="inlineStr">
        <is>
          <t>LV panel / distribution feeder</t>
        </is>
      </c>
      <c r="E1436" s="12" t="n">
        <v>480</v>
      </c>
      <c r="F1436" s="12" t="n">
        <v>38</v>
      </c>
      <c r="G1436" s="12" t="n">
        <v>53.8</v>
      </c>
      <c r="H1436" s="12" t="inlineStr">
        <is>
          <t>PCM: power control module</t>
        </is>
      </c>
      <c r="I1436" s="12" t="inlineStr">
        <is>
          <t>LV 600 V</t>
        </is>
      </c>
      <c r="J1436" s="12" t="inlineStr">
        <is>
          <t>4</t>
        </is>
      </c>
      <c r="K1436" s="12" t="n">
        <v>1</v>
      </c>
    </row>
    <row r="1437">
      <c r="A1437" s="12" t="inlineStr">
        <is>
          <t>RICE 1 SCR + oxidation catalyst and stack</t>
        </is>
      </c>
      <c r="B1437" s="12" t="inlineStr"/>
      <c r="C1437" s="12" t="inlineStr">
        <is>
          <t>I</t>
        </is>
      </c>
      <c r="D1437" s="12" t="inlineStr">
        <is>
          <t>Motor 1 of 1, 15 kW</t>
        </is>
      </c>
      <c r="E1437" s="12" t="n">
        <v>480</v>
      </c>
      <c r="F1437" s="12" t="n">
        <v>15</v>
      </c>
      <c r="G1437" s="12" t="n">
        <v>21.2</v>
      </c>
      <c r="H1437" s="12" t="inlineStr">
        <is>
          <t>PCM: power control module</t>
        </is>
      </c>
      <c r="I1437" s="12" t="inlineStr">
        <is>
          <t>LV 600 V</t>
        </is>
      </c>
      <c r="J1437" s="12" t="inlineStr">
        <is>
          <t>6</t>
        </is>
      </c>
      <c r="K1437" s="12" t="n">
        <v>1</v>
      </c>
    </row>
    <row r="1438">
      <c r="A1438" s="12" t="inlineStr">
        <is>
          <t>RICE 1 SCR + oxidation catalyst and stack</t>
        </is>
      </c>
      <c r="B1438" s="12" t="inlineStr"/>
      <c r="C1438" s="12" t="inlineStr">
        <is>
          <t>I</t>
        </is>
      </c>
      <c r="D1438" s="12" t="inlineStr">
        <is>
          <t>Area / platform lighting circuit 1 (6 fixtures)</t>
        </is>
      </c>
      <c r="E1438" s="12" t="n">
        <v>480</v>
      </c>
      <c r="F1438" s="12" t="n">
        <v>3</v>
      </c>
      <c r="G1438" s="12" t="n">
        <v>5</v>
      </c>
      <c r="H1438" s="12" t="inlineStr">
        <is>
          <t>PCM: power control module</t>
        </is>
      </c>
      <c r="I1438" s="12" t="inlineStr">
        <is>
          <t>LV 600 V</t>
        </is>
      </c>
      <c r="J1438" s="12" t="inlineStr">
        <is>
          <t>10</t>
        </is>
      </c>
      <c r="K1438" s="12" t="n">
        <v>1</v>
      </c>
    </row>
    <row r="1439">
      <c r="A1439" s="12" t="inlineStr">
        <is>
          <t>RICE 1 radiators (5)</t>
        </is>
      </c>
      <c r="B1439" s="12" t="inlineStr"/>
      <c r="C1439" s="12" t="inlineStr">
        <is>
          <t>I</t>
        </is>
      </c>
      <c r="D1439" s="12" t="inlineStr">
        <is>
          <t>Motor 1 of 5, 30 kW (VFD output)</t>
        </is>
      </c>
      <c r="E1439" s="12" t="n">
        <v>480</v>
      </c>
      <c r="F1439" s="12" t="n">
        <v>30</v>
      </c>
      <c r="G1439" s="12" t="n">
        <v>42</v>
      </c>
      <c r="H1439" s="12" t="inlineStr">
        <is>
          <t>PCM: power control module</t>
        </is>
      </c>
      <c r="I1439" s="12" t="inlineStr">
        <is>
          <t>LV 600 V</t>
        </is>
      </c>
      <c r="J1439" s="12" t="inlineStr">
        <is>
          <t>1</t>
        </is>
      </c>
      <c r="K1439" s="12" t="n">
        <v>1</v>
      </c>
    </row>
    <row r="1440">
      <c r="A1440" s="12" t="inlineStr">
        <is>
          <t>RICE 1 radiators (5)</t>
        </is>
      </c>
      <c r="B1440" s="12" t="inlineStr"/>
      <c r="C1440" s="12" t="inlineStr">
        <is>
          <t>I</t>
        </is>
      </c>
      <c r="D1440" s="12" t="inlineStr">
        <is>
          <t>Motor 2 of 5, 30 kW (VFD output)</t>
        </is>
      </c>
      <c r="E1440" s="12" t="n">
        <v>480</v>
      </c>
      <c r="F1440" s="12" t="n">
        <v>30</v>
      </c>
      <c r="G1440" s="12" t="n">
        <v>42</v>
      </c>
      <c r="H1440" s="12" t="inlineStr">
        <is>
          <t>PCM: power control module</t>
        </is>
      </c>
      <c r="I1440" s="12" t="inlineStr">
        <is>
          <t>LV 600 V</t>
        </is>
      </c>
      <c r="J1440" s="12" t="inlineStr">
        <is>
          <t>1</t>
        </is>
      </c>
      <c r="K1440" s="12" t="n">
        <v>1</v>
      </c>
    </row>
    <row r="1441">
      <c r="A1441" s="12" t="inlineStr">
        <is>
          <t>RICE 1 radiators (5)</t>
        </is>
      </c>
      <c r="B1441" s="12" t="inlineStr"/>
      <c r="C1441" s="12" t="inlineStr">
        <is>
          <t>I</t>
        </is>
      </c>
      <c r="D1441" s="12" t="inlineStr">
        <is>
          <t>Motor 3 of 5, 30 kW (VFD output)</t>
        </is>
      </c>
      <c r="E1441" s="12" t="n">
        <v>480</v>
      </c>
      <c r="F1441" s="12" t="n">
        <v>30</v>
      </c>
      <c r="G1441" s="12" t="n">
        <v>42</v>
      </c>
      <c r="H1441" s="12" t="inlineStr">
        <is>
          <t>PCM: power control module</t>
        </is>
      </c>
      <c r="I1441" s="12" t="inlineStr">
        <is>
          <t>LV 600 V</t>
        </is>
      </c>
      <c r="J1441" s="12" t="inlineStr">
        <is>
          <t>1</t>
        </is>
      </c>
      <c r="K1441" s="12" t="n">
        <v>1</v>
      </c>
    </row>
    <row r="1442">
      <c r="A1442" s="12" t="inlineStr">
        <is>
          <t>RICE 1 radiators (5)</t>
        </is>
      </c>
      <c r="B1442" s="12" t="inlineStr"/>
      <c r="C1442" s="12" t="inlineStr">
        <is>
          <t>I</t>
        </is>
      </c>
      <c r="D1442" s="12" t="inlineStr">
        <is>
          <t>Motor 4 of 5, 30 kW (VFD output)</t>
        </is>
      </c>
      <c r="E1442" s="12" t="n">
        <v>480</v>
      </c>
      <c r="F1442" s="12" t="n">
        <v>30</v>
      </c>
      <c r="G1442" s="12" t="n">
        <v>42</v>
      </c>
      <c r="H1442" s="12" t="inlineStr">
        <is>
          <t>PCM: power control module</t>
        </is>
      </c>
      <c r="I1442" s="12" t="inlineStr">
        <is>
          <t>LV 600 V</t>
        </is>
      </c>
      <c r="J1442" s="12" t="inlineStr">
        <is>
          <t>1</t>
        </is>
      </c>
      <c r="K1442" s="12" t="n">
        <v>1</v>
      </c>
    </row>
    <row r="1443">
      <c r="A1443" s="12" t="inlineStr">
        <is>
          <t>RICE 1 radiators (5)</t>
        </is>
      </c>
      <c r="B1443" s="12" t="inlineStr"/>
      <c r="C1443" s="12" t="inlineStr">
        <is>
          <t>I</t>
        </is>
      </c>
      <c r="D1443" s="12" t="inlineStr">
        <is>
          <t>Motor 5 of 5, 30 kW (VFD output)</t>
        </is>
      </c>
      <c r="E1443" s="12" t="n">
        <v>480</v>
      </c>
      <c r="F1443" s="12" t="n">
        <v>30</v>
      </c>
      <c r="G1443" s="12" t="n">
        <v>42</v>
      </c>
      <c r="H1443" s="12" t="inlineStr">
        <is>
          <t>PCM: power control module</t>
        </is>
      </c>
      <c r="I1443" s="12" t="inlineStr">
        <is>
          <t>LV 600 V</t>
        </is>
      </c>
      <c r="J1443" s="12" t="inlineStr">
        <is>
          <t>1</t>
        </is>
      </c>
      <c r="K1443" s="12" t="n">
        <v>1</v>
      </c>
    </row>
    <row r="1444">
      <c r="A1444" s="12" t="inlineStr">
        <is>
          <t>RICE 2 SCR + oxidation catalyst and stack</t>
        </is>
      </c>
      <c r="B1444" s="12" t="inlineStr"/>
      <c r="C1444" s="12" t="inlineStr">
        <is>
          <t>I</t>
        </is>
      </c>
      <c r="D1444" s="12" t="inlineStr">
        <is>
          <t>Motor 1 of 1, 15 kW</t>
        </is>
      </c>
      <c r="E1444" s="12" t="n">
        <v>480</v>
      </c>
      <c r="F1444" s="12" t="n">
        <v>15</v>
      </c>
      <c r="G1444" s="12" t="n">
        <v>21.2</v>
      </c>
      <c r="H1444" s="12" t="inlineStr">
        <is>
          <t>PCM: power control module</t>
        </is>
      </c>
      <c r="I1444" s="12" t="inlineStr">
        <is>
          <t>LV 600 V</t>
        </is>
      </c>
      <c r="J1444" s="12" t="inlineStr">
        <is>
          <t>6</t>
        </is>
      </c>
      <c r="K1444" s="12" t="n">
        <v>1</v>
      </c>
    </row>
    <row r="1445">
      <c r="A1445" s="12" t="inlineStr">
        <is>
          <t>RICE 2 SCR + oxidation catalyst and stack</t>
        </is>
      </c>
      <c r="B1445" s="12" t="inlineStr"/>
      <c r="C1445" s="12" t="inlineStr">
        <is>
          <t>I</t>
        </is>
      </c>
      <c r="D1445" s="12" t="inlineStr">
        <is>
          <t>Area / platform lighting circuit 1 (6 fixtures)</t>
        </is>
      </c>
      <c r="E1445" s="12" t="n">
        <v>480</v>
      </c>
      <c r="F1445" s="12" t="n">
        <v>3</v>
      </c>
      <c r="G1445" s="12" t="n">
        <v>5</v>
      </c>
      <c r="H1445" s="12" t="inlineStr">
        <is>
          <t>PCM: power control module</t>
        </is>
      </c>
      <c r="I1445" s="12" t="inlineStr">
        <is>
          <t>LV 600 V</t>
        </is>
      </c>
      <c r="J1445" s="12" t="inlineStr">
        <is>
          <t>10</t>
        </is>
      </c>
      <c r="K1445" s="12" t="n">
        <v>1</v>
      </c>
    </row>
    <row r="1446">
      <c r="A1446" s="12" t="inlineStr">
        <is>
          <t>RICE 2 radiators (5)</t>
        </is>
      </c>
      <c r="B1446" s="12" t="inlineStr"/>
      <c r="C1446" s="12" t="inlineStr">
        <is>
          <t>I</t>
        </is>
      </c>
      <c r="D1446" s="12" t="inlineStr">
        <is>
          <t>Motor 1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2 radiators (5)</t>
        </is>
      </c>
      <c r="B1447" s="12" t="inlineStr"/>
      <c r="C1447" s="12" t="inlineStr">
        <is>
          <t>I</t>
        </is>
      </c>
      <c r="D1447" s="12" t="inlineStr">
        <is>
          <t>Motor 2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2 radiators (5)</t>
        </is>
      </c>
      <c r="B1448" s="12" t="inlineStr"/>
      <c r="C1448" s="12" t="inlineStr">
        <is>
          <t>I</t>
        </is>
      </c>
      <c r="D1448" s="12" t="inlineStr">
        <is>
          <t>Motor 3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2 radiators (5)</t>
        </is>
      </c>
      <c r="B1449" s="12" t="inlineStr"/>
      <c r="C1449" s="12" t="inlineStr">
        <is>
          <t>I</t>
        </is>
      </c>
      <c r="D1449" s="12" t="inlineStr">
        <is>
          <t>Motor 4 of 5, 30 kW (VFD output)</t>
        </is>
      </c>
      <c r="E1449" s="12" t="n">
        <v>480</v>
      </c>
      <c r="F1449" s="12" t="n">
        <v>30</v>
      </c>
      <c r="G1449" s="12" t="n">
        <v>42</v>
      </c>
      <c r="H1449" s="12" t="inlineStr">
        <is>
          <t>PCM: power control module</t>
        </is>
      </c>
      <c r="I1449" s="12" t="inlineStr">
        <is>
          <t>LV 600 V</t>
        </is>
      </c>
      <c r="J1449" s="12" t="inlineStr">
        <is>
          <t>2</t>
        </is>
      </c>
      <c r="K1449" s="12" t="n">
        <v>1</v>
      </c>
    </row>
    <row r="1450">
      <c r="A1450" s="12" t="inlineStr">
        <is>
          <t>RICE 2 radiators (5)</t>
        </is>
      </c>
      <c r="B1450" s="12" t="inlineStr"/>
      <c r="C1450" s="12" t="inlineStr">
        <is>
          <t>I</t>
        </is>
      </c>
      <c r="D1450" s="12" t="inlineStr">
        <is>
          <t>Motor 5 of 5, 30 kW (VFD output)</t>
        </is>
      </c>
      <c r="E1450" s="12" t="n">
        <v>480</v>
      </c>
      <c r="F1450" s="12" t="n">
        <v>30</v>
      </c>
      <c r="G1450" s="12" t="n">
        <v>42</v>
      </c>
      <c r="H1450" s="12" t="inlineStr">
        <is>
          <t>PCM: power control module</t>
        </is>
      </c>
      <c r="I1450" s="12" t="inlineStr">
        <is>
          <t>LV 600 V</t>
        </is>
      </c>
      <c r="J1450" s="12" t="inlineStr">
        <is>
          <t>2</t>
        </is>
      </c>
      <c r="K1450" s="12" t="n">
        <v>1</v>
      </c>
    </row>
    <row r="1451">
      <c r="A1451" s="12" t="inlineStr">
        <is>
          <t>RICE 3 SCR + oxidation catalyst and stack</t>
        </is>
      </c>
      <c r="B1451" s="12" t="inlineStr"/>
      <c r="C1451" s="12" t="inlineStr">
        <is>
          <t>I</t>
        </is>
      </c>
      <c r="D1451" s="12" t="inlineStr">
        <is>
          <t>Motor 1 of 1, 15 kW</t>
        </is>
      </c>
      <c r="E1451" s="12" t="n">
        <v>480</v>
      </c>
      <c r="F1451" s="12" t="n">
        <v>15</v>
      </c>
      <c r="G1451" s="12" t="n">
        <v>21.2</v>
      </c>
      <c r="H1451" s="12" t="inlineStr">
        <is>
          <t>PCM: power control module</t>
        </is>
      </c>
      <c r="I1451" s="12" t="inlineStr">
        <is>
          <t>LV 600 V</t>
        </is>
      </c>
      <c r="J1451" s="12" t="inlineStr">
        <is>
          <t>6</t>
        </is>
      </c>
      <c r="K1451" s="12" t="n">
        <v>1</v>
      </c>
    </row>
    <row r="1452">
      <c r="A1452" s="12" t="inlineStr">
        <is>
          <t>RICE 3 SCR + oxidation catalyst and stack</t>
        </is>
      </c>
      <c r="B1452" s="12" t="inlineStr"/>
      <c r="C1452" s="12" t="inlineStr">
        <is>
          <t>I</t>
        </is>
      </c>
      <c r="D1452" s="12" t="inlineStr">
        <is>
          <t>Area / platform lighting circuit 1 (6 fixtures)</t>
        </is>
      </c>
      <c r="E1452" s="12" t="n">
        <v>480</v>
      </c>
      <c r="F1452" s="12" t="n">
        <v>3</v>
      </c>
      <c r="G1452" s="12" t="n">
        <v>5</v>
      </c>
      <c r="H1452" s="12" t="inlineStr">
        <is>
          <t>PCM: power control module</t>
        </is>
      </c>
      <c r="I1452" s="12" t="inlineStr">
        <is>
          <t>LV 600 V</t>
        </is>
      </c>
      <c r="J1452" s="12" t="inlineStr">
        <is>
          <t>10</t>
        </is>
      </c>
      <c r="K1452" s="12" t="n">
        <v>1</v>
      </c>
    </row>
    <row r="1453">
      <c r="A1453" s="12" t="inlineStr">
        <is>
          <t>RICE 3 radiators (5)</t>
        </is>
      </c>
      <c r="B1453" s="12" t="inlineStr"/>
      <c r="C1453" s="12" t="inlineStr">
        <is>
          <t>I</t>
        </is>
      </c>
      <c r="D1453" s="12" t="inlineStr">
        <is>
          <t>Motor 1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3 radiators (5)</t>
        </is>
      </c>
      <c r="B1454" s="12" t="inlineStr"/>
      <c r="C1454" s="12" t="inlineStr">
        <is>
          <t>I</t>
        </is>
      </c>
      <c r="D1454" s="12" t="inlineStr">
        <is>
          <t>Motor 2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3 radiators (5)</t>
        </is>
      </c>
      <c r="B1455" s="12" t="inlineStr"/>
      <c r="C1455" s="12" t="inlineStr">
        <is>
          <t>I</t>
        </is>
      </c>
      <c r="D1455" s="12" t="inlineStr">
        <is>
          <t>Motor 3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3 radiators (5)</t>
        </is>
      </c>
      <c r="B1456" s="12" t="inlineStr"/>
      <c r="C1456" s="12" t="inlineStr">
        <is>
          <t>I</t>
        </is>
      </c>
      <c r="D1456" s="12" t="inlineStr">
        <is>
          <t>Motor 4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3 radiators (5)</t>
        </is>
      </c>
      <c r="B1457" s="12" t="inlineStr"/>
      <c r="C1457" s="12" t="inlineStr">
        <is>
          <t>I</t>
        </is>
      </c>
      <c r="D1457" s="12" t="inlineStr">
        <is>
          <t>Motor 5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4 SCR + oxidation catalyst and stack</t>
        </is>
      </c>
      <c r="B1458" s="12" t="inlineStr"/>
      <c r="C1458" s="12" t="inlineStr">
        <is>
          <t>I</t>
        </is>
      </c>
      <c r="D1458" s="12" t="inlineStr">
        <is>
          <t>Motor 1 of 1, 15 kW</t>
        </is>
      </c>
      <c r="E1458" s="12" t="n">
        <v>480</v>
      </c>
      <c r="F1458" s="12" t="n">
        <v>15</v>
      </c>
      <c r="G1458" s="12" t="n">
        <v>21.2</v>
      </c>
      <c r="H1458" s="12" t="inlineStr">
        <is>
          <t>PCM: power control module</t>
        </is>
      </c>
      <c r="I1458" s="12" t="inlineStr">
        <is>
          <t>LV 600 V</t>
        </is>
      </c>
      <c r="J1458" s="12" t="inlineStr">
        <is>
          <t>6</t>
        </is>
      </c>
      <c r="K1458" s="12" t="n">
        <v>1</v>
      </c>
    </row>
    <row r="1459">
      <c r="A1459" s="12" t="inlineStr">
        <is>
          <t>RICE 4 SCR + oxidation catalyst and stack</t>
        </is>
      </c>
      <c r="B1459" s="12" t="inlineStr"/>
      <c r="C1459" s="12" t="inlineStr">
        <is>
          <t>I</t>
        </is>
      </c>
      <c r="D1459" s="12" t="inlineStr">
        <is>
          <t>Area / platform lighting circuit 1 (6 fixtures)</t>
        </is>
      </c>
      <c r="E1459" s="12" t="n">
        <v>480</v>
      </c>
      <c r="F1459" s="12" t="n">
        <v>3</v>
      </c>
      <c r="G1459" s="12" t="n">
        <v>5</v>
      </c>
      <c r="H1459" s="12" t="inlineStr">
        <is>
          <t>PCM: power control module</t>
        </is>
      </c>
      <c r="I1459" s="12" t="inlineStr">
        <is>
          <t>LV 600 V</t>
        </is>
      </c>
      <c r="J1459" s="12" t="inlineStr">
        <is>
          <t>10</t>
        </is>
      </c>
      <c r="K1459" s="12" t="n">
        <v>1</v>
      </c>
    </row>
    <row r="1460">
      <c r="A1460" s="12" t="inlineStr">
        <is>
          <t>RICE 4 radiators (5)</t>
        </is>
      </c>
      <c r="B1460" s="12" t="inlineStr"/>
      <c r="C1460" s="12" t="inlineStr">
        <is>
          <t>I</t>
        </is>
      </c>
      <c r="D1460" s="12" t="inlineStr">
        <is>
          <t>Motor 1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4 radiators (5)</t>
        </is>
      </c>
      <c r="B1461" s="12" t="inlineStr"/>
      <c r="C1461" s="12" t="inlineStr">
        <is>
          <t>I</t>
        </is>
      </c>
      <c r="D1461" s="12" t="inlineStr">
        <is>
          <t>Motor 2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4 radiators (5)</t>
        </is>
      </c>
      <c r="B1462" s="12" t="inlineStr"/>
      <c r="C1462" s="12" t="inlineStr">
        <is>
          <t>I</t>
        </is>
      </c>
      <c r="D1462" s="12" t="inlineStr">
        <is>
          <t>Motor 3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4 radiators (5)</t>
        </is>
      </c>
      <c r="B1463" s="12" t="inlineStr"/>
      <c r="C1463" s="12" t="inlineStr">
        <is>
          <t>I</t>
        </is>
      </c>
      <c r="D1463" s="12" t="inlineStr">
        <is>
          <t>Motor 4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4 radiators (5)</t>
        </is>
      </c>
      <c r="B1464" s="12" t="inlineStr"/>
      <c r="C1464" s="12" t="inlineStr">
        <is>
          <t>I</t>
        </is>
      </c>
      <c r="D1464" s="12" t="inlineStr">
        <is>
          <t>Motor 5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5 SCR + oxidation catalyst and stack</t>
        </is>
      </c>
      <c r="B1465" s="12" t="inlineStr"/>
      <c r="C1465" s="12" t="inlineStr">
        <is>
          <t>I</t>
        </is>
      </c>
      <c r="D1465" s="12" t="inlineStr">
        <is>
          <t>Motor 1 of 1, 15 kW</t>
        </is>
      </c>
      <c r="E1465" s="12" t="n">
        <v>480</v>
      </c>
      <c r="F1465" s="12" t="n">
        <v>15</v>
      </c>
      <c r="G1465" s="12" t="n">
        <v>21.2</v>
      </c>
      <c r="H1465" s="12" t="inlineStr">
        <is>
          <t>PCM: power control module</t>
        </is>
      </c>
      <c r="I1465" s="12" t="inlineStr">
        <is>
          <t>LV 600 V</t>
        </is>
      </c>
      <c r="J1465" s="12" t="inlineStr">
        <is>
          <t>6</t>
        </is>
      </c>
      <c r="K1465" s="12" t="n">
        <v>1</v>
      </c>
    </row>
    <row r="1466">
      <c r="A1466" s="12" t="inlineStr">
        <is>
          <t>RICE 5 SCR + oxidation catalyst and stack</t>
        </is>
      </c>
      <c r="B1466" s="12" t="inlineStr"/>
      <c r="C1466" s="12" t="inlineStr">
        <is>
          <t>I</t>
        </is>
      </c>
      <c r="D1466" s="12" t="inlineStr">
        <is>
          <t>Area / platform lighting circuit 1 (6 fixtures)</t>
        </is>
      </c>
      <c r="E1466" s="12" t="n">
        <v>480</v>
      </c>
      <c r="F1466" s="12" t="n">
        <v>3</v>
      </c>
      <c r="G1466" s="12" t="n">
        <v>5</v>
      </c>
      <c r="H1466" s="12" t="inlineStr">
        <is>
          <t>PCM: power control module</t>
        </is>
      </c>
      <c r="I1466" s="12" t="inlineStr">
        <is>
          <t>LV 600 V</t>
        </is>
      </c>
      <c r="J1466" s="12" t="inlineStr">
        <is>
          <t>10</t>
        </is>
      </c>
      <c r="K1466" s="12" t="n">
        <v>1</v>
      </c>
    </row>
    <row r="1467">
      <c r="A1467" s="12" t="inlineStr">
        <is>
          <t>RICE 5 radiators (5)</t>
        </is>
      </c>
      <c r="B1467" s="12" t="inlineStr"/>
      <c r="C1467" s="12" t="inlineStr">
        <is>
          <t>I</t>
        </is>
      </c>
      <c r="D1467" s="12" t="inlineStr">
        <is>
          <t>Motor 1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5 radiators (5)</t>
        </is>
      </c>
      <c r="B1468" s="12" t="inlineStr"/>
      <c r="C1468" s="12" t="inlineStr">
        <is>
          <t>I</t>
        </is>
      </c>
      <c r="D1468" s="12" t="inlineStr">
        <is>
          <t>Motor 2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5 radiators (5)</t>
        </is>
      </c>
      <c r="B1469" s="12" t="inlineStr"/>
      <c r="C1469" s="12" t="inlineStr">
        <is>
          <t>I</t>
        </is>
      </c>
      <c r="D1469" s="12" t="inlineStr">
        <is>
          <t>Motor 3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5 radiators (5)</t>
        </is>
      </c>
      <c r="B1470" s="12" t="inlineStr"/>
      <c r="C1470" s="12" t="inlineStr">
        <is>
          <t>I</t>
        </is>
      </c>
      <c r="D1470" s="12" t="inlineStr">
        <is>
          <t>Motor 4 of 5, 30 kW (VFD output)</t>
        </is>
      </c>
      <c r="E1470" s="12" t="n">
        <v>480</v>
      </c>
      <c r="F1470" s="12" t="n">
        <v>30</v>
      </c>
      <c r="G1470" s="12" t="n">
        <v>42</v>
      </c>
      <c r="H1470" s="12" t="inlineStr">
        <is>
          <t>PCM: power control module</t>
        </is>
      </c>
      <c r="I1470" s="12" t="inlineStr">
        <is>
          <t>LV 600 V</t>
        </is>
      </c>
      <c r="J1470" s="12" t="inlineStr">
        <is>
          <t>6</t>
        </is>
      </c>
      <c r="K1470" s="12" t="n">
        <v>1</v>
      </c>
    </row>
    <row r="1471">
      <c r="A1471" s="12" t="inlineStr">
        <is>
          <t>RICE 5 radiators (5)</t>
        </is>
      </c>
      <c r="B1471" s="12" t="inlineStr"/>
      <c r="C1471" s="12" t="inlineStr">
        <is>
          <t>I</t>
        </is>
      </c>
      <c r="D1471" s="12" t="inlineStr">
        <is>
          <t>Motor 5 of 5, 30 kW (VFD output)</t>
        </is>
      </c>
      <c r="E1471" s="12" t="n">
        <v>480</v>
      </c>
      <c r="F1471" s="12" t="n">
        <v>30</v>
      </c>
      <c r="G1471" s="12" t="n">
        <v>42</v>
      </c>
      <c r="H1471" s="12" t="inlineStr">
        <is>
          <t>PCM: power control module</t>
        </is>
      </c>
      <c r="I1471" s="12" t="inlineStr">
        <is>
          <t>LV 600 V</t>
        </is>
      </c>
      <c r="J1471" s="12" t="inlineStr">
        <is>
          <t>6</t>
        </is>
      </c>
      <c r="K1471" s="12" t="n">
        <v>1</v>
      </c>
    </row>
    <row r="1472">
      <c r="A1472" s="12" t="inlineStr">
        <is>
          <t>RICE 6 SCR + oxidation catalyst and stack</t>
        </is>
      </c>
      <c r="B1472" s="12" t="inlineStr"/>
      <c r="C1472" s="12" t="inlineStr">
        <is>
          <t>I</t>
        </is>
      </c>
      <c r="D1472" s="12" t="inlineStr">
        <is>
          <t>Motor 1 of 1, 15 kW</t>
        </is>
      </c>
      <c r="E1472" s="12" t="n">
        <v>480</v>
      </c>
      <c r="F1472" s="12" t="n">
        <v>15</v>
      </c>
      <c r="G1472" s="12" t="n">
        <v>21.2</v>
      </c>
      <c r="H1472" s="12" t="inlineStr">
        <is>
          <t>PCM: power control module</t>
        </is>
      </c>
      <c r="I1472" s="12" t="inlineStr">
        <is>
          <t>LV 600 V</t>
        </is>
      </c>
      <c r="J1472" s="12" t="inlineStr">
        <is>
          <t>6</t>
        </is>
      </c>
      <c r="K1472" s="12" t="n">
        <v>1</v>
      </c>
    </row>
    <row r="1473">
      <c r="A1473" s="12" t="inlineStr">
        <is>
          <t>RICE 6 SCR + oxidation catalyst and stack</t>
        </is>
      </c>
      <c r="B1473" s="12" t="inlineStr"/>
      <c r="C1473" s="12" t="inlineStr">
        <is>
          <t>I</t>
        </is>
      </c>
      <c r="D1473" s="12" t="inlineStr">
        <is>
          <t>Area / platform lighting circuit 1 (6 fixtures)</t>
        </is>
      </c>
      <c r="E1473" s="12" t="n">
        <v>480</v>
      </c>
      <c r="F1473" s="12" t="n">
        <v>3</v>
      </c>
      <c r="G1473" s="12" t="n">
        <v>5</v>
      </c>
      <c r="H1473" s="12" t="inlineStr">
        <is>
          <t>PCM: power control module</t>
        </is>
      </c>
      <c r="I1473" s="12" t="inlineStr">
        <is>
          <t>LV 600 V</t>
        </is>
      </c>
      <c r="J1473" s="12" t="inlineStr">
        <is>
          <t>10</t>
        </is>
      </c>
      <c r="K1473" s="12" t="n">
        <v>1</v>
      </c>
    </row>
    <row r="1474">
      <c r="A1474" s="12" t="inlineStr">
        <is>
          <t>RICE 6 radiators (5)</t>
        </is>
      </c>
      <c r="B1474" s="12" t="inlineStr"/>
      <c r="C1474" s="12" t="inlineStr">
        <is>
          <t>I</t>
        </is>
      </c>
      <c r="D1474" s="12" t="inlineStr">
        <is>
          <t>Motor 1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6 radiators (5)</t>
        </is>
      </c>
      <c r="B1475" s="12" t="inlineStr"/>
      <c r="C1475" s="12" t="inlineStr">
        <is>
          <t>I</t>
        </is>
      </c>
      <c r="D1475" s="12" t="inlineStr">
        <is>
          <t>Motor 2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6 radiators (5)</t>
        </is>
      </c>
      <c r="B1476" s="12" t="inlineStr"/>
      <c r="C1476" s="12" t="inlineStr">
        <is>
          <t>I</t>
        </is>
      </c>
      <c r="D1476" s="12" t="inlineStr">
        <is>
          <t>Motor 3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6 radiators (5)</t>
        </is>
      </c>
      <c r="B1477" s="12" t="inlineStr"/>
      <c r="C1477" s="12" t="inlineStr">
        <is>
          <t>I</t>
        </is>
      </c>
      <c r="D1477" s="12" t="inlineStr">
        <is>
          <t>Motor 4 of 5, 30 kW (VFD output)</t>
        </is>
      </c>
      <c r="E1477" s="12" t="n">
        <v>480</v>
      </c>
      <c r="F1477" s="12" t="n">
        <v>30</v>
      </c>
      <c r="G1477" s="12" t="n">
        <v>42</v>
      </c>
      <c r="H1477" s="12" t="inlineStr">
        <is>
          <t>PCM: power control module</t>
        </is>
      </c>
      <c r="I1477" s="12" t="inlineStr">
        <is>
          <t>LV 600 V</t>
        </is>
      </c>
      <c r="J1477" s="12" t="inlineStr">
        <is>
          <t>6</t>
        </is>
      </c>
      <c r="K1477" s="12" t="n">
        <v>1</v>
      </c>
    </row>
    <row r="1478">
      <c r="A1478" s="12" t="inlineStr">
        <is>
          <t>RICE 6 radiators (5)</t>
        </is>
      </c>
      <c r="B1478" s="12" t="inlineStr"/>
      <c r="C1478" s="12" t="inlineStr">
        <is>
          <t>I</t>
        </is>
      </c>
      <c r="D1478" s="12" t="inlineStr">
        <is>
          <t>Motor 5 of 5, 30 kW (VFD output)</t>
        </is>
      </c>
      <c r="E1478" s="12" t="n">
        <v>480</v>
      </c>
      <c r="F1478" s="12" t="n">
        <v>30</v>
      </c>
      <c r="G1478" s="12" t="n">
        <v>42</v>
      </c>
      <c r="H1478" s="12" t="inlineStr">
        <is>
          <t>PCM: power control module</t>
        </is>
      </c>
      <c r="I1478" s="12" t="inlineStr">
        <is>
          <t>LV 600 V</t>
        </is>
      </c>
      <c r="J1478" s="12" t="inlineStr">
        <is>
          <t>6</t>
        </is>
      </c>
      <c r="K1478" s="12" t="n">
        <v>1</v>
      </c>
    </row>
    <row r="1479">
      <c r="A1479" s="12" t="inlineStr">
        <is>
          <t>RICE 7 SCR + oxidation catalyst and stack</t>
        </is>
      </c>
      <c r="B1479" s="12" t="inlineStr"/>
      <c r="C1479" s="12" t="inlineStr">
        <is>
          <t>I</t>
        </is>
      </c>
      <c r="D1479" s="12" t="inlineStr">
        <is>
          <t>Motor 1 of 1, 15 kW</t>
        </is>
      </c>
      <c r="E1479" s="12" t="n">
        <v>480</v>
      </c>
      <c r="F1479" s="12" t="n">
        <v>15</v>
      </c>
      <c r="G1479" s="12" t="n">
        <v>21.2</v>
      </c>
      <c r="H1479" s="12" t="inlineStr">
        <is>
          <t>PCM: power control module</t>
        </is>
      </c>
      <c r="I1479" s="12" t="inlineStr">
        <is>
          <t>LV 600 V</t>
        </is>
      </c>
      <c r="J1479" s="12" t="inlineStr">
        <is>
          <t>8</t>
        </is>
      </c>
      <c r="K1479" s="12" t="n">
        <v>1</v>
      </c>
    </row>
    <row r="1480">
      <c r="A1480" s="12" t="inlineStr">
        <is>
          <t>RICE 7 SCR + oxidation catalyst and stack</t>
        </is>
      </c>
      <c r="B1480" s="12" t="inlineStr"/>
      <c r="C1480" s="12" t="inlineStr">
        <is>
          <t>I</t>
        </is>
      </c>
      <c r="D1480" s="12" t="inlineStr">
        <is>
          <t>Area / platform lighting circuit 1 (6 fixtures)</t>
        </is>
      </c>
      <c r="E1480" s="12" t="n">
        <v>480</v>
      </c>
      <c r="F1480" s="12" t="n">
        <v>3</v>
      </c>
      <c r="G1480" s="12" t="n">
        <v>5</v>
      </c>
      <c r="H1480" s="12" t="inlineStr">
        <is>
          <t>PCM: power control module</t>
        </is>
      </c>
      <c r="I1480" s="12" t="inlineStr">
        <is>
          <t>LV 600 V</t>
        </is>
      </c>
      <c r="J1480" s="12" t="inlineStr">
        <is>
          <t>10</t>
        </is>
      </c>
      <c r="K1480" s="12" t="n">
        <v>1</v>
      </c>
    </row>
    <row r="1481">
      <c r="A1481" s="12" t="inlineStr">
        <is>
          <t>RICE 7 radiators (5)</t>
        </is>
      </c>
      <c r="B1481" s="12" t="inlineStr"/>
      <c r="C1481" s="12" t="inlineStr">
        <is>
          <t>I</t>
        </is>
      </c>
      <c r="D1481" s="12" t="inlineStr">
        <is>
          <t>Motor 1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7 radiators (5)</t>
        </is>
      </c>
      <c r="B1482" s="12" t="inlineStr"/>
      <c r="C1482" s="12" t="inlineStr">
        <is>
          <t>I</t>
        </is>
      </c>
      <c r="D1482" s="12" t="inlineStr">
        <is>
          <t>Motor 2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7 radiators (5)</t>
        </is>
      </c>
      <c r="B1483" s="12" t="inlineStr"/>
      <c r="C1483" s="12" t="inlineStr">
        <is>
          <t>I</t>
        </is>
      </c>
      <c r="D1483" s="12" t="inlineStr">
        <is>
          <t>Motor 3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7 radiators (5)</t>
        </is>
      </c>
      <c r="B1484" s="12" t="inlineStr"/>
      <c r="C1484" s="12" t="inlineStr">
        <is>
          <t>I</t>
        </is>
      </c>
      <c r="D1484" s="12" t="inlineStr">
        <is>
          <t>Motor 4 of 5, 30 kW (VFD output)</t>
        </is>
      </c>
      <c r="E1484" s="12" t="n">
        <v>480</v>
      </c>
      <c r="F1484" s="12" t="n">
        <v>30</v>
      </c>
      <c r="G1484" s="12" t="n">
        <v>42</v>
      </c>
      <c r="H1484" s="12" t="inlineStr">
        <is>
          <t>PCM: power control module</t>
        </is>
      </c>
      <c r="I1484" s="12" t="inlineStr">
        <is>
          <t>LV 600 V</t>
        </is>
      </c>
      <c r="J1484" s="12" t="inlineStr">
        <is>
          <t>6</t>
        </is>
      </c>
      <c r="K1484" s="12" t="n">
        <v>1</v>
      </c>
    </row>
    <row r="1485">
      <c r="A1485" s="12" t="inlineStr">
        <is>
          <t>RICE 7 radiators (5)</t>
        </is>
      </c>
      <c r="B1485" s="12" t="inlineStr"/>
      <c r="C1485" s="12" t="inlineStr">
        <is>
          <t>I</t>
        </is>
      </c>
      <c r="D1485" s="12" t="inlineStr">
        <is>
          <t>Motor 5 of 5, 30 kW (VFD output)</t>
        </is>
      </c>
      <c r="E1485" s="12" t="n">
        <v>480</v>
      </c>
      <c r="F1485" s="12" t="n">
        <v>30</v>
      </c>
      <c r="G1485" s="12" t="n">
        <v>42</v>
      </c>
      <c r="H1485" s="12" t="inlineStr">
        <is>
          <t>PCM: power control module</t>
        </is>
      </c>
      <c r="I1485" s="12" t="inlineStr">
        <is>
          <t>LV 600 V</t>
        </is>
      </c>
      <c r="J1485" s="12" t="inlineStr">
        <is>
          <t>6</t>
        </is>
      </c>
      <c r="K1485" s="12" t="n">
        <v>1</v>
      </c>
    </row>
    <row r="1486">
      <c r="A1486" s="12" t="inlineStr">
        <is>
          <t>RICE 8 SCR + oxidation catalyst and stack</t>
        </is>
      </c>
      <c r="B1486" s="12" t="inlineStr"/>
      <c r="C1486" s="12" t="inlineStr">
        <is>
          <t>I</t>
        </is>
      </c>
      <c r="D1486" s="12" t="inlineStr">
        <is>
          <t>Motor 1 of 1, 15 kW</t>
        </is>
      </c>
      <c r="E1486" s="12" t="n">
        <v>480</v>
      </c>
      <c r="F1486" s="12" t="n">
        <v>15</v>
      </c>
      <c r="G1486" s="12" t="n">
        <v>21.2</v>
      </c>
      <c r="H1486" s="12" t="inlineStr">
        <is>
          <t>PCM: power control module</t>
        </is>
      </c>
      <c r="I1486" s="12" t="inlineStr">
        <is>
          <t>LV 600 V</t>
        </is>
      </c>
      <c r="J1486" s="12" t="inlineStr">
        <is>
          <t>8</t>
        </is>
      </c>
      <c r="K1486" s="12" t="n">
        <v>1</v>
      </c>
    </row>
    <row r="1487">
      <c r="A1487" s="12" t="inlineStr">
        <is>
          <t>RICE 8 SCR + oxidation catalyst and stack</t>
        </is>
      </c>
      <c r="B1487" s="12" t="inlineStr"/>
      <c r="C1487" s="12" t="inlineStr">
        <is>
          <t>I</t>
        </is>
      </c>
      <c r="D1487" s="12" t="inlineStr">
        <is>
          <t>Area / platform lighting circuit 1 (6 fixtures)</t>
        </is>
      </c>
      <c r="E1487" s="12" t="n">
        <v>480</v>
      </c>
      <c r="F1487" s="12" t="n">
        <v>3</v>
      </c>
      <c r="G1487" s="12" t="n">
        <v>5</v>
      </c>
      <c r="H1487" s="12" t="inlineStr">
        <is>
          <t>PCM: power control module</t>
        </is>
      </c>
      <c r="I1487" s="12" t="inlineStr">
        <is>
          <t>LV 600 V</t>
        </is>
      </c>
      <c r="J1487" s="12" t="inlineStr">
        <is>
          <t>10</t>
        </is>
      </c>
      <c r="K1487" s="12" t="n">
        <v>1</v>
      </c>
    </row>
    <row r="1488">
      <c r="A1488" s="12" t="inlineStr">
        <is>
          <t>RICE 8 radiators (5)</t>
        </is>
      </c>
      <c r="B1488" s="12" t="inlineStr"/>
      <c r="C1488" s="12" t="inlineStr">
        <is>
          <t>I</t>
        </is>
      </c>
      <c r="D1488" s="12" t="inlineStr">
        <is>
          <t>Motor 1 of 5, 30 kW (VFD output)</t>
        </is>
      </c>
      <c r="E1488" s="12" t="n">
        <v>480</v>
      </c>
      <c r="F1488" s="12" t="n">
        <v>30</v>
      </c>
      <c r="G1488" s="12" t="n">
        <v>42</v>
      </c>
      <c r="H1488" s="12" t="inlineStr">
        <is>
          <t>PCM: power control module</t>
        </is>
      </c>
      <c r="I1488" s="12" t="inlineStr">
        <is>
          <t>LV 600 V</t>
        </is>
      </c>
      <c r="J1488" s="12" t="inlineStr">
        <is>
          <t>6</t>
        </is>
      </c>
      <c r="K1488" s="12" t="n">
        <v>1</v>
      </c>
    </row>
    <row r="1489">
      <c r="A1489" s="12" t="inlineStr">
        <is>
          <t>RICE 8 radiators (5)</t>
        </is>
      </c>
      <c r="B1489" s="12" t="inlineStr"/>
      <c r="C1489" s="12" t="inlineStr">
        <is>
          <t>I</t>
        </is>
      </c>
      <c r="D1489" s="12" t="inlineStr">
        <is>
          <t>Motor 2 of 5, 30 kW (VFD output)</t>
        </is>
      </c>
      <c r="E1489" s="12" t="n">
        <v>480</v>
      </c>
      <c r="F1489" s="12" t="n">
        <v>30</v>
      </c>
      <c r="G1489" s="12" t="n">
        <v>42</v>
      </c>
      <c r="H1489" s="12" t="inlineStr">
        <is>
          <t>PCM: power control module</t>
        </is>
      </c>
      <c r="I1489" s="12" t="inlineStr">
        <is>
          <t>LV 600 V</t>
        </is>
      </c>
      <c r="J1489" s="12" t="inlineStr">
        <is>
          <t>6</t>
        </is>
      </c>
      <c r="K1489" s="12" t="n">
        <v>1</v>
      </c>
    </row>
    <row r="1490">
      <c r="A1490" s="12" t="inlineStr">
        <is>
          <t>RICE 8 radiators (5)</t>
        </is>
      </c>
      <c r="B1490" s="12" t="inlineStr"/>
      <c r="C1490" s="12" t="inlineStr">
        <is>
          <t>I</t>
        </is>
      </c>
      <c r="D1490" s="12" t="inlineStr">
        <is>
          <t>Motor 3 of 5, 30 kW (VFD output)</t>
        </is>
      </c>
      <c r="E1490" s="12" t="n">
        <v>480</v>
      </c>
      <c r="F1490" s="12" t="n">
        <v>30</v>
      </c>
      <c r="G1490" s="12" t="n">
        <v>42</v>
      </c>
      <c r="H1490" s="12" t="inlineStr">
        <is>
          <t>PCM: power control module</t>
        </is>
      </c>
      <c r="I1490" s="12" t="inlineStr">
        <is>
          <t>LV 600 V</t>
        </is>
      </c>
      <c r="J1490" s="12" t="inlineStr">
        <is>
          <t>6</t>
        </is>
      </c>
      <c r="K1490" s="12" t="n">
        <v>1</v>
      </c>
    </row>
    <row r="1491">
      <c r="A1491" s="12" t="inlineStr">
        <is>
          <t>RICE 8 radiators (5)</t>
        </is>
      </c>
      <c r="B1491" s="12" t="inlineStr"/>
      <c r="C1491" s="12" t="inlineStr">
        <is>
          <t>I</t>
        </is>
      </c>
      <c r="D1491" s="12" t="inlineStr">
        <is>
          <t>Motor 4 of 5, 30 kW (VFD output)</t>
        </is>
      </c>
      <c r="E1491" s="12" t="n">
        <v>480</v>
      </c>
      <c r="F1491" s="12" t="n">
        <v>30</v>
      </c>
      <c r="G1491" s="12" t="n">
        <v>42</v>
      </c>
      <c r="H1491" s="12" t="inlineStr">
        <is>
          <t>PCM: power control module</t>
        </is>
      </c>
      <c r="I1491" s="12" t="inlineStr">
        <is>
          <t>LV 600 V</t>
        </is>
      </c>
      <c r="J1491" s="12" t="inlineStr">
        <is>
          <t>6</t>
        </is>
      </c>
      <c r="K1491" s="12" t="n">
        <v>1</v>
      </c>
    </row>
    <row r="1492">
      <c r="A1492" s="12" t="inlineStr">
        <is>
          <t>RICE 8 radiators (5)</t>
        </is>
      </c>
      <c r="B1492" s="12" t="inlineStr"/>
      <c r="C1492" s="12" t="inlineStr">
        <is>
          <t>I</t>
        </is>
      </c>
      <c r="D1492" s="12" t="inlineStr">
        <is>
          <t>Motor 5 of 5, 30 kW (VFD output)</t>
        </is>
      </c>
      <c r="E1492" s="12" t="n">
        <v>480</v>
      </c>
      <c r="F1492" s="12" t="n">
        <v>30</v>
      </c>
      <c r="G1492" s="12" t="n">
        <v>42</v>
      </c>
      <c r="H1492" s="12" t="inlineStr">
        <is>
          <t>PCM: power control module</t>
        </is>
      </c>
      <c r="I1492" s="12" t="inlineStr">
        <is>
          <t>LV 600 V</t>
        </is>
      </c>
      <c r="J1492" s="12" t="inlineStr">
        <is>
          <t>6</t>
        </is>
      </c>
      <c r="K1492" s="12" t="n">
        <v>1</v>
      </c>
    </row>
    <row r="1493">
      <c r="A1493" s="12" t="inlineStr">
        <is>
          <t>RICE CEMS</t>
        </is>
      </c>
      <c r="B1493" s="12" t="inlineStr"/>
      <c r="C1493" s="12" t="inlineStr">
        <is>
          <t>I</t>
        </is>
      </c>
      <c r="D1493" s="12" t="inlineStr">
        <is>
          <t>LV panel / distribution feeder</t>
        </is>
      </c>
      <c r="E1493" s="12" t="n">
        <v>480</v>
      </c>
      <c r="F1493" s="12" t="n">
        <v>30</v>
      </c>
      <c r="G1493" s="12" t="n">
        <v>42.5</v>
      </c>
      <c r="H1493" s="12" t="inlineStr">
        <is>
          <t>PCM: power control module</t>
        </is>
      </c>
      <c r="I1493" s="12" t="inlineStr">
        <is>
          <t>LV 600 V</t>
        </is>
      </c>
      <c r="J1493" s="12" t="inlineStr">
        <is>
          <t>4</t>
        </is>
      </c>
      <c r="K1493" s="12" t="n">
        <v>1</v>
      </c>
    </row>
    <row r="1494">
      <c r="A1494" s="12" t="inlineStr">
        <is>
          <t>RICE engine hall (8 engines)</t>
        </is>
      </c>
      <c r="B1494" s="12" t="inlineStr">
        <is>
          <t>RICE</t>
        </is>
      </c>
      <c r="C1494" s="12" t="inlineStr">
        <is>
          <t>I</t>
        </is>
      </c>
      <c r="D1494" s="12" t="inlineStr">
        <is>
          <t>LV power feeder</t>
        </is>
      </c>
      <c r="E1494" s="12" t="n">
        <v>480</v>
      </c>
      <c r="F1494" s="12" t="n">
        <v>15</v>
      </c>
      <c r="G1494" s="12" t="n">
        <v>21.2</v>
      </c>
      <c r="H1494" s="12" t="inlineStr">
        <is>
          <t>PCM: power control module</t>
        </is>
      </c>
      <c r="I1494" s="12" t="inlineStr">
        <is>
          <t>LV 600 V</t>
        </is>
      </c>
      <c r="J1494" s="12" t="inlineStr">
        <is>
          <t>8</t>
        </is>
      </c>
      <c r="K1494" s="12" t="n">
        <v>1</v>
      </c>
    </row>
    <row r="1495">
      <c r="A1495" s="12" t="inlineStr">
        <is>
          <t>RICE engine-generator 1</t>
        </is>
      </c>
      <c r="B1495" s="12" t="inlineStr">
        <is>
          <t>RICE-1</t>
        </is>
      </c>
      <c r="C1495" s="12" t="inlineStr">
        <is>
          <t>I</t>
        </is>
      </c>
      <c r="D1495" s="12" t="inlineStr">
        <is>
          <t>Motor 1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1</t>
        </is>
      </c>
      <c r="B1496" s="12" t="inlineStr">
        <is>
          <t>RICE-1</t>
        </is>
      </c>
      <c r="C1496" s="12" t="inlineStr">
        <is>
          <t>I</t>
        </is>
      </c>
      <c r="D1496" s="12" t="inlineStr">
        <is>
          <t>Motor 2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1</t>
        </is>
      </c>
      <c r="B1497" s="12" t="inlineStr">
        <is>
          <t>RICE-1</t>
        </is>
      </c>
      <c r="C1497" s="12" t="inlineStr">
        <is>
          <t>I</t>
        </is>
      </c>
      <c r="D1497" s="12" t="inlineStr">
        <is>
          <t>Motor 3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1</t>
        </is>
      </c>
      <c r="B1498" s="12" t="inlineStr">
        <is>
          <t>RICE-1</t>
        </is>
      </c>
      <c r="C1498" s="12" t="inlineStr">
        <is>
          <t>I</t>
        </is>
      </c>
      <c r="D1498" s="12" t="inlineStr">
        <is>
          <t>Motor 4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1</t>
        </is>
      </c>
      <c r="B1499" s="12" t="inlineStr">
        <is>
          <t>RICE-1</t>
        </is>
      </c>
      <c r="C1499" s="12" t="inlineStr">
        <is>
          <t>I</t>
        </is>
      </c>
      <c r="D1499" s="12" t="inlineStr">
        <is>
          <t>Motor 5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1</t>
        </is>
      </c>
      <c r="B1500" s="12" t="inlineStr">
        <is>
          <t>RICE-1</t>
        </is>
      </c>
      <c r="C1500" s="12" t="inlineStr">
        <is>
          <t>I</t>
        </is>
      </c>
      <c r="D1500" s="12" t="inlineStr">
        <is>
          <t>Motor 6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1</t>
        </is>
      </c>
      <c r="B1501" s="12" t="inlineStr">
        <is>
          <t>RICE-1</t>
        </is>
      </c>
      <c r="C1501" s="12" t="inlineStr">
        <is>
          <t>I</t>
        </is>
      </c>
      <c r="D1501" s="12" t="inlineStr">
        <is>
          <t>480 V welding receptacle 1</t>
        </is>
      </c>
      <c r="E1501" s="12" t="n">
        <v>480</v>
      </c>
      <c r="F1501" s="12" t="n">
        <v>60</v>
      </c>
      <c r="G1501" s="12" t="n">
        <v>76</v>
      </c>
      <c r="H1501" s="12" t="inlineStr">
        <is>
          <t>PCM: power control module</t>
        </is>
      </c>
      <c r="I1501" s="12" t="inlineStr">
        <is>
          <t>LV 600 V</t>
        </is>
      </c>
      <c r="J1501" s="12" t="inlineStr">
        <is>
          <t>1/0</t>
        </is>
      </c>
      <c r="K1501" s="12" t="n">
        <v>1</v>
      </c>
    </row>
    <row r="1502">
      <c r="A1502" s="12" t="inlineStr">
        <is>
          <t>RICE engine-generator 1</t>
        </is>
      </c>
      <c r="B1502" s="12" t="inlineStr">
        <is>
          <t>RICE-1</t>
        </is>
      </c>
      <c r="C1502" s="12" t="inlineStr">
        <is>
          <t>I</t>
        </is>
      </c>
      <c r="D1502" s="12" t="inlineStr">
        <is>
          <t>480 V welding receptacle 2</t>
        </is>
      </c>
      <c r="E1502" s="12" t="n">
        <v>480</v>
      </c>
      <c r="F1502" s="12" t="n">
        <v>60</v>
      </c>
      <c r="G1502" s="12" t="n">
        <v>76</v>
      </c>
      <c r="H1502" s="12" t="inlineStr">
        <is>
          <t>PCM: power control module</t>
        </is>
      </c>
      <c r="I1502" s="12" t="inlineStr">
        <is>
          <t>LV 600 V</t>
        </is>
      </c>
      <c r="J1502" s="12" t="inlineStr">
        <is>
          <t>1/0</t>
        </is>
      </c>
      <c r="K1502" s="12" t="n">
        <v>1</v>
      </c>
    </row>
    <row r="1503">
      <c r="A1503" s="12" t="inlineStr">
        <is>
          <t>RICE engine-generator 1</t>
        </is>
      </c>
      <c r="B1503" s="12" t="inlineStr">
        <is>
          <t>RICE-1</t>
        </is>
      </c>
      <c r="C1503" s="12" t="inlineStr">
        <is>
          <t>I</t>
        </is>
      </c>
      <c r="D1503" s="12" t="inlineStr">
        <is>
          <t>480 V welding receptacle 3</t>
        </is>
      </c>
      <c r="E1503" s="12" t="n">
        <v>480</v>
      </c>
      <c r="F1503" s="12" t="n">
        <v>60</v>
      </c>
      <c r="G1503" s="12" t="n">
        <v>76</v>
      </c>
      <c r="H1503" s="12" t="inlineStr">
        <is>
          <t>PCM: power control module</t>
        </is>
      </c>
      <c r="I1503" s="12" t="inlineStr">
        <is>
          <t>LV 600 V</t>
        </is>
      </c>
      <c r="J1503" s="12" t="inlineStr">
        <is>
          <t>1/0</t>
        </is>
      </c>
      <c r="K1503" s="12" t="n">
        <v>1</v>
      </c>
    </row>
    <row r="1504">
      <c r="A1504" s="12" t="inlineStr">
        <is>
          <t>RICE engine-generator 1</t>
        </is>
      </c>
      <c r="B1504" s="12" t="inlineStr">
        <is>
          <t>RICE-1</t>
        </is>
      </c>
      <c r="C1504" s="12" t="inlineStr">
        <is>
          <t>I</t>
        </is>
      </c>
      <c r="D1504" s="12" t="inlineStr">
        <is>
          <t>480 V welding receptacle 4</t>
        </is>
      </c>
      <c r="E1504" s="12" t="n">
        <v>480</v>
      </c>
      <c r="F1504" s="12" t="n">
        <v>60</v>
      </c>
      <c r="G1504" s="12" t="n">
        <v>76</v>
      </c>
      <c r="H1504" s="12" t="inlineStr">
        <is>
          <t>PCM: power control module</t>
        </is>
      </c>
      <c r="I1504" s="12" t="inlineStr">
        <is>
          <t>LV 600 V</t>
        </is>
      </c>
      <c r="J1504" s="12" t="inlineStr">
        <is>
          <t>1/0</t>
        </is>
      </c>
      <c r="K1504" s="12" t="n">
        <v>1</v>
      </c>
    </row>
    <row r="1505">
      <c r="A1505" s="12" t="inlineStr">
        <is>
          <t>RICE engine-generator 2</t>
        </is>
      </c>
      <c r="B1505" s="12" t="inlineStr">
        <is>
          <t>RICE-2</t>
        </is>
      </c>
      <c r="C1505" s="12" t="inlineStr">
        <is>
          <t>I</t>
        </is>
      </c>
      <c r="D1505" s="12" t="inlineStr">
        <is>
          <t>Motor 1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2</t>
        </is>
      </c>
      <c r="B1506" s="12" t="inlineStr">
        <is>
          <t>RICE-2</t>
        </is>
      </c>
      <c r="C1506" s="12" t="inlineStr">
        <is>
          <t>I</t>
        </is>
      </c>
      <c r="D1506" s="12" t="inlineStr">
        <is>
          <t>Motor 2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2</t>
        </is>
      </c>
      <c r="B1507" s="12" t="inlineStr">
        <is>
          <t>RICE-2</t>
        </is>
      </c>
      <c r="C1507" s="12" t="inlineStr">
        <is>
          <t>I</t>
        </is>
      </c>
      <c r="D1507" s="12" t="inlineStr">
        <is>
          <t>Motor 3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2</t>
        </is>
      </c>
      <c r="B1508" s="12" t="inlineStr">
        <is>
          <t>RICE-2</t>
        </is>
      </c>
      <c r="C1508" s="12" t="inlineStr">
        <is>
          <t>I</t>
        </is>
      </c>
      <c r="D1508" s="12" t="inlineStr">
        <is>
          <t>Motor 4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2</t>
        </is>
      </c>
      <c r="B1509" s="12" t="inlineStr">
        <is>
          <t>RICE-2</t>
        </is>
      </c>
      <c r="C1509" s="12" t="inlineStr">
        <is>
          <t>I</t>
        </is>
      </c>
      <c r="D1509" s="12" t="inlineStr">
        <is>
          <t>Motor 5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2</t>
        </is>
      </c>
      <c r="B1510" s="12" t="inlineStr">
        <is>
          <t>RICE-2</t>
        </is>
      </c>
      <c r="C1510" s="12" t="inlineStr">
        <is>
          <t>I</t>
        </is>
      </c>
      <c r="D1510" s="12" t="inlineStr">
        <is>
          <t>Motor 6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2</t>
        </is>
      </c>
      <c r="B1511" s="12" t="inlineStr">
        <is>
          <t>RICE-2</t>
        </is>
      </c>
      <c r="C1511" s="12" t="inlineStr">
        <is>
          <t>I</t>
        </is>
      </c>
      <c r="D1511" s="12" t="inlineStr">
        <is>
          <t>480 V welding receptacle 1</t>
        </is>
      </c>
      <c r="E1511" s="12" t="n">
        <v>480</v>
      </c>
      <c r="F1511" s="12" t="n">
        <v>60</v>
      </c>
      <c r="G1511" s="12" t="n">
        <v>76</v>
      </c>
      <c r="H1511" s="12" t="inlineStr">
        <is>
          <t>PCM: power control module</t>
        </is>
      </c>
      <c r="I1511" s="12" t="inlineStr">
        <is>
          <t>LV 600 V</t>
        </is>
      </c>
      <c r="J1511" s="12" t="inlineStr">
        <is>
          <t>1/0</t>
        </is>
      </c>
      <c r="K1511" s="12" t="n">
        <v>1</v>
      </c>
    </row>
    <row r="1512">
      <c r="A1512" s="12" t="inlineStr">
        <is>
          <t>RICE engine-generator 2</t>
        </is>
      </c>
      <c r="B1512" s="12" t="inlineStr">
        <is>
          <t>RICE-2</t>
        </is>
      </c>
      <c r="C1512" s="12" t="inlineStr">
        <is>
          <t>I</t>
        </is>
      </c>
      <c r="D1512" s="12" t="inlineStr">
        <is>
          <t>480 V welding receptacle 2</t>
        </is>
      </c>
      <c r="E1512" s="12" t="n">
        <v>480</v>
      </c>
      <c r="F1512" s="12" t="n">
        <v>60</v>
      </c>
      <c r="G1512" s="12" t="n">
        <v>76</v>
      </c>
      <c r="H1512" s="12" t="inlineStr">
        <is>
          <t>PCM: power control module</t>
        </is>
      </c>
      <c r="I1512" s="12" t="inlineStr">
        <is>
          <t>LV 600 V</t>
        </is>
      </c>
      <c r="J1512" s="12" t="inlineStr">
        <is>
          <t>1/0</t>
        </is>
      </c>
      <c r="K1512" s="12" t="n">
        <v>1</v>
      </c>
    </row>
    <row r="1513">
      <c r="A1513" s="12" t="inlineStr">
        <is>
          <t>RICE engine-generator 2</t>
        </is>
      </c>
      <c r="B1513" s="12" t="inlineStr">
        <is>
          <t>RICE-2</t>
        </is>
      </c>
      <c r="C1513" s="12" t="inlineStr">
        <is>
          <t>I</t>
        </is>
      </c>
      <c r="D1513" s="12" t="inlineStr">
        <is>
          <t>480 V welding receptacle 3</t>
        </is>
      </c>
      <c r="E1513" s="12" t="n">
        <v>480</v>
      </c>
      <c r="F1513" s="12" t="n">
        <v>60</v>
      </c>
      <c r="G1513" s="12" t="n">
        <v>76</v>
      </c>
      <c r="H1513" s="12" t="inlineStr">
        <is>
          <t>PCM: power control module</t>
        </is>
      </c>
      <c r="I1513" s="12" t="inlineStr">
        <is>
          <t>LV 600 V</t>
        </is>
      </c>
      <c r="J1513" s="12" t="inlineStr">
        <is>
          <t>1/0</t>
        </is>
      </c>
      <c r="K1513" s="12" t="n">
        <v>1</v>
      </c>
    </row>
    <row r="1514">
      <c r="A1514" s="12" t="inlineStr">
        <is>
          <t>RICE engine-generator 2</t>
        </is>
      </c>
      <c r="B1514" s="12" t="inlineStr">
        <is>
          <t>RICE-2</t>
        </is>
      </c>
      <c r="C1514" s="12" t="inlineStr">
        <is>
          <t>I</t>
        </is>
      </c>
      <c r="D1514" s="12" t="inlineStr">
        <is>
          <t>480 V welding receptacle 4</t>
        </is>
      </c>
      <c r="E1514" s="12" t="n">
        <v>480</v>
      </c>
      <c r="F1514" s="12" t="n">
        <v>60</v>
      </c>
      <c r="G1514" s="12" t="n">
        <v>76</v>
      </c>
      <c r="H1514" s="12" t="inlineStr">
        <is>
          <t>PCM: power control module</t>
        </is>
      </c>
      <c r="I1514" s="12" t="inlineStr">
        <is>
          <t>LV 600 V</t>
        </is>
      </c>
      <c r="J1514" s="12" t="inlineStr">
        <is>
          <t>1/0</t>
        </is>
      </c>
      <c r="K1514" s="12" t="n">
        <v>1</v>
      </c>
    </row>
    <row r="1515">
      <c r="A1515" s="12" t="inlineStr">
        <is>
          <t>RICE engine-generator 3</t>
        </is>
      </c>
      <c r="B1515" s="12" t="inlineStr">
        <is>
          <t>RICE-3</t>
        </is>
      </c>
      <c r="C1515" s="12" t="inlineStr">
        <is>
          <t>I</t>
        </is>
      </c>
      <c r="D1515" s="12" t="inlineStr">
        <is>
          <t>Motor 1 of 6, 22 kW</t>
        </is>
      </c>
      <c r="E1515" s="12" t="n">
        <v>480</v>
      </c>
      <c r="F1515" s="12" t="n">
        <v>22</v>
      </c>
      <c r="G1515" s="12" t="n">
        <v>31.1</v>
      </c>
      <c r="H1515" s="12" t="inlineStr">
        <is>
          <t>PCM: power control module</t>
        </is>
      </c>
      <c r="I1515" s="12" t="inlineStr">
        <is>
          <t>LV 600 V</t>
        </is>
      </c>
      <c r="J1515" s="12" t="inlineStr">
        <is>
          <t>4</t>
        </is>
      </c>
      <c r="K1515" s="12" t="n">
        <v>1</v>
      </c>
    </row>
    <row r="1516">
      <c r="A1516" s="12" t="inlineStr">
        <is>
          <t>RICE engine-generator 3</t>
        </is>
      </c>
      <c r="B1516" s="12" t="inlineStr">
        <is>
          <t>RICE-3</t>
        </is>
      </c>
      <c r="C1516" s="12" t="inlineStr">
        <is>
          <t>I</t>
        </is>
      </c>
      <c r="D1516" s="12" t="inlineStr">
        <is>
          <t>Motor 2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3</t>
        </is>
      </c>
      <c r="B1517" s="12" t="inlineStr">
        <is>
          <t>RICE-3</t>
        </is>
      </c>
      <c r="C1517" s="12" t="inlineStr">
        <is>
          <t>I</t>
        </is>
      </c>
      <c r="D1517" s="12" t="inlineStr">
        <is>
          <t>Motor 3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3</t>
        </is>
      </c>
      <c r="B1518" s="12" t="inlineStr">
        <is>
          <t>RICE-3</t>
        </is>
      </c>
      <c r="C1518" s="12" t="inlineStr">
        <is>
          <t>I</t>
        </is>
      </c>
      <c r="D1518" s="12" t="inlineStr">
        <is>
          <t>Motor 4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3</t>
        </is>
      </c>
      <c r="B1519" s="12" t="inlineStr">
        <is>
          <t>RICE-3</t>
        </is>
      </c>
      <c r="C1519" s="12" t="inlineStr">
        <is>
          <t>I</t>
        </is>
      </c>
      <c r="D1519" s="12" t="inlineStr">
        <is>
          <t>Motor 5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3</t>
        </is>
      </c>
      <c r="B1520" s="12" t="inlineStr">
        <is>
          <t>RICE-3</t>
        </is>
      </c>
      <c r="C1520" s="12" t="inlineStr">
        <is>
          <t>I</t>
        </is>
      </c>
      <c r="D1520" s="12" t="inlineStr">
        <is>
          <t>Motor 6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3</t>
        </is>
      </c>
      <c r="B1521" s="12" t="inlineStr">
        <is>
          <t>RICE-3</t>
        </is>
      </c>
      <c r="C1521" s="12" t="inlineStr">
        <is>
          <t>I</t>
        </is>
      </c>
      <c r="D1521" s="12" t="inlineStr">
        <is>
          <t>480 V welding receptacle 1</t>
        </is>
      </c>
      <c r="E1521" s="12" t="n">
        <v>480</v>
      </c>
      <c r="F1521" s="12" t="n">
        <v>60</v>
      </c>
      <c r="G1521" s="12" t="n">
        <v>76</v>
      </c>
      <c r="H1521" s="12" t="inlineStr">
        <is>
          <t>PCM: power control module</t>
        </is>
      </c>
      <c r="I1521" s="12" t="inlineStr">
        <is>
          <t>LV 600 V</t>
        </is>
      </c>
      <c r="J1521" s="12" t="inlineStr">
        <is>
          <t>1</t>
        </is>
      </c>
      <c r="K1521" s="12" t="n">
        <v>1</v>
      </c>
    </row>
    <row r="1522">
      <c r="A1522" s="12" t="inlineStr">
        <is>
          <t>RICE engine-generator 3</t>
        </is>
      </c>
      <c r="B1522" s="12" t="inlineStr">
        <is>
          <t>RICE-3</t>
        </is>
      </c>
      <c r="C1522" s="12" t="inlineStr">
        <is>
          <t>I</t>
        </is>
      </c>
      <c r="D1522" s="12" t="inlineStr">
        <is>
          <t>480 V welding receptacle 2</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3</t>
        </is>
      </c>
      <c r="B1523" s="12" t="inlineStr">
        <is>
          <t>RICE-3</t>
        </is>
      </c>
      <c r="C1523" s="12" t="inlineStr">
        <is>
          <t>I</t>
        </is>
      </c>
      <c r="D1523" s="12" t="inlineStr">
        <is>
          <t>480 V welding receptacle 3</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3</t>
        </is>
      </c>
      <c r="B1524" s="12" t="inlineStr">
        <is>
          <t>RICE-3</t>
        </is>
      </c>
      <c r="C1524" s="12" t="inlineStr">
        <is>
          <t>I</t>
        </is>
      </c>
      <c r="D1524" s="12" t="inlineStr">
        <is>
          <t>480 V welding receptacle 4</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Motor 1 of 6, 22 kW</t>
        </is>
      </c>
      <c r="E1525" s="12" t="n">
        <v>480</v>
      </c>
      <c r="F1525" s="12" t="n">
        <v>22</v>
      </c>
      <c r="G1525" s="12" t="n">
        <v>31.1</v>
      </c>
      <c r="H1525" s="12" t="inlineStr">
        <is>
          <t>PCM: power control module</t>
        </is>
      </c>
      <c r="I1525" s="12" t="inlineStr">
        <is>
          <t>LV 600 V</t>
        </is>
      </c>
      <c r="J1525" s="12" t="inlineStr">
        <is>
          <t>4</t>
        </is>
      </c>
      <c r="K1525" s="12" t="n">
        <v>1</v>
      </c>
    </row>
    <row r="1526">
      <c r="A1526" s="12" t="inlineStr">
        <is>
          <t>RICE engine-generator 4</t>
        </is>
      </c>
      <c r="B1526" s="12" t="inlineStr">
        <is>
          <t>RICE-4</t>
        </is>
      </c>
      <c r="C1526" s="12" t="inlineStr">
        <is>
          <t>I</t>
        </is>
      </c>
      <c r="D1526" s="12" t="inlineStr">
        <is>
          <t>Motor 2 of 6, 22 kW</t>
        </is>
      </c>
      <c r="E1526" s="12" t="n">
        <v>480</v>
      </c>
      <c r="F1526" s="12" t="n">
        <v>22</v>
      </c>
      <c r="G1526" s="12" t="n">
        <v>31.1</v>
      </c>
      <c r="H1526" s="12" t="inlineStr">
        <is>
          <t>PCM: power control module</t>
        </is>
      </c>
      <c r="I1526" s="12" t="inlineStr">
        <is>
          <t>LV 600 V</t>
        </is>
      </c>
      <c r="J1526" s="12" t="inlineStr">
        <is>
          <t>4</t>
        </is>
      </c>
      <c r="K1526" s="12" t="n">
        <v>1</v>
      </c>
    </row>
    <row r="1527">
      <c r="A1527" s="12" t="inlineStr">
        <is>
          <t>RICE engine-generator 4</t>
        </is>
      </c>
      <c r="B1527" s="12" t="inlineStr">
        <is>
          <t>RICE-4</t>
        </is>
      </c>
      <c r="C1527" s="12" t="inlineStr">
        <is>
          <t>I</t>
        </is>
      </c>
      <c r="D1527" s="12" t="inlineStr">
        <is>
          <t>Motor 3 of 6, 22 kW</t>
        </is>
      </c>
      <c r="E1527" s="12" t="n">
        <v>480</v>
      </c>
      <c r="F1527" s="12" t="n">
        <v>22</v>
      </c>
      <c r="G1527" s="12" t="n">
        <v>31.1</v>
      </c>
      <c r="H1527" s="12" t="inlineStr">
        <is>
          <t>PCM: power control module</t>
        </is>
      </c>
      <c r="I1527" s="12" t="inlineStr">
        <is>
          <t>LV 600 V</t>
        </is>
      </c>
      <c r="J1527" s="12" t="inlineStr">
        <is>
          <t>4</t>
        </is>
      </c>
      <c r="K1527" s="12" t="n">
        <v>1</v>
      </c>
    </row>
    <row r="1528">
      <c r="A1528" s="12" t="inlineStr">
        <is>
          <t>RICE engine-generator 4</t>
        </is>
      </c>
      <c r="B1528" s="12" t="inlineStr">
        <is>
          <t>RICE-4</t>
        </is>
      </c>
      <c r="C1528" s="12" t="inlineStr">
        <is>
          <t>I</t>
        </is>
      </c>
      <c r="D1528" s="12" t="inlineStr">
        <is>
          <t>Motor 4 of 6, 22 kW</t>
        </is>
      </c>
      <c r="E1528" s="12" t="n">
        <v>480</v>
      </c>
      <c r="F1528" s="12" t="n">
        <v>22</v>
      </c>
      <c r="G1528" s="12" t="n">
        <v>31.1</v>
      </c>
      <c r="H1528" s="12" t="inlineStr">
        <is>
          <t>PCM: power control module</t>
        </is>
      </c>
      <c r="I1528" s="12" t="inlineStr">
        <is>
          <t>LV 600 V</t>
        </is>
      </c>
      <c r="J1528" s="12" t="inlineStr">
        <is>
          <t>4</t>
        </is>
      </c>
      <c r="K1528" s="12" t="n">
        <v>1</v>
      </c>
    </row>
    <row r="1529">
      <c r="A1529" s="12" t="inlineStr">
        <is>
          <t>RICE engine-generator 4</t>
        </is>
      </c>
      <c r="B1529" s="12" t="inlineStr">
        <is>
          <t>RICE-4</t>
        </is>
      </c>
      <c r="C1529" s="12" t="inlineStr">
        <is>
          <t>I</t>
        </is>
      </c>
      <c r="D1529" s="12" t="inlineStr">
        <is>
          <t>Motor 5 of 6, 22 kW</t>
        </is>
      </c>
      <c r="E1529" s="12" t="n">
        <v>480</v>
      </c>
      <c r="F1529" s="12" t="n">
        <v>22</v>
      </c>
      <c r="G1529" s="12" t="n">
        <v>31.1</v>
      </c>
      <c r="H1529" s="12" t="inlineStr">
        <is>
          <t>PCM: power control module</t>
        </is>
      </c>
      <c r="I1529" s="12" t="inlineStr">
        <is>
          <t>LV 600 V</t>
        </is>
      </c>
      <c r="J1529" s="12" t="inlineStr">
        <is>
          <t>4</t>
        </is>
      </c>
      <c r="K1529" s="12" t="n">
        <v>1</v>
      </c>
    </row>
    <row r="1530">
      <c r="A1530" s="12" t="inlineStr">
        <is>
          <t>RICE engine-generator 4</t>
        </is>
      </c>
      <c r="B1530" s="12" t="inlineStr">
        <is>
          <t>RICE-4</t>
        </is>
      </c>
      <c r="C1530" s="12" t="inlineStr">
        <is>
          <t>I</t>
        </is>
      </c>
      <c r="D1530" s="12" t="inlineStr">
        <is>
          <t>Motor 6 of 6, 22 kW</t>
        </is>
      </c>
      <c r="E1530" s="12" t="n">
        <v>480</v>
      </c>
      <c r="F1530" s="12" t="n">
        <v>22</v>
      </c>
      <c r="G1530" s="12" t="n">
        <v>31.1</v>
      </c>
      <c r="H1530" s="12" t="inlineStr">
        <is>
          <t>PCM: power control module</t>
        </is>
      </c>
      <c r="I1530" s="12" t="inlineStr">
        <is>
          <t>LV 600 V</t>
        </is>
      </c>
      <c r="J1530" s="12" t="inlineStr">
        <is>
          <t>4</t>
        </is>
      </c>
      <c r="K1530" s="12" t="n">
        <v>1</v>
      </c>
    </row>
    <row r="1531">
      <c r="A1531" s="12" t="inlineStr">
        <is>
          <t>RICE engine-generator 4</t>
        </is>
      </c>
      <c r="B1531" s="12" t="inlineStr">
        <is>
          <t>RICE-4</t>
        </is>
      </c>
      <c r="C1531" s="12" t="inlineStr">
        <is>
          <t>I</t>
        </is>
      </c>
      <c r="D1531" s="12" t="inlineStr">
        <is>
          <t>480 V welding receptacle 1</t>
        </is>
      </c>
      <c r="E1531" s="12" t="n">
        <v>480</v>
      </c>
      <c r="F1531" s="12" t="n">
        <v>60</v>
      </c>
      <c r="G1531" s="12" t="n">
        <v>76</v>
      </c>
      <c r="H1531" s="12" t="inlineStr">
        <is>
          <t>PCM: power control module</t>
        </is>
      </c>
      <c r="I1531" s="12" t="inlineStr">
        <is>
          <t>LV 600 V</t>
        </is>
      </c>
      <c r="J1531" s="12" t="inlineStr">
        <is>
          <t>1</t>
        </is>
      </c>
      <c r="K1531" s="12" t="n">
        <v>1</v>
      </c>
    </row>
    <row r="1532">
      <c r="A1532" s="12" t="inlineStr">
        <is>
          <t>RICE engine-generator 4</t>
        </is>
      </c>
      <c r="B1532" s="12" t="inlineStr">
        <is>
          <t>RICE-4</t>
        </is>
      </c>
      <c r="C1532" s="12" t="inlineStr">
        <is>
          <t>I</t>
        </is>
      </c>
      <c r="D1532" s="12" t="inlineStr">
        <is>
          <t>480 V welding receptacle 2</t>
        </is>
      </c>
      <c r="E1532" s="12" t="n">
        <v>480</v>
      </c>
      <c r="F1532" s="12" t="n">
        <v>60</v>
      </c>
      <c r="G1532" s="12" t="n">
        <v>76</v>
      </c>
      <c r="H1532" s="12" t="inlineStr">
        <is>
          <t>PCM: power control module</t>
        </is>
      </c>
      <c r="I1532" s="12" t="inlineStr">
        <is>
          <t>LV 600 V</t>
        </is>
      </c>
      <c r="J1532" s="12" t="inlineStr">
        <is>
          <t>1</t>
        </is>
      </c>
      <c r="K1532" s="12" t="n">
        <v>1</v>
      </c>
    </row>
    <row r="1533">
      <c r="A1533" s="12" t="inlineStr">
        <is>
          <t>RICE engine-generator 4</t>
        </is>
      </c>
      <c r="B1533" s="12" t="inlineStr">
        <is>
          <t>RICE-4</t>
        </is>
      </c>
      <c r="C1533" s="12" t="inlineStr">
        <is>
          <t>I</t>
        </is>
      </c>
      <c r="D1533" s="12" t="inlineStr">
        <is>
          <t>480 V welding receptacle 3</t>
        </is>
      </c>
      <c r="E1533" s="12" t="n">
        <v>480</v>
      </c>
      <c r="F1533" s="12" t="n">
        <v>60</v>
      </c>
      <c r="G1533" s="12" t="n">
        <v>76</v>
      </c>
      <c r="H1533" s="12" t="inlineStr">
        <is>
          <t>PCM: power control module</t>
        </is>
      </c>
      <c r="I1533" s="12" t="inlineStr">
        <is>
          <t>LV 600 V</t>
        </is>
      </c>
      <c r="J1533" s="12" t="inlineStr">
        <is>
          <t>1</t>
        </is>
      </c>
      <c r="K1533" s="12" t="n">
        <v>1</v>
      </c>
    </row>
    <row r="1534">
      <c r="A1534" s="12" t="inlineStr">
        <is>
          <t>RICE engine-generator 4</t>
        </is>
      </c>
      <c r="B1534" s="12" t="inlineStr">
        <is>
          <t>RICE-4</t>
        </is>
      </c>
      <c r="C1534" s="12" t="inlineStr">
        <is>
          <t>I</t>
        </is>
      </c>
      <c r="D1534" s="12" t="inlineStr">
        <is>
          <t>480 V welding receptacle 4</t>
        </is>
      </c>
      <c r="E1534" s="12" t="n">
        <v>480</v>
      </c>
      <c r="F1534" s="12" t="n">
        <v>60</v>
      </c>
      <c r="G1534" s="12" t="n">
        <v>76</v>
      </c>
      <c r="H1534" s="12" t="inlineStr">
        <is>
          <t>PCM: power control module</t>
        </is>
      </c>
      <c r="I1534" s="12" t="inlineStr">
        <is>
          <t>LV 600 V</t>
        </is>
      </c>
      <c r="J1534" s="12" t="inlineStr">
        <is>
          <t>1</t>
        </is>
      </c>
      <c r="K1534" s="12" t="n">
        <v>1</v>
      </c>
    </row>
    <row r="1535">
      <c r="A1535" s="12" t="inlineStr">
        <is>
          <t>RICE engine-generator 5</t>
        </is>
      </c>
      <c r="B1535" s="12" t="inlineStr">
        <is>
          <t>RICE-5</t>
        </is>
      </c>
      <c r="C1535" s="12" t="inlineStr">
        <is>
          <t>I</t>
        </is>
      </c>
      <c r="D1535" s="12" t="inlineStr">
        <is>
          <t>Motor 1 of 6, 22 kW</t>
        </is>
      </c>
      <c r="E1535" s="12" t="n">
        <v>480</v>
      </c>
      <c r="F1535" s="12" t="n">
        <v>22</v>
      </c>
      <c r="G1535" s="12" t="n">
        <v>31.1</v>
      </c>
      <c r="H1535" s="12" t="inlineStr">
        <is>
          <t>PCM: power control module</t>
        </is>
      </c>
      <c r="I1535" s="12" t="inlineStr">
        <is>
          <t>LV 600 V</t>
        </is>
      </c>
      <c r="J1535" s="12" t="inlineStr">
        <is>
          <t>4</t>
        </is>
      </c>
      <c r="K1535" s="12" t="n">
        <v>1</v>
      </c>
    </row>
    <row r="1536">
      <c r="A1536" s="12" t="inlineStr">
        <is>
          <t>RICE engine-generator 5</t>
        </is>
      </c>
      <c r="B1536" s="12" t="inlineStr">
        <is>
          <t>RICE-5</t>
        </is>
      </c>
      <c r="C1536" s="12" t="inlineStr">
        <is>
          <t>I</t>
        </is>
      </c>
      <c r="D1536" s="12" t="inlineStr">
        <is>
          <t>Motor 2 of 6, 22 kW</t>
        </is>
      </c>
      <c r="E1536" s="12" t="n">
        <v>480</v>
      </c>
      <c r="F1536" s="12" t="n">
        <v>22</v>
      </c>
      <c r="G1536" s="12" t="n">
        <v>31.1</v>
      </c>
      <c r="H1536" s="12" t="inlineStr">
        <is>
          <t>PCM: power control module</t>
        </is>
      </c>
      <c r="I1536" s="12" t="inlineStr">
        <is>
          <t>LV 600 V</t>
        </is>
      </c>
      <c r="J1536" s="12" t="inlineStr">
        <is>
          <t>4</t>
        </is>
      </c>
      <c r="K1536" s="12" t="n">
        <v>1</v>
      </c>
    </row>
    <row r="1537">
      <c r="A1537" s="12" t="inlineStr">
        <is>
          <t>RICE engine-generator 5</t>
        </is>
      </c>
      <c r="B1537" s="12" t="inlineStr">
        <is>
          <t>RICE-5</t>
        </is>
      </c>
      <c r="C1537" s="12" t="inlineStr">
        <is>
          <t>I</t>
        </is>
      </c>
      <c r="D1537" s="12" t="inlineStr">
        <is>
          <t>Motor 3 of 6, 22 kW</t>
        </is>
      </c>
      <c r="E1537" s="12" t="n">
        <v>480</v>
      </c>
      <c r="F1537" s="12" t="n">
        <v>22</v>
      </c>
      <c r="G1537" s="12" t="n">
        <v>31.1</v>
      </c>
      <c r="H1537" s="12" t="inlineStr">
        <is>
          <t>PCM: power control module</t>
        </is>
      </c>
      <c r="I1537" s="12" t="inlineStr">
        <is>
          <t>LV 600 V</t>
        </is>
      </c>
      <c r="J1537" s="12" t="inlineStr">
        <is>
          <t>4</t>
        </is>
      </c>
      <c r="K1537" s="12" t="n">
        <v>1</v>
      </c>
    </row>
    <row r="1538">
      <c r="A1538" s="12" t="inlineStr">
        <is>
          <t>RICE engine-generator 5</t>
        </is>
      </c>
      <c r="B1538" s="12" t="inlineStr">
        <is>
          <t>RICE-5</t>
        </is>
      </c>
      <c r="C1538" s="12" t="inlineStr">
        <is>
          <t>I</t>
        </is>
      </c>
      <c r="D1538" s="12" t="inlineStr">
        <is>
          <t>Motor 4 of 6, 22 kW</t>
        </is>
      </c>
      <c r="E1538" s="12" t="n">
        <v>480</v>
      </c>
      <c r="F1538" s="12" t="n">
        <v>22</v>
      </c>
      <c r="G1538" s="12" t="n">
        <v>31.1</v>
      </c>
      <c r="H1538" s="12" t="inlineStr">
        <is>
          <t>PCM: power control module</t>
        </is>
      </c>
      <c r="I1538" s="12" t="inlineStr">
        <is>
          <t>LV 600 V</t>
        </is>
      </c>
      <c r="J1538" s="12" t="inlineStr">
        <is>
          <t>4</t>
        </is>
      </c>
      <c r="K1538" s="12" t="n">
        <v>1</v>
      </c>
    </row>
    <row r="1539">
      <c r="A1539" s="12" t="inlineStr">
        <is>
          <t>RICE engine-generator 5</t>
        </is>
      </c>
      <c r="B1539" s="12" t="inlineStr">
        <is>
          <t>RICE-5</t>
        </is>
      </c>
      <c r="C1539" s="12" t="inlineStr">
        <is>
          <t>I</t>
        </is>
      </c>
      <c r="D1539" s="12" t="inlineStr">
        <is>
          <t>Motor 5 of 6, 22 kW</t>
        </is>
      </c>
      <c r="E1539" s="12" t="n">
        <v>480</v>
      </c>
      <c r="F1539" s="12" t="n">
        <v>22</v>
      </c>
      <c r="G1539" s="12" t="n">
        <v>31.1</v>
      </c>
      <c r="H1539" s="12" t="inlineStr">
        <is>
          <t>PCM: power control module</t>
        </is>
      </c>
      <c r="I1539" s="12" t="inlineStr">
        <is>
          <t>LV 600 V</t>
        </is>
      </c>
      <c r="J1539" s="12" t="inlineStr">
        <is>
          <t>4</t>
        </is>
      </c>
      <c r="K1539" s="12" t="n">
        <v>1</v>
      </c>
    </row>
    <row r="1540">
      <c r="A1540" s="12" t="inlineStr">
        <is>
          <t>RICE engine-generator 5</t>
        </is>
      </c>
      <c r="B1540" s="12" t="inlineStr">
        <is>
          <t>RICE-5</t>
        </is>
      </c>
      <c r="C1540" s="12" t="inlineStr">
        <is>
          <t>I</t>
        </is>
      </c>
      <c r="D1540" s="12" t="inlineStr">
        <is>
          <t>Motor 6 of 6, 22 kW</t>
        </is>
      </c>
      <c r="E1540" s="12" t="n">
        <v>480</v>
      </c>
      <c r="F1540" s="12" t="n">
        <v>22</v>
      </c>
      <c r="G1540" s="12" t="n">
        <v>31.1</v>
      </c>
      <c r="H1540" s="12" t="inlineStr">
        <is>
          <t>PCM: power control module</t>
        </is>
      </c>
      <c r="I1540" s="12" t="inlineStr">
        <is>
          <t>LV 600 V</t>
        </is>
      </c>
      <c r="J1540" s="12" t="inlineStr">
        <is>
          <t>4</t>
        </is>
      </c>
      <c r="K1540" s="12" t="n">
        <v>1</v>
      </c>
    </row>
    <row r="1541">
      <c r="A1541" s="12" t="inlineStr">
        <is>
          <t>RICE engine-generator 5</t>
        </is>
      </c>
      <c r="B1541" s="12" t="inlineStr">
        <is>
          <t>RICE-5</t>
        </is>
      </c>
      <c r="C1541" s="12" t="inlineStr">
        <is>
          <t>I</t>
        </is>
      </c>
      <c r="D1541" s="12" t="inlineStr">
        <is>
          <t>480 V welding receptacle 1</t>
        </is>
      </c>
      <c r="E1541" s="12" t="n">
        <v>480</v>
      </c>
      <c r="F1541" s="12" t="n">
        <v>60</v>
      </c>
      <c r="G1541" s="12" t="n">
        <v>76</v>
      </c>
      <c r="H1541" s="12" t="inlineStr">
        <is>
          <t>PCM: power control module</t>
        </is>
      </c>
      <c r="I1541" s="12" t="inlineStr">
        <is>
          <t>LV 600 V</t>
        </is>
      </c>
      <c r="J1541" s="12" t="inlineStr">
        <is>
          <t>1</t>
        </is>
      </c>
      <c r="K1541" s="12" t="n">
        <v>1</v>
      </c>
    </row>
    <row r="1542">
      <c r="A1542" s="12" t="inlineStr">
        <is>
          <t>RICE engine-generator 5</t>
        </is>
      </c>
      <c r="B1542" s="12" t="inlineStr">
        <is>
          <t>RICE-5</t>
        </is>
      </c>
      <c r="C1542" s="12" t="inlineStr">
        <is>
          <t>I</t>
        </is>
      </c>
      <c r="D1542" s="12" t="inlineStr">
        <is>
          <t>480 V welding receptacle 2</t>
        </is>
      </c>
      <c r="E1542" s="12" t="n">
        <v>480</v>
      </c>
      <c r="F1542" s="12" t="n">
        <v>60</v>
      </c>
      <c r="G1542" s="12" t="n">
        <v>76</v>
      </c>
      <c r="H1542" s="12" t="inlineStr">
        <is>
          <t>PCM: power control module</t>
        </is>
      </c>
      <c r="I1542" s="12" t="inlineStr">
        <is>
          <t>LV 600 V</t>
        </is>
      </c>
      <c r="J1542" s="12" t="inlineStr">
        <is>
          <t>1</t>
        </is>
      </c>
      <c r="K1542" s="12" t="n">
        <v>1</v>
      </c>
    </row>
    <row r="1543">
      <c r="A1543" s="12" t="inlineStr">
        <is>
          <t>RICE engine-generator 5</t>
        </is>
      </c>
      <c r="B1543" s="12" t="inlineStr">
        <is>
          <t>RICE-5</t>
        </is>
      </c>
      <c r="C1543" s="12" t="inlineStr">
        <is>
          <t>I</t>
        </is>
      </c>
      <c r="D1543" s="12" t="inlineStr">
        <is>
          <t>480 V welding receptacle 3</t>
        </is>
      </c>
      <c r="E1543" s="12" t="n">
        <v>480</v>
      </c>
      <c r="F1543" s="12" t="n">
        <v>60</v>
      </c>
      <c r="G1543" s="12" t="n">
        <v>76</v>
      </c>
      <c r="H1543" s="12" t="inlineStr">
        <is>
          <t>PCM: power control module</t>
        </is>
      </c>
      <c r="I1543" s="12" t="inlineStr">
        <is>
          <t>LV 600 V</t>
        </is>
      </c>
      <c r="J1543" s="12" t="inlineStr">
        <is>
          <t>1</t>
        </is>
      </c>
      <c r="K1543" s="12" t="n">
        <v>1</v>
      </c>
    </row>
    <row r="1544">
      <c r="A1544" s="12" t="inlineStr">
        <is>
          <t>RICE engine-generator 5</t>
        </is>
      </c>
      <c r="B1544" s="12" t="inlineStr">
        <is>
          <t>RICE-5</t>
        </is>
      </c>
      <c r="C1544" s="12" t="inlineStr">
        <is>
          <t>I</t>
        </is>
      </c>
      <c r="D1544" s="12" t="inlineStr">
        <is>
          <t>480 V welding receptacle 4</t>
        </is>
      </c>
      <c r="E1544" s="12" t="n">
        <v>480</v>
      </c>
      <c r="F1544" s="12" t="n">
        <v>60</v>
      </c>
      <c r="G1544" s="12" t="n">
        <v>76</v>
      </c>
      <c r="H1544" s="12" t="inlineStr">
        <is>
          <t>PCM: power control module</t>
        </is>
      </c>
      <c r="I1544" s="12" t="inlineStr">
        <is>
          <t>LV 600 V</t>
        </is>
      </c>
      <c r="J1544" s="12" t="inlineStr">
        <is>
          <t>1</t>
        </is>
      </c>
      <c r="K1544" s="12" t="n">
        <v>1</v>
      </c>
    </row>
    <row r="1545">
      <c r="A1545" s="12" t="inlineStr">
        <is>
          <t>RICE engine-generator 6</t>
        </is>
      </c>
      <c r="B1545" s="12" t="inlineStr">
        <is>
          <t>RICE-6</t>
        </is>
      </c>
      <c r="C1545" s="12" t="inlineStr">
        <is>
          <t>I</t>
        </is>
      </c>
      <c r="D1545" s="12" t="inlineStr">
        <is>
          <t>Motor 1 of 6, 22 kW</t>
        </is>
      </c>
      <c r="E1545" s="12" t="n">
        <v>480</v>
      </c>
      <c r="F1545" s="12" t="n">
        <v>22</v>
      </c>
      <c r="G1545" s="12" t="n">
        <v>31.1</v>
      </c>
      <c r="H1545" s="12" t="inlineStr">
        <is>
          <t>PCM: power control module</t>
        </is>
      </c>
      <c r="I1545" s="12" t="inlineStr">
        <is>
          <t>LV 600 V</t>
        </is>
      </c>
      <c r="J1545" s="12" t="inlineStr">
        <is>
          <t>4</t>
        </is>
      </c>
      <c r="K1545" s="12" t="n">
        <v>1</v>
      </c>
    </row>
    <row r="1546">
      <c r="A1546" s="12" t="inlineStr">
        <is>
          <t>RICE engine-generator 6</t>
        </is>
      </c>
      <c r="B1546" s="12" t="inlineStr">
        <is>
          <t>RICE-6</t>
        </is>
      </c>
      <c r="C1546" s="12" t="inlineStr">
        <is>
          <t>I</t>
        </is>
      </c>
      <c r="D1546" s="12" t="inlineStr">
        <is>
          <t>Motor 2 of 6, 22 kW</t>
        </is>
      </c>
      <c r="E1546" s="12" t="n">
        <v>480</v>
      </c>
      <c r="F1546" s="12" t="n">
        <v>22</v>
      </c>
      <c r="G1546" s="12" t="n">
        <v>31.1</v>
      </c>
      <c r="H1546" s="12" t="inlineStr">
        <is>
          <t>PCM: power control module</t>
        </is>
      </c>
      <c r="I1546" s="12" t="inlineStr">
        <is>
          <t>LV 600 V</t>
        </is>
      </c>
      <c r="J1546" s="12" t="inlineStr">
        <is>
          <t>4</t>
        </is>
      </c>
      <c r="K1546" s="12" t="n">
        <v>1</v>
      </c>
    </row>
    <row r="1547">
      <c r="A1547" s="12" t="inlineStr">
        <is>
          <t>RICE engine-generator 6</t>
        </is>
      </c>
      <c r="B1547" s="12" t="inlineStr">
        <is>
          <t>RICE-6</t>
        </is>
      </c>
      <c r="C1547" s="12" t="inlineStr">
        <is>
          <t>I</t>
        </is>
      </c>
      <c r="D1547" s="12" t="inlineStr">
        <is>
          <t>Motor 3 of 6, 22 kW</t>
        </is>
      </c>
      <c r="E1547" s="12" t="n">
        <v>480</v>
      </c>
      <c r="F1547" s="12" t="n">
        <v>22</v>
      </c>
      <c r="G1547" s="12" t="n">
        <v>31.1</v>
      </c>
      <c r="H1547" s="12" t="inlineStr">
        <is>
          <t>PCM: power control module</t>
        </is>
      </c>
      <c r="I1547" s="12" t="inlineStr">
        <is>
          <t>LV 600 V</t>
        </is>
      </c>
      <c r="J1547" s="12" t="inlineStr">
        <is>
          <t>4</t>
        </is>
      </c>
      <c r="K1547" s="12" t="n">
        <v>1</v>
      </c>
    </row>
    <row r="1548">
      <c r="A1548" s="12" t="inlineStr">
        <is>
          <t>RICE engine-generator 6</t>
        </is>
      </c>
      <c r="B1548" s="12" t="inlineStr">
        <is>
          <t>RICE-6</t>
        </is>
      </c>
      <c r="C1548" s="12" t="inlineStr">
        <is>
          <t>I</t>
        </is>
      </c>
      <c r="D1548" s="12" t="inlineStr">
        <is>
          <t>Motor 4 of 6, 22 kW</t>
        </is>
      </c>
      <c r="E1548" s="12" t="n">
        <v>480</v>
      </c>
      <c r="F1548" s="12" t="n">
        <v>22</v>
      </c>
      <c r="G1548" s="12" t="n">
        <v>31.1</v>
      </c>
      <c r="H1548" s="12" t="inlineStr">
        <is>
          <t>PCM: power control module</t>
        </is>
      </c>
      <c r="I1548" s="12" t="inlineStr">
        <is>
          <t>LV 600 V</t>
        </is>
      </c>
      <c r="J1548" s="12" t="inlineStr">
        <is>
          <t>4</t>
        </is>
      </c>
      <c r="K1548" s="12" t="n">
        <v>1</v>
      </c>
    </row>
    <row r="1549">
      <c r="A1549" s="12" t="inlineStr">
        <is>
          <t>RICE engine-generator 6</t>
        </is>
      </c>
      <c r="B1549" s="12" t="inlineStr">
        <is>
          <t>RICE-6</t>
        </is>
      </c>
      <c r="C1549" s="12" t="inlineStr">
        <is>
          <t>I</t>
        </is>
      </c>
      <c r="D1549" s="12" t="inlineStr">
        <is>
          <t>Motor 5 of 6, 22 kW</t>
        </is>
      </c>
      <c r="E1549" s="12" t="n">
        <v>480</v>
      </c>
      <c r="F1549" s="12" t="n">
        <v>22</v>
      </c>
      <c r="G1549" s="12" t="n">
        <v>31.1</v>
      </c>
      <c r="H1549" s="12" t="inlineStr">
        <is>
          <t>PCM: power control module</t>
        </is>
      </c>
      <c r="I1549" s="12" t="inlineStr">
        <is>
          <t>LV 600 V</t>
        </is>
      </c>
      <c r="J1549" s="12" t="inlineStr">
        <is>
          <t>4</t>
        </is>
      </c>
      <c r="K1549" s="12" t="n">
        <v>1</v>
      </c>
    </row>
    <row r="1550">
      <c r="A1550" s="12" t="inlineStr">
        <is>
          <t>RICE engine-generator 6</t>
        </is>
      </c>
      <c r="B1550" s="12" t="inlineStr">
        <is>
          <t>RICE-6</t>
        </is>
      </c>
      <c r="C1550" s="12" t="inlineStr">
        <is>
          <t>I</t>
        </is>
      </c>
      <c r="D1550" s="12" t="inlineStr">
        <is>
          <t>Motor 6 of 6, 22 kW</t>
        </is>
      </c>
      <c r="E1550" s="12" t="n">
        <v>480</v>
      </c>
      <c r="F1550" s="12" t="n">
        <v>22</v>
      </c>
      <c r="G1550" s="12" t="n">
        <v>31.1</v>
      </c>
      <c r="H1550" s="12" t="inlineStr">
        <is>
          <t>PCM: power control module</t>
        </is>
      </c>
      <c r="I1550" s="12" t="inlineStr">
        <is>
          <t>LV 600 V</t>
        </is>
      </c>
      <c r="J1550" s="12" t="inlineStr">
        <is>
          <t>4</t>
        </is>
      </c>
      <c r="K1550" s="12" t="n">
        <v>1</v>
      </c>
    </row>
    <row r="1551">
      <c r="A1551" s="12" t="inlineStr">
        <is>
          <t>RICE engine-generator 6</t>
        </is>
      </c>
      <c r="B1551" s="12" t="inlineStr">
        <is>
          <t>RICE-6</t>
        </is>
      </c>
      <c r="C1551" s="12" t="inlineStr">
        <is>
          <t>I</t>
        </is>
      </c>
      <c r="D1551" s="12" t="inlineStr">
        <is>
          <t>480 V welding receptacle 1</t>
        </is>
      </c>
      <c r="E1551" s="12" t="n">
        <v>480</v>
      </c>
      <c r="F1551" s="12" t="n">
        <v>60</v>
      </c>
      <c r="G1551" s="12" t="n">
        <v>76</v>
      </c>
      <c r="H1551" s="12" t="inlineStr">
        <is>
          <t>PCM: power control module</t>
        </is>
      </c>
      <c r="I1551" s="12" t="inlineStr">
        <is>
          <t>LV 600 V</t>
        </is>
      </c>
      <c r="J1551" s="12" t="inlineStr">
        <is>
          <t>1</t>
        </is>
      </c>
      <c r="K1551" s="12" t="n">
        <v>1</v>
      </c>
    </row>
    <row r="1552">
      <c r="A1552" s="12" t="inlineStr">
        <is>
          <t>RICE engine-generator 6</t>
        </is>
      </c>
      <c r="B1552" s="12" t="inlineStr">
        <is>
          <t>RICE-6</t>
        </is>
      </c>
      <c r="C1552" s="12" t="inlineStr">
        <is>
          <t>I</t>
        </is>
      </c>
      <c r="D1552" s="12" t="inlineStr">
        <is>
          <t>480 V welding receptacle 2</t>
        </is>
      </c>
      <c r="E1552" s="12" t="n">
        <v>480</v>
      </c>
      <c r="F1552" s="12" t="n">
        <v>60</v>
      </c>
      <c r="G1552" s="12" t="n">
        <v>76</v>
      </c>
      <c r="H1552" s="12" t="inlineStr">
        <is>
          <t>PCM: power control module</t>
        </is>
      </c>
      <c r="I1552" s="12" t="inlineStr">
        <is>
          <t>LV 600 V</t>
        </is>
      </c>
      <c r="J1552" s="12" t="inlineStr">
        <is>
          <t>1</t>
        </is>
      </c>
      <c r="K1552" s="12" t="n">
        <v>1</v>
      </c>
    </row>
    <row r="1553">
      <c r="A1553" s="12" t="inlineStr">
        <is>
          <t>RICE engine-generator 6</t>
        </is>
      </c>
      <c r="B1553" s="12" t="inlineStr">
        <is>
          <t>RICE-6</t>
        </is>
      </c>
      <c r="C1553" s="12" t="inlineStr">
        <is>
          <t>I</t>
        </is>
      </c>
      <c r="D1553" s="12" t="inlineStr">
        <is>
          <t>480 V welding receptacle 3</t>
        </is>
      </c>
      <c r="E1553" s="12" t="n">
        <v>480</v>
      </c>
      <c r="F1553" s="12" t="n">
        <v>60</v>
      </c>
      <c r="G1553" s="12" t="n">
        <v>76</v>
      </c>
      <c r="H1553" s="12" t="inlineStr">
        <is>
          <t>PCM: power control module</t>
        </is>
      </c>
      <c r="I1553" s="12" t="inlineStr">
        <is>
          <t>LV 600 V</t>
        </is>
      </c>
      <c r="J1553" s="12" t="inlineStr">
        <is>
          <t>1</t>
        </is>
      </c>
      <c r="K1553" s="12" t="n">
        <v>1</v>
      </c>
    </row>
    <row r="1554">
      <c r="A1554" s="12" t="inlineStr">
        <is>
          <t>RICE engine-generator 6</t>
        </is>
      </c>
      <c r="B1554" s="12" t="inlineStr">
        <is>
          <t>RICE-6</t>
        </is>
      </c>
      <c r="C1554" s="12" t="inlineStr">
        <is>
          <t>I</t>
        </is>
      </c>
      <c r="D1554" s="12" t="inlineStr">
        <is>
          <t>480 V welding receptacle 4</t>
        </is>
      </c>
      <c r="E1554" s="12" t="n">
        <v>480</v>
      </c>
      <c r="F1554" s="12" t="n">
        <v>60</v>
      </c>
      <c r="G1554" s="12" t="n">
        <v>76</v>
      </c>
      <c r="H1554" s="12" t="inlineStr">
        <is>
          <t>PCM: power control module</t>
        </is>
      </c>
      <c r="I1554" s="12" t="inlineStr">
        <is>
          <t>LV 600 V</t>
        </is>
      </c>
      <c r="J1554" s="12" t="inlineStr">
        <is>
          <t>1</t>
        </is>
      </c>
      <c r="K1554" s="12" t="n">
        <v>1</v>
      </c>
    </row>
    <row r="1555">
      <c r="A1555" s="12" t="inlineStr">
        <is>
          <t>RICE engine-generator 7</t>
        </is>
      </c>
      <c r="B1555" s="12" t="inlineStr">
        <is>
          <t>RICE-7</t>
        </is>
      </c>
      <c r="C1555" s="12" t="inlineStr">
        <is>
          <t>I</t>
        </is>
      </c>
      <c r="D1555" s="12" t="inlineStr">
        <is>
          <t>Motor 1 of 6, 22 kW</t>
        </is>
      </c>
      <c r="E1555" s="12" t="n">
        <v>480</v>
      </c>
      <c r="F1555" s="12" t="n">
        <v>22</v>
      </c>
      <c r="G1555" s="12" t="n">
        <v>31.1</v>
      </c>
      <c r="H1555" s="12" t="inlineStr">
        <is>
          <t>PCM: power control module</t>
        </is>
      </c>
      <c r="I1555" s="12" t="inlineStr">
        <is>
          <t>LV 600 V</t>
        </is>
      </c>
      <c r="J1555" s="12" t="inlineStr">
        <is>
          <t>8</t>
        </is>
      </c>
      <c r="K1555" s="12" t="n">
        <v>1</v>
      </c>
    </row>
    <row r="1556">
      <c r="A1556" s="12" t="inlineStr">
        <is>
          <t>RICE engine-generator 7</t>
        </is>
      </c>
      <c r="B1556" s="12" t="inlineStr">
        <is>
          <t>RICE-7</t>
        </is>
      </c>
      <c r="C1556" s="12" t="inlineStr">
        <is>
          <t>I</t>
        </is>
      </c>
      <c r="D1556" s="12" t="inlineStr">
        <is>
          <t>Motor 2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7</t>
        </is>
      </c>
      <c r="B1557" s="12" t="inlineStr">
        <is>
          <t>RICE-7</t>
        </is>
      </c>
      <c r="C1557" s="12" t="inlineStr">
        <is>
          <t>I</t>
        </is>
      </c>
      <c r="D1557" s="12" t="inlineStr">
        <is>
          <t>Motor 3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7</t>
        </is>
      </c>
      <c r="B1558" s="12" t="inlineStr">
        <is>
          <t>RICE-7</t>
        </is>
      </c>
      <c r="C1558" s="12" t="inlineStr">
        <is>
          <t>I</t>
        </is>
      </c>
      <c r="D1558" s="12" t="inlineStr">
        <is>
          <t>Motor 4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7</t>
        </is>
      </c>
      <c r="B1559" s="12" t="inlineStr">
        <is>
          <t>RICE-7</t>
        </is>
      </c>
      <c r="C1559" s="12" t="inlineStr">
        <is>
          <t>I</t>
        </is>
      </c>
      <c r="D1559" s="12" t="inlineStr">
        <is>
          <t>Motor 5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7</t>
        </is>
      </c>
      <c r="B1560" s="12" t="inlineStr">
        <is>
          <t>RICE-7</t>
        </is>
      </c>
      <c r="C1560" s="12" t="inlineStr">
        <is>
          <t>I</t>
        </is>
      </c>
      <c r="D1560" s="12" t="inlineStr">
        <is>
          <t>Motor 6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7</t>
        </is>
      </c>
      <c r="B1561" s="12" t="inlineStr">
        <is>
          <t>RICE-7</t>
        </is>
      </c>
      <c r="C1561" s="12" t="inlineStr">
        <is>
          <t>I</t>
        </is>
      </c>
      <c r="D1561" s="12" t="inlineStr">
        <is>
          <t>480 V welding receptacle 1</t>
        </is>
      </c>
      <c r="E1561" s="12" t="n">
        <v>480</v>
      </c>
      <c r="F1561" s="12" t="n">
        <v>60</v>
      </c>
      <c r="G1561" s="12" t="n">
        <v>76</v>
      </c>
      <c r="H1561" s="12" t="inlineStr">
        <is>
          <t>PCM: power control module</t>
        </is>
      </c>
      <c r="I1561" s="12" t="inlineStr">
        <is>
          <t>LV 600 V</t>
        </is>
      </c>
      <c r="J1561" s="12" t="inlineStr">
        <is>
          <t>2</t>
        </is>
      </c>
      <c r="K1561" s="12" t="n">
        <v>1</v>
      </c>
    </row>
    <row r="1562">
      <c r="A1562" s="12" t="inlineStr">
        <is>
          <t>RICE engine-generator 7</t>
        </is>
      </c>
      <c r="B1562" s="12" t="inlineStr">
        <is>
          <t>RICE-7</t>
        </is>
      </c>
      <c r="C1562" s="12" t="inlineStr">
        <is>
          <t>I</t>
        </is>
      </c>
      <c r="D1562" s="12" t="inlineStr">
        <is>
          <t>480 V welding receptacle 2</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7</t>
        </is>
      </c>
      <c r="B1563" s="12" t="inlineStr">
        <is>
          <t>RICE-7</t>
        </is>
      </c>
      <c r="C1563" s="12" t="inlineStr">
        <is>
          <t>I</t>
        </is>
      </c>
      <c r="D1563" s="12" t="inlineStr">
        <is>
          <t>480 V welding receptacle 3</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7</t>
        </is>
      </c>
      <c r="B1564" s="12" t="inlineStr">
        <is>
          <t>RICE-7</t>
        </is>
      </c>
      <c r="C1564" s="12" t="inlineStr">
        <is>
          <t>I</t>
        </is>
      </c>
      <c r="D1564" s="12" t="inlineStr">
        <is>
          <t>480 V welding receptacle 4</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Motor 1 of 6, 22 kW</t>
        </is>
      </c>
      <c r="E1565" s="12" t="n">
        <v>480</v>
      </c>
      <c r="F1565" s="12" t="n">
        <v>22</v>
      </c>
      <c r="G1565" s="12" t="n">
        <v>31.1</v>
      </c>
      <c r="H1565" s="12" t="inlineStr">
        <is>
          <t>PCM: power control module</t>
        </is>
      </c>
      <c r="I1565" s="12" t="inlineStr">
        <is>
          <t>LV 600 V</t>
        </is>
      </c>
      <c r="J1565" s="12" t="inlineStr">
        <is>
          <t>8</t>
        </is>
      </c>
      <c r="K1565" s="12" t="n">
        <v>1</v>
      </c>
    </row>
    <row r="1566">
      <c r="A1566" s="12" t="inlineStr">
        <is>
          <t>RICE engine-generator 8</t>
        </is>
      </c>
      <c r="B1566" s="12" t="inlineStr">
        <is>
          <t>RICE-8</t>
        </is>
      </c>
      <c r="C1566" s="12" t="inlineStr">
        <is>
          <t>I</t>
        </is>
      </c>
      <c r="D1566" s="12" t="inlineStr">
        <is>
          <t>Motor 2 of 6, 22 kW</t>
        </is>
      </c>
      <c r="E1566" s="12" t="n">
        <v>480</v>
      </c>
      <c r="F1566" s="12" t="n">
        <v>22</v>
      </c>
      <c r="G1566" s="12" t="n">
        <v>31.1</v>
      </c>
      <c r="H1566" s="12" t="inlineStr">
        <is>
          <t>PCM: power control module</t>
        </is>
      </c>
      <c r="I1566" s="12" t="inlineStr">
        <is>
          <t>LV 600 V</t>
        </is>
      </c>
      <c r="J1566" s="12" t="inlineStr">
        <is>
          <t>8</t>
        </is>
      </c>
      <c r="K1566" s="12" t="n">
        <v>1</v>
      </c>
    </row>
    <row r="1567">
      <c r="A1567" s="12" t="inlineStr">
        <is>
          <t>RICE engine-generator 8</t>
        </is>
      </c>
      <c r="B1567" s="12" t="inlineStr">
        <is>
          <t>RICE-8</t>
        </is>
      </c>
      <c r="C1567" s="12" t="inlineStr">
        <is>
          <t>I</t>
        </is>
      </c>
      <c r="D1567" s="12" t="inlineStr">
        <is>
          <t>Motor 3 of 6, 22 kW</t>
        </is>
      </c>
      <c r="E1567" s="12" t="n">
        <v>480</v>
      </c>
      <c r="F1567" s="12" t="n">
        <v>22</v>
      </c>
      <c r="G1567" s="12" t="n">
        <v>31.1</v>
      </c>
      <c r="H1567" s="12" t="inlineStr">
        <is>
          <t>PCM: power control module</t>
        </is>
      </c>
      <c r="I1567" s="12" t="inlineStr">
        <is>
          <t>LV 600 V</t>
        </is>
      </c>
      <c r="J1567" s="12" t="inlineStr">
        <is>
          <t>8</t>
        </is>
      </c>
      <c r="K1567" s="12" t="n">
        <v>1</v>
      </c>
    </row>
    <row r="1568">
      <c r="A1568" s="12" t="inlineStr">
        <is>
          <t>RICE engine-generator 8</t>
        </is>
      </c>
      <c r="B1568" s="12" t="inlineStr">
        <is>
          <t>RICE-8</t>
        </is>
      </c>
      <c r="C1568" s="12" t="inlineStr">
        <is>
          <t>I</t>
        </is>
      </c>
      <c r="D1568" s="12" t="inlineStr">
        <is>
          <t>Motor 4 of 6, 22 kW</t>
        </is>
      </c>
      <c r="E1568" s="12" t="n">
        <v>480</v>
      </c>
      <c r="F1568" s="12" t="n">
        <v>22</v>
      </c>
      <c r="G1568" s="12" t="n">
        <v>31.1</v>
      </c>
      <c r="H1568" s="12" t="inlineStr">
        <is>
          <t>PCM: power control module</t>
        </is>
      </c>
      <c r="I1568" s="12" t="inlineStr">
        <is>
          <t>LV 600 V</t>
        </is>
      </c>
      <c r="J1568" s="12" t="inlineStr">
        <is>
          <t>8</t>
        </is>
      </c>
      <c r="K1568" s="12" t="n">
        <v>1</v>
      </c>
    </row>
    <row r="1569">
      <c r="A1569" s="12" t="inlineStr">
        <is>
          <t>RICE engine-generator 8</t>
        </is>
      </c>
      <c r="B1569" s="12" t="inlineStr">
        <is>
          <t>RICE-8</t>
        </is>
      </c>
      <c r="C1569" s="12" t="inlineStr">
        <is>
          <t>I</t>
        </is>
      </c>
      <c r="D1569" s="12" t="inlineStr">
        <is>
          <t>Motor 5 of 6, 22 kW</t>
        </is>
      </c>
      <c r="E1569" s="12" t="n">
        <v>480</v>
      </c>
      <c r="F1569" s="12" t="n">
        <v>22</v>
      </c>
      <c r="G1569" s="12" t="n">
        <v>31.1</v>
      </c>
      <c r="H1569" s="12" t="inlineStr">
        <is>
          <t>PCM: power control module</t>
        </is>
      </c>
      <c r="I1569" s="12" t="inlineStr">
        <is>
          <t>LV 600 V</t>
        </is>
      </c>
      <c r="J1569" s="12" t="inlineStr">
        <is>
          <t>8</t>
        </is>
      </c>
      <c r="K1569" s="12" t="n">
        <v>1</v>
      </c>
    </row>
    <row r="1570">
      <c r="A1570" s="12" t="inlineStr">
        <is>
          <t>RICE engine-generator 8</t>
        </is>
      </c>
      <c r="B1570" s="12" t="inlineStr">
        <is>
          <t>RICE-8</t>
        </is>
      </c>
      <c r="C1570" s="12" t="inlineStr">
        <is>
          <t>I</t>
        </is>
      </c>
      <c r="D1570" s="12" t="inlineStr">
        <is>
          <t>Motor 6 of 6, 22 kW</t>
        </is>
      </c>
      <c r="E1570" s="12" t="n">
        <v>480</v>
      </c>
      <c r="F1570" s="12" t="n">
        <v>22</v>
      </c>
      <c r="G1570" s="12" t="n">
        <v>31.1</v>
      </c>
      <c r="H1570" s="12" t="inlineStr">
        <is>
          <t>PCM: power control module</t>
        </is>
      </c>
      <c r="I1570" s="12" t="inlineStr">
        <is>
          <t>LV 600 V</t>
        </is>
      </c>
      <c r="J1570" s="12" t="inlineStr">
        <is>
          <t>8</t>
        </is>
      </c>
      <c r="K1570" s="12" t="n">
        <v>1</v>
      </c>
    </row>
    <row r="1571">
      <c r="A1571" s="12" t="inlineStr">
        <is>
          <t>RICE engine-generator 8</t>
        </is>
      </c>
      <c r="B1571" s="12" t="inlineStr">
        <is>
          <t>RICE-8</t>
        </is>
      </c>
      <c r="C1571" s="12" t="inlineStr">
        <is>
          <t>I</t>
        </is>
      </c>
      <c r="D1571" s="12" t="inlineStr">
        <is>
          <t>480 V welding receptacle 1</t>
        </is>
      </c>
      <c r="E1571" s="12" t="n">
        <v>480</v>
      </c>
      <c r="F1571" s="12" t="n">
        <v>60</v>
      </c>
      <c r="G1571" s="12" t="n">
        <v>76</v>
      </c>
      <c r="H1571" s="12" t="inlineStr">
        <is>
          <t>PCM: power control module</t>
        </is>
      </c>
      <c r="I1571" s="12" t="inlineStr">
        <is>
          <t>LV 600 V</t>
        </is>
      </c>
      <c r="J1571" s="12" t="inlineStr">
        <is>
          <t>2</t>
        </is>
      </c>
      <c r="K1571" s="12" t="n">
        <v>1</v>
      </c>
    </row>
    <row r="1572">
      <c r="A1572" s="12" t="inlineStr">
        <is>
          <t>RICE engine-generator 8</t>
        </is>
      </c>
      <c r="B1572" s="12" t="inlineStr">
        <is>
          <t>RICE-8</t>
        </is>
      </c>
      <c r="C1572" s="12" t="inlineStr">
        <is>
          <t>I</t>
        </is>
      </c>
      <c r="D1572" s="12" t="inlineStr">
        <is>
          <t>480 V welding receptacle 2</t>
        </is>
      </c>
      <c r="E1572" s="12" t="n">
        <v>480</v>
      </c>
      <c r="F1572" s="12" t="n">
        <v>60</v>
      </c>
      <c r="G1572" s="12" t="n">
        <v>76</v>
      </c>
      <c r="H1572" s="12" t="inlineStr">
        <is>
          <t>PCM: power control module</t>
        </is>
      </c>
      <c r="I1572" s="12" t="inlineStr">
        <is>
          <t>LV 600 V</t>
        </is>
      </c>
      <c r="J1572" s="12" t="inlineStr">
        <is>
          <t>2</t>
        </is>
      </c>
      <c r="K1572" s="12" t="n">
        <v>1</v>
      </c>
    </row>
    <row r="1573">
      <c r="A1573" s="12" t="inlineStr">
        <is>
          <t>RICE engine-generator 8</t>
        </is>
      </c>
      <c r="B1573" s="12" t="inlineStr">
        <is>
          <t>RICE-8</t>
        </is>
      </c>
      <c r="C1573" s="12" t="inlineStr">
        <is>
          <t>I</t>
        </is>
      </c>
      <c r="D1573" s="12" t="inlineStr">
        <is>
          <t>480 V welding receptacle 3</t>
        </is>
      </c>
      <c r="E1573" s="12" t="n">
        <v>480</v>
      </c>
      <c r="F1573" s="12" t="n">
        <v>60</v>
      </c>
      <c r="G1573" s="12" t="n">
        <v>76</v>
      </c>
      <c r="H1573" s="12" t="inlineStr">
        <is>
          <t>PCM: power control module</t>
        </is>
      </c>
      <c r="I1573" s="12" t="inlineStr">
        <is>
          <t>LV 600 V</t>
        </is>
      </c>
      <c r="J1573" s="12" t="inlineStr">
        <is>
          <t>2</t>
        </is>
      </c>
      <c r="K1573" s="12" t="n">
        <v>1</v>
      </c>
    </row>
    <row r="1574">
      <c r="A1574" s="12" t="inlineStr">
        <is>
          <t>RICE engine-generator 8</t>
        </is>
      </c>
      <c r="B1574" s="12" t="inlineStr">
        <is>
          <t>RICE-8</t>
        </is>
      </c>
      <c r="C1574" s="12" t="inlineStr">
        <is>
          <t>I</t>
        </is>
      </c>
      <c r="D1574" s="12" t="inlineStr">
        <is>
          <t>480 V welding receptacle 4</t>
        </is>
      </c>
      <c r="E1574" s="12" t="n">
        <v>480</v>
      </c>
      <c r="F1574" s="12" t="n">
        <v>60</v>
      </c>
      <c r="G1574" s="12" t="n">
        <v>76</v>
      </c>
      <c r="H1574" s="12" t="inlineStr">
        <is>
          <t>PCM: power control module</t>
        </is>
      </c>
      <c r="I1574" s="12" t="inlineStr">
        <is>
          <t>LV 600 V</t>
        </is>
      </c>
      <c r="J1574" s="12" t="inlineStr">
        <is>
          <t>2</t>
        </is>
      </c>
      <c r="K1574" s="12" t="n">
        <v>1</v>
      </c>
    </row>
    <row r="1575">
      <c r="A1575" s="12" t="inlineStr">
        <is>
          <t>Reagent storage</t>
        </is>
      </c>
      <c r="B1575" s="12" t="inlineStr"/>
      <c r="C1575" s="12" t="inlineStr">
        <is>
          <t>I</t>
        </is>
      </c>
      <c r="D1575" s="12" t="inlineStr">
        <is>
          <t>LV power feeder</t>
        </is>
      </c>
      <c r="E1575" s="12" t="n">
        <v>480</v>
      </c>
      <c r="F1575" s="12" t="n">
        <v>15</v>
      </c>
      <c r="G1575" s="12" t="n">
        <v>21.2</v>
      </c>
      <c r="H1575" s="12" t="inlineStr">
        <is>
          <t>PCM: power control module</t>
        </is>
      </c>
      <c r="I1575" s="12" t="inlineStr">
        <is>
          <t>LV 600 V</t>
        </is>
      </c>
      <c r="J1575" s="12" t="inlineStr">
        <is>
          <t>10</t>
        </is>
      </c>
      <c r="K1575" s="12" t="n">
        <v>1</v>
      </c>
    </row>
    <row r="1576">
      <c r="A1576" s="12" t="inlineStr">
        <is>
          <t>SC-1 CEMS shelter</t>
        </is>
      </c>
      <c r="B1576" s="12" t="inlineStr"/>
      <c r="C1576" s="12" t="inlineStr">
        <is>
          <t>I</t>
        </is>
      </c>
      <c r="D1576" s="12" t="inlineStr">
        <is>
          <t>SC-1 CEMS shelter panel: analysers, heated sample line, lighting</t>
        </is>
      </c>
      <c r="E1576" s="12" t="n">
        <v>480</v>
      </c>
      <c r="F1576" s="12" t="n">
        <v>15</v>
      </c>
      <c r="G1576" s="12" t="n">
        <v>19</v>
      </c>
      <c r="H1576" s="12" t="inlineStr">
        <is>
          <t>SC-1 PCM + 15 kV GCB</t>
        </is>
      </c>
      <c r="I1576" s="12" t="inlineStr">
        <is>
          <t>LV 600 V</t>
        </is>
      </c>
      <c r="J1576" s="12" t="inlineStr">
        <is>
          <t>10</t>
        </is>
      </c>
      <c r="K1576" s="12" t="n">
        <v>1</v>
      </c>
    </row>
    <row r="1577">
      <c r="A1577" s="12" t="inlineStr">
        <is>
          <t>SC-1 CEMS shelter</t>
        </is>
      </c>
      <c r="B1577" s="12" t="inlineStr"/>
      <c r="C1577" s="12" t="inlineStr">
        <is>
          <t>I</t>
        </is>
      </c>
      <c r="D1577" s="12" t="inlineStr">
        <is>
          <t>Motor 1 of 2, 5 kW</t>
        </is>
      </c>
      <c r="E1577" s="12" t="n">
        <v>480</v>
      </c>
      <c r="F1577" s="12" t="n">
        <v>5</v>
      </c>
      <c r="G1577" s="12" t="n">
        <v>7.1</v>
      </c>
      <c r="H1577" s="12" t="inlineStr">
        <is>
          <t>SC-1 PCM + 15 kV GCB</t>
        </is>
      </c>
      <c r="I1577" s="12" t="inlineStr">
        <is>
          <t>LV 600 V</t>
        </is>
      </c>
      <c r="J1577" s="12" t="inlineStr">
        <is>
          <t>10</t>
        </is>
      </c>
      <c r="K1577" s="12" t="n">
        <v>1</v>
      </c>
    </row>
    <row r="1578">
      <c r="A1578" s="12" t="inlineStr">
        <is>
          <t>SC-1 CEMS shelter</t>
        </is>
      </c>
      <c r="B1578" s="12" t="inlineStr"/>
      <c r="C1578" s="12" t="inlineStr">
        <is>
          <t>I</t>
        </is>
      </c>
      <c r="D1578" s="12" t="inlineStr">
        <is>
          <t>Motor 2 of 2, 5 kW</t>
        </is>
      </c>
      <c r="E1578" s="12" t="n">
        <v>480</v>
      </c>
      <c r="F1578" s="12" t="n">
        <v>5</v>
      </c>
      <c r="G1578" s="12" t="n">
        <v>7.1</v>
      </c>
      <c r="H1578" s="12" t="inlineStr">
        <is>
          <t>SC-1 PCM + 15 kV GCB</t>
        </is>
      </c>
      <c r="I1578" s="12" t="inlineStr">
        <is>
          <t>LV 600 V</t>
        </is>
      </c>
      <c r="J1578" s="12" t="inlineStr">
        <is>
          <t>10</t>
        </is>
      </c>
      <c r="K1578" s="12" t="n">
        <v>1</v>
      </c>
    </row>
    <row r="1579">
      <c r="A1579" s="12" t="inlineStr">
        <is>
          <t>SC-1 PCM + 15 kV GCB</t>
        </is>
      </c>
      <c r="B1579" s="12" t="inlineStr"/>
      <c r="C1579" s="12" t="inlineStr">
        <is>
          <t>I</t>
        </is>
      </c>
      <c r="D1579" s="12" t="inlineStr">
        <is>
          <t>SC-1 PCM lighting, receptacles and HVAC (from its own 480 V board)</t>
        </is>
      </c>
      <c r="E1579" s="12" t="n">
        <v>480</v>
      </c>
      <c r="F1579" s="12" t="n">
        <v>40</v>
      </c>
      <c r="G1579" s="12" t="n"/>
      <c r="H1579" s="12" t="inlineStr">
        <is>
          <t>SC-1 PCM + 15 kV GCB</t>
        </is>
      </c>
      <c r="I1579" s="12" t="inlineStr">
        <is>
          <t>LV 600 V</t>
        </is>
      </c>
      <c r="J1579" s="12" t="inlineStr">
        <is>
          <t>2</t>
        </is>
      </c>
      <c r="K1579" s="12" t="n">
        <v>1</v>
      </c>
    </row>
    <row r="1580">
      <c r="A1580" s="12" t="inlineStr">
        <is>
          <t>SC-1 SCR / CO catalyst</t>
        </is>
      </c>
      <c r="B1580" s="12" t="inlineStr"/>
      <c r="C1580" s="12" t="inlineStr">
        <is>
          <t>I</t>
        </is>
      </c>
      <c r="D1580" s="12" t="inlineStr">
        <is>
          <t>Area / platform lighting circuit 1 (10 fixtures)</t>
        </is>
      </c>
      <c r="E1580" s="12" t="n">
        <v>480</v>
      </c>
      <c r="F1580" s="12" t="n">
        <v>3</v>
      </c>
      <c r="G1580" s="12" t="n">
        <v>5</v>
      </c>
      <c r="H1580" s="12" t="inlineStr">
        <is>
          <t>SC-1 PCM + 15 kV GCB</t>
        </is>
      </c>
      <c r="I1580" s="12" t="inlineStr">
        <is>
          <t>LV 600 V</t>
        </is>
      </c>
      <c r="J1580" s="12" t="inlineStr">
        <is>
          <t>10</t>
        </is>
      </c>
      <c r="K1580" s="12" t="n">
        <v>1</v>
      </c>
    </row>
    <row r="1581">
      <c r="A1581" s="12" t="inlineStr">
        <is>
          <t>SC-1 ammonia flow-control unit</t>
        </is>
      </c>
      <c r="B1581" s="12" t="inlineStr"/>
      <c r="C1581" s="12" t="inlineStr">
        <is>
          <t>I</t>
        </is>
      </c>
      <c r="D1581" s="12" t="inlineStr">
        <is>
          <t>SC-1 ammonia vaporiser electric heater</t>
        </is>
      </c>
      <c r="E1581" s="12" t="n">
        <v>480</v>
      </c>
      <c r="F1581" s="12" t="n">
        <v>45</v>
      </c>
      <c r="G1581" s="12" t="n">
        <v>57</v>
      </c>
      <c r="H1581" s="12" t="inlineStr">
        <is>
          <t>SC-1 PCM + 15 kV GCB</t>
        </is>
      </c>
      <c r="I1581" s="12" t="inlineStr">
        <is>
          <t>LV 600 V</t>
        </is>
      </c>
      <c r="J1581" s="12" t="inlineStr">
        <is>
          <t>4</t>
        </is>
      </c>
      <c r="K1581" s="12" t="n">
        <v>1</v>
      </c>
    </row>
    <row r="1582">
      <c r="A1582" s="12" t="inlineStr">
        <is>
          <t>SC-1 ammonia flow-control unit</t>
        </is>
      </c>
      <c r="B1582" s="12" t="inlineStr"/>
      <c r="C1582" s="12" t="inlineStr">
        <is>
          <t>I</t>
        </is>
      </c>
      <c r="D1582" s="12" t="inlineStr">
        <is>
          <t>Motor 1 of 2, 7.5 kW</t>
        </is>
      </c>
      <c r="E1582" s="12" t="n">
        <v>480</v>
      </c>
      <c r="F1582" s="12" t="n">
        <v>7.5</v>
      </c>
      <c r="G1582" s="12" t="n">
        <v>10.6</v>
      </c>
      <c r="H1582" s="12" t="inlineStr">
        <is>
          <t>SC-1 PCM + 15 kV GCB</t>
        </is>
      </c>
      <c r="I1582" s="12" t="inlineStr">
        <is>
          <t>LV 600 V</t>
        </is>
      </c>
      <c r="J1582" s="12" t="inlineStr">
        <is>
          <t>10</t>
        </is>
      </c>
      <c r="K1582" s="12" t="n">
        <v>1</v>
      </c>
    </row>
    <row r="1583">
      <c r="A1583" s="12" t="inlineStr">
        <is>
          <t>SC-1 ammonia flow-control unit</t>
        </is>
      </c>
      <c r="B1583" s="12" t="inlineStr"/>
      <c r="C1583" s="12" t="inlineStr">
        <is>
          <t>I</t>
        </is>
      </c>
      <c r="D1583" s="12" t="inlineStr">
        <is>
          <t>Motor 2 of 2, 7.5 kW</t>
        </is>
      </c>
      <c r="E1583" s="12" t="n">
        <v>480</v>
      </c>
      <c r="F1583" s="12" t="n">
        <v>7.5</v>
      </c>
      <c r="G1583" s="12" t="n">
        <v>10.6</v>
      </c>
      <c r="H1583" s="12" t="inlineStr">
        <is>
          <t>SC-1 PCM + 15 kV GCB</t>
        </is>
      </c>
      <c r="I1583" s="12" t="inlineStr">
        <is>
          <t>LV 600 V</t>
        </is>
      </c>
      <c r="J1583" s="12" t="inlineStr">
        <is>
          <t>10</t>
        </is>
      </c>
      <c r="K1583" s="12" t="n">
        <v>1</v>
      </c>
    </row>
    <row r="1584">
      <c r="A1584" s="12" t="inlineStr">
        <is>
          <t>SC-1 auxiliary skids: fuel-gas module, water-wash skid</t>
        </is>
      </c>
      <c r="B1584" s="12" t="inlineStr"/>
      <c r="C1584" s="12" t="inlineStr">
        <is>
          <t>I</t>
        </is>
      </c>
      <c r="D1584" s="12" t="inlineStr">
        <is>
          <t>SC-1 water-wash tank heater</t>
        </is>
      </c>
      <c r="E1584" s="12" t="n">
        <v>480</v>
      </c>
      <c r="F1584" s="12" t="n">
        <v>6</v>
      </c>
      <c r="G1584" s="12" t="n">
        <v>7.6</v>
      </c>
      <c r="H1584" s="12" t="inlineStr">
        <is>
          <t>SC-1 PCM + 15 kV GCB</t>
        </is>
      </c>
      <c r="I1584" s="12" t="inlineStr">
        <is>
          <t>LV 600 V</t>
        </is>
      </c>
      <c r="J1584" s="12" t="inlineStr">
        <is>
          <t>10</t>
        </is>
      </c>
      <c r="K1584" s="12" t="n">
        <v>1</v>
      </c>
    </row>
    <row r="1585">
      <c r="A1585" s="12" t="inlineStr">
        <is>
          <t>SC-1 auxiliary skids: fuel-gas module, water-wash skid</t>
        </is>
      </c>
      <c r="B1585" s="12" t="inlineStr"/>
      <c r="C1585" s="12" t="inlineStr">
        <is>
          <t>I</t>
        </is>
      </c>
      <c r="D1585" s="12" t="inlineStr">
        <is>
          <t>Motor 1 of 1, 7.5 kW</t>
        </is>
      </c>
      <c r="E1585" s="12" t="n">
        <v>480</v>
      </c>
      <c r="F1585" s="12" t="n">
        <v>7.5</v>
      </c>
      <c r="G1585" s="12" t="n">
        <v>10.6</v>
      </c>
      <c r="H1585" s="12" t="inlineStr">
        <is>
          <t>SC-1 PCM + 15 kV GCB</t>
        </is>
      </c>
      <c r="I1585" s="12" t="inlineStr">
        <is>
          <t>LV 600 V</t>
        </is>
      </c>
      <c r="J1585" s="12" t="inlineStr">
        <is>
          <t>10</t>
        </is>
      </c>
      <c r="K1585" s="12" t="n">
        <v>1</v>
      </c>
    </row>
    <row r="1586">
      <c r="A1586" s="12" t="inlineStr">
        <is>
          <t>SC-1 lube-oil fin-fan cooler</t>
        </is>
      </c>
      <c r="B1586" s="12" t="inlineStr"/>
      <c r="C1586" s="12" t="inlineStr">
        <is>
          <t>I</t>
        </is>
      </c>
      <c r="D1586" s="12" t="inlineStr">
        <is>
          <t>Motor 1 of 4, 15 kW</t>
        </is>
      </c>
      <c r="E1586" s="12" t="n">
        <v>480</v>
      </c>
      <c r="F1586" s="12" t="n">
        <v>15</v>
      </c>
      <c r="G1586" s="12" t="n">
        <v>21.2</v>
      </c>
      <c r="H1586" s="12" t="inlineStr">
        <is>
          <t>SC-1 PCM + 15 kV GCB</t>
        </is>
      </c>
      <c r="I1586" s="12" t="inlineStr">
        <is>
          <t>LV 600 V</t>
        </is>
      </c>
      <c r="J1586" s="12" t="inlineStr">
        <is>
          <t>10</t>
        </is>
      </c>
      <c r="K1586" s="12" t="n">
        <v>1</v>
      </c>
    </row>
    <row r="1587">
      <c r="A1587" s="12" t="inlineStr">
        <is>
          <t>SC-1 lube-oil fin-fan cooler</t>
        </is>
      </c>
      <c r="B1587" s="12" t="inlineStr"/>
      <c r="C1587" s="12" t="inlineStr">
        <is>
          <t>I</t>
        </is>
      </c>
      <c r="D1587" s="12" t="inlineStr">
        <is>
          <t>Motor 2 of 4, 15 kW</t>
        </is>
      </c>
      <c r="E1587" s="12" t="n">
        <v>480</v>
      </c>
      <c r="F1587" s="12" t="n">
        <v>15</v>
      </c>
      <c r="G1587" s="12" t="n">
        <v>21.2</v>
      </c>
      <c r="H1587" s="12" t="inlineStr">
        <is>
          <t>SC-1 PCM + 15 kV GCB</t>
        </is>
      </c>
      <c r="I1587" s="12" t="inlineStr">
        <is>
          <t>LV 600 V</t>
        </is>
      </c>
      <c r="J1587" s="12" t="inlineStr">
        <is>
          <t>10</t>
        </is>
      </c>
      <c r="K1587" s="12" t="n">
        <v>1</v>
      </c>
    </row>
    <row r="1588">
      <c r="A1588" s="12" t="inlineStr">
        <is>
          <t>SC-1 lube-oil fin-fan cooler</t>
        </is>
      </c>
      <c r="B1588" s="12" t="inlineStr"/>
      <c r="C1588" s="12" t="inlineStr">
        <is>
          <t>I</t>
        </is>
      </c>
      <c r="D1588" s="12" t="inlineStr">
        <is>
          <t>Motor 3 of 4, 15 kW</t>
        </is>
      </c>
      <c r="E1588" s="12" t="n">
        <v>480</v>
      </c>
      <c r="F1588" s="12" t="n">
        <v>15</v>
      </c>
      <c r="G1588" s="12" t="n">
        <v>21.2</v>
      </c>
      <c r="H1588" s="12" t="inlineStr">
        <is>
          <t>SC-1 PCM + 15 kV GCB</t>
        </is>
      </c>
      <c r="I1588" s="12" t="inlineStr">
        <is>
          <t>LV 600 V</t>
        </is>
      </c>
      <c r="J1588" s="12" t="inlineStr">
        <is>
          <t>10</t>
        </is>
      </c>
      <c r="K1588" s="12" t="n">
        <v>1</v>
      </c>
    </row>
    <row r="1589">
      <c r="A1589" s="12" t="inlineStr">
        <is>
          <t>SC-1 lube-oil fin-fan cooler</t>
        </is>
      </c>
      <c r="B1589" s="12" t="inlineStr"/>
      <c r="C1589" s="12" t="inlineStr">
        <is>
          <t>I</t>
        </is>
      </c>
      <c r="D1589" s="12" t="inlineStr">
        <is>
          <t>Motor 4 of 4, 15 kW</t>
        </is>
      </c>
      <c r="E1589" s="12" t="n">
        <v>480</v>
      </c>
      <c r="F1589" s="12" t="n">
        <v>15</v>
      </c>
      <c r="G1589" s="12" t="n">
        <v>21.2</v>
      </c>
      <c r="H1589" s="12" t="inlineStr">
        <is>
          <t>SC-1 PCM + 15 kV GCB</t>
        </is>
      </c>
      <c r="I1589" s="12" t="inlineStr">
        <is>
          <t>LV 600 V</t>
        </is>
      </c>
      <c r="J1589" s="12" t="inlineStr">
        <is>
          <t>10</t>
        </is>
      </c>
      <c r="K1589" s="12" t="n">
        <v>1</v>
      </c>
    </row>
    <row r="1590">
      <c r="A1590" s="12" t="inlineStr">
        <is>
          <t>SC-1 stack (80 ft)</t>
        </is>
      </c>
      <c r="B1590" s="12" t="inlineStr"/>
      <c r="C1590" s="12" t="inlineStr">
        <is>
          <t>I</t>
        </is>
      </c>
      <c r="D1590" s="12" t="inlineStr">
        <is>
          <t>Area / platform lighting circuit 1 (4 fixtures)</t>
        </is>
      </c>
      <c r="E1590" s="12" t="n">
        <v>480</v>
      </c>
      <c r="F1590" s="12" t="n">
        <v>3</v>
      </c>
      <c r="G1590" s="12" t="n">
        <v>5</v>
      </c>
      <c r="H1590" s="12" t="inlineStr">
        <is>
          <t>SC-1 PCM + 15 kV GCB</t>
        </is>
      </c>
      <c r="I1590" s="12" t="inlineStr">
        <is>
          <t>LV 600 V</t>
        </is>
      </c>
      <c r="J1590" s="12" t="inlineStr">
        <is>
          <t>10</t>
        </is>
      </c>
      <c r="K1590" s="12" t="n">
        <v>1</v>
      </c>
    </row>
    <row r="1591">
      <c r="A1591" s="12" t="inlineStr">
        <is>
          <t>SC-1 tempering-air fans (2 x 100 %)</t>
        </is>
      </c>
      <c r="B1591" s="12" t="inlineStr"/>
      <c r="C1591" s="12" t="inlineStr">
        <is>
          <t>I</t>
        </is>
      </c>
      <c r="D1591" s="12" t="inlineStr">
        <is>
          <t>Motor 1 of 2, 185 kW</t>
        </is>
      </c>
      <c r="E1591" s="12" t="n">
        <v>480</v>
      </c>
      <c r="F1591" s="12" t="n">
        <v>185</v>
      </c>
      <c r="G1591" s="12" t="n">
        <v>261.8</v>
      </c>
      <c r="H1591" s="12" t="inlineStr">
        <is>
          <t>SC-1 PCM + 15 kV GCB</t>
        </is>
      </c>
      <c r="I1591" s="12" t="inlineStr">
        <is>
          <t>LV 600 V</t>
        </is>
      </c>
      <c r="J1591" s="12" t="inlineStr">
        <is>
          <t>500 kcmil</t>
        </is>
      </c>
      <c r="K1591" s="12" t="n">
        <v>1</v>
      </c>
    </row>
    <row r="1592">
      <c r="A1592" s="12" t="inlineStr">
        <is>
          <t>SC-1 tempering-air fans (2 x 100 %)</t>
        </is>
      </c>
      <c r="B1592" s="12" t="inlineStr"/>
      <c r="C1592" s="12" t="inlineStr">
        <is>
          <t>I</t>
        </is>
      </c>
      <c r="D1592" s="12" t="inlineStr">
        <is>
          <t>Motor 2 of 2, 185 kW</t>
        </is>
      </c>
      <c r="E1592" s="12" t="n">
        <v>480</v>
      </c>
      <c r="F1592" s="12" t="n">
        <v>185</v>
      </c>
      <c r="G1592" s="12" t="n">
        <v>261.8</v>
      </c>
      <c r="H1592" s="12" t="inlineStr">
        <is>
          <t>SC-1 PCM + 15 kV GCB</t>
        </is>
      </c>
      <c r="I1592" s="12" t="inlineStr">
        <is>
          <t>LV 600 V</t>
        </is>
      </c>
      <c r="J1592" s="12" t="inlineStr">
        <is>
          <t>500 kcmil</t>
        </is>
      </c>
      <c r="K1592" s="12" t="n">
        <v>1</v>
      </c>
    </row>
    <row r="1593">
      <c r="A1593" s="12" t="inlineStr">
        <is>
          <t>SC-1 tempering-air fans (2 x 100 %)</t>
        </is>
      </c>
      <c r="B1593" s="12" t="inlineStr"/>
      <c r="C1593" s="12" t="inlineStr">
        <is>
          <t>I</t>
        </is>
      </c>
      <c r="D1593" s="12" t="inlineStr">
        <is>
          <t>Area / platform lighting circuit 1 (4 fixtures)</t>
        </is>
      </c>
      <c r="E1593" s="12" t="n">
        <v>480</v>
      </c>
      <c r="F1593" s="12" t="n">
        <v>3</v>
      </c>
      <c r="G1593" s="12" t="n">
        <v>5</v>
      </c>
      <c r="H1593" s="12" t="inlineStr">
        <is>
          <t>SC-1 PCM + 15 kV GCB</t>
        </is>
      </c>
      <c r="I1593" s="12" t="inlineStr">
        <is>
          <t>LV 600 V</t>
        </is>
      </c>
      <c r="J1593" s="12" t="inlineStr">
        <is>
          <t>10</t>
        </is>
      </c>
      <c r="K1593" s="12" t="n">
        <v>1</v>
      </c>
    </row>
    <row r="1594">
      <c r="A1594" s="12" t="inlineStr">
        <is>
          <t>SC-1: aeroderivative simple-cycle unit (LM6000 class)</t>
        </is>
      </c>
      <c r="B1594" s="12" t="inlineStr">
        <is>
          <t>SC-1</t>
        </is>
      </c>
      <c r="C1594" s="12" t="inlineStr">
        <is>
          <t>I</t>
        </is>
      </c>
      <c r="D1594" s="12" t="inlineStr">
        <is>
          <t>SC-1 emergency DC lube-oil pump (125 V DC, coast-down)</t>
        </is>
      </c>
      <c r="E1594" s="12" t="n">
        <v>125</v>
      </c>
      <c r="F1594" s="12" t="n">
        <v>7.5</v>
      </c>
      <c r="G1594" s="12" t="n">
        <v>65</v>
      </c>
      <c r="H1594" s="12" t="inlineStr">
        <is>
          <t>SC-1 PCM + 15 kV GCB</t>
        </is>
      </c>
      <c r="I1594" s="12" t="inlineStr">
        <is>
          <t>LV 600 V</t>
        </is>
      </c>
      <c r="J1594" s="12" t="inlineStr">
        <is>
          <t>2</t>
        </is>
      </c>
      <c r="K1594" s="12" t="n">
        <v>1</v>
      </c>
    </row>
    <row r="1595">
      <c r="A1595" s="12" t="inlineStr">
        <is>
          <t>SC-1: aeroderivative simple-cycle unit (LM6000 class)</t>
        </is>
      </c>
      <c r="B1595" s="12" t="inlineStr">
        <is>
          <t>SC-1</t>
        </is>
      </c>
      <c r="C1595" s="12" t="inlineStr">
        <is>
          <t>I</t>
        </is>
      </c>
      <c r="D1595" s="12" t="inlineStr">
        <is>
          <t>SC-1 120 V AC UPS to the unit control and protection</t>
        </is>
      </c>
      <c r="E1595" s="12" t="n">
        <v>120</v>
      </c>
      <c r="F1595" s="12" t="n">
        <v>5</v>
      </c>
      <c r="G1595" s="12" t="n"/>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SC-1 hydraulic starter pump motor (start sequence only)</t>
        </is>
      </c>
      <c r="E1596" s="12" t="n">
        <v>480</v>
      </c>
      <c r="F1596" s="12" t="n">
        <v>225</v>
      </c>
      <c r="G1596" s="12" t="n">
        <v>318.4</v>
      </c>
      <c r="H1596" s="12" t="inlineStr">
        <is>
          <t>SC-1 PCM + 15 kV GCB</t>
        </is>
      </c>
      <c r="I1596" s="12" t="inlineStr">
        <is>
          <t>LV 600 V</t>
        </is>
      </c>
      <c r="J1596" s="12" t="inlineStr">
        <is>
          <t>3/0</t>
        </is>
      </c>
      <c r="K1596" s="12" t="n">
        <v>2</v>
      </c>
    </row>
    <row r="1597">
      <c r="A1597" s="12" t="inlineStr">
        <is>
          <t>SC-1: aeroderivative simple-cycle unit (LM6000 class)</t>
        </is>
      </c>
      <c r="B1597" s="12" t="inlineStr">
        <is>
          <t>SC-1</t>
        </is>
      </c>
      <c r="C1597" s="12" t="inlineStr">
        <is>
          <t>I</t>
        </is>
      </c>
      <c r="D1597" s="12" t="inlineStr">
        <is>
          <t>SC-1 480 V welding receptacle 1</t>
        </is>
      </c>
      <c r="E1597" s="12" t="n">
        <v>480</v>
      </c>
      <c r="F1597" s="12" t="n">
        <v>60</v>
      </c>
      <c r="G1597" s="12" t="n">
        <v>76</v>
      </c>
      <c r="H1597" s="12" t="inlineStr">
        <is>
          <t>SC-1 PCM + 15 kV GCB</t>
        </is>
      </c>
      <c r="I1597" s="12" t="inlineStr">
        <is>
          <t>LV 600 V</t>
        </is>
      </c>
      <c r="J1597" s="12" t="inlineStr">
        <is>
          <t>2</t>
        </is>
      </c>
      <c r="K1597" s="12" t="n">
        <v>1</v>
      </c>
    </row>
    <row r="1598">
      <c r="A1598" s="12" t="inlineStr">
        <is>
          <t>SC-1: aeroderivative simple-cycle unit (LM6000 class)</t>
        </is>
      </c>
      <c r="B1598" s="12" t="inlineStr">
        <is>
          <t>SC-1</t>
        </is>
      </c>
      <c r="C1598" s="12" t="inlineStr">
        <is>
          <t>I</t>
        </is>
      </c>
      <c r="D1598" s="12" t="inlineStr">
        <is>
          <t>SC-1 480 V welding receptacle 2</t>
        </is>
      </c>
      <c r="E1598" s="12" t="n">
        <v>480</v>
      </c>
      <c r="F1598" s="12" t="n">
        <v>60</v>
      </c>
      <c r="G1598" s="12" t="n">
        <v>76</v>
      </c>
      <c r="H1598" s="12" t="inlineStr">
        <is>
          <t>SC-1 PCM + 15 kV GCB</t>
        </is>
      </c>
      <c r="I1598" s="12" t="inlineStr">
        <is>
          <t>LV 600 V</t>
        </is>
      </c>
      <c r="J1598" s="12" t="inlineStr">
        <is>
          <t>2</t>
        </is>
      </c>
      <c r="K1598" s="12" t="n">
        <v>1</v>
      </c>
    </row>
    <row r="1599">
      <c r="A1599" s="12" t="inlineStr">
        <is>
          <t>SC-1: aeroderivative simple-cycle unit (LM6000 class)</t>
        </is>
      </c>
      <c r="B1599" s="12" t="inlineStr">
        <is>
          <t>SC-1</t>
        </is>
      </c>
      <c r="C1599" s="12" t="inlineStr">
        <is>
          <t>I</t>
        </is>
      </c>
      <c r="D1599" s="12" t="inlineStr">
        <is>
          <t>Motor 1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Motor 2 of 10, 30 kW</t>
        </is>
      </c>
      <c r="E1600" s="12" t="n">
        <v>480</v>
      </c>
      <c r="F1600" s="12" t="n">
        <v>30</v>
      </c>
      <c r="G1600" s="12" t="n">
        <v>42.5</v>
      </c>
      <c r="H1600" s="12" t="inlineStr">
        <is>
          <t>SC-1 PCM + 15 kV GCB</t>
        </is>
      </c>
      <c r="I1600" s="12" t="inlineStr">
        <is>
          <t>LV 600 V</t>
        </is>
      </c>
      <c r="J1600" s="12" t="inlineStr">
        <is>
          <t>6</t>
        </is>
      </c>
      <c r="K1600" s="12" t="n">
        <v>1</v>
      </c>
    </row>
    <row r="1601">
      <c r="A1601" s="12" t="inlineStr">
        <is>
          <t>SC-1: aeroderivative simple-cycle unit (LM6000 class)</t>
        </is>
      </c>
      <c r="B1601" s="12" t="inlineStr">
        <is>
          <t>SC-1</t>
        </is>
      </c>
      <c r="C1601" s="12" t="inlineStr">
        <is>
          <t>I</t>
        </is>
      </c>
      <c r="D1601" s="12" t="inlineStr">
        <is>
          <t>Motor 3 of 10, 30 kW</t>
        </is>
      </c>
      <c r="E1601" s="12" t="n">
        <v>480</v>
      </c>
      <c r="F1601" s="12" t="n">
        <v>30</v>
      </c>
      <c r="G1601" s="12" t="n">
        <v>42.5</v>
      </c>
      <c r="H1601" s="12" t="inlineStr">
        <is>
          <t>SC-1 PCM + 15 kV GCB</t>
        </is>
      </c>
      <c r="I1601" s="12" t="inlineStr">
        <is>
          <t>LV 600 V</t>
        </is>
      </c>
      <c r="J1601" s="12" t="inlineStr">
        <is>
          <t>6</t>
        </is>
      </c>
      <c r="K1601" s="12" t="n">
        <v>1</v>
      </c>
    </row>
    <row r="1602">
      <c r="A1602" s="12" t="inlineStr">
        <is>
          <t>SC-1: aeroderivative simple-cycle unit (LM6000 class)</t>
        </is>
      </c>
      <c r="B1602" s="12" t="inlineStr">
        <is>
          <t>SC-1</t>
        </is>
      </c>
      <c r="C1602" s="12" t="inlineStr">
        <is>
          <t>I</t>
        </is>
      </c>
      <c r="D1602" s="12" t="inlineStr">
        <is>
          <t>Motor 4 of 10, 30 kW</t>
        </is>
      </c>
      <c r="E1602" s="12" t="n">
        <v>480</v>
      </c>
      <c r="F1602" s="12" t="n">
        <v>30</v>
      </c>
      <c r="G1602" s="12" t="n">
        <v>42.5</v>
      </c>
      <c r="H1602" s="12" t="inlineStr">
        <is>
          <t>SC-1 PCM + 15 kV GCB</t>
        </is>
      </c>
      <c r="I1602" s="12" t="inlineStr">
        <is>
          <t>LV 600 V</t>
        </is>
      </c>
      <c r="J1602" s="12" t="inlineStr">
        <is>
          <t>6</t>
        </is>
      </c>
      <c r="K1602" s="12" t="n">
        <v>1</v>
      </c>
    </row>
    <row r="1603">
      <c r="A1603" s="12" t="inlineStr">
        <is>
          <t>SC-1: aeroderivative simple-cycle unit (LM6000 class)</t>
        </is>
      </c>
      <c r="B1603" s="12" t="inlineStr">
        <is>
          <t>SC-1</t>
        </is>
      </c>
      <c r="C1603" s="12" t="inlineStr">
        <is>
          <t>I</t>
        </is>
      </c>
      <c r="D1603" s="12" t="inlineStr">
        <is>
          <t>Motor 5 of 10, 30 kW</t>
        </is>
      </c>
      <c r="E1603" s="12" t="n">
        <v>480</v>
      </c>
      <c r="F1603" s="12" t="n">
        <v>30</v>
      </c>
      <c r="G1603" s="12" t="n">
        <v>42.5</v>
      </c>
      <c r="H1603" s="12" t="inlineStr">
        <is>
          <t>SC-1 PCM + 15 kV GCB</t>
        </is>
      </c>
      <c r="I1603" s="12" t="inlineStr">
        <is>
          <t>LV 600 V</t>
        </is>
      </c>
      <c r="J1603" s="12" t="inlineStr">
        <is>
          <t>6</t>
        </is>
      </c>
      <c r="K1603" s="12" t="n">
        <v>1</v>
      </c>
    </row>
    <row r="1604">
      <c r="A1604" s="12" t="inlineStr">
        <is>
          <t>SC-1: aeroderivative simple-cycle unit (LM6000 class)</t>
        </is>
      </c>
      <c r="B1604" s="12" t="inlineStr">
        <is>
          <t>SC-1</t>
        </is>
      </c>
      <c r="C1604" s="12" t="inlineStr">
        <is>
          <t>I</t>
        </is>
      </c>
      <c r="D1604" s="12" t="inlineStr">
        <is>
          <t>Motor 6 of 10, 30 kW</t>
        </is>
      </c>
      <c r="E1604" s="12" t="n">
        <v>480</v>
      </c>
      <c r="F1604" s="12" t="n">
        <v>30</v>
      </c>
      <c r="G1604" s="12" t="n">
        <v>42.5</v>
      </c>
      <c r="H1604" s="12" t="inlineStr">
        <is>
          <t>SC-1 PCM + 15 kV GCB</t>
        </is>
      </c>
      <c r="I1604" s="12" t="inlineStr">
        <is>
          <t>LV 600 V</t>
        </is>
      </c>
      <c r="J1604" s="12" t="inlineStr">
        <is>
          <t>6</t>
        </is>
      </c>
      <c r="K1604" s="12" t="n">
        <v>1</v>
      </c>
    </row>
    <row r="1605">
      <c r="A1605" s="12" t="inlineStr">
        <is>
          <t>SC-1: aeroderivative simple-cycle unit (LM6000 class)</t>
        </is>
      </c>
      <c r="B1605" s="12" t="inlineStr">
        <is>
          <t>SC-1</t>
        </is>
      </c>
      <c r="C1605" s="12" t="inlineStr">
        <is>
          <t>I</t>
        </is>
      </c>
      <c r="D1605" s="12" t="inlineStr">
        <is>
          <t>Motor 7 of 10, 30 kW</t>
        </is>
      </c>
      <c r="E1605" s="12" t="n">
        <v>480</v>
      </c>
      <c r="F1605" s="12" t="n">
        <v>30</v>
      </c>
      <c r="G1605" s="12" t="n">
        <v>42.5</v>
      </c>
      <c r="H1605" s="12" t="inlineStr">
        <is>
          <t>SC-1 PCM + 15 kV GCB</t>
        </is>
      </c>
      <c r="I1605" s="12" t="inlineStr">
        <is>
          <t>LV 600 V</t>
        </is>
      </c>
      <c r="J1605" s="12" t="inlineStr">
        <is>
          <t>6</t>
        </is>
      </c>
      <c r="K1605" s="12" t="n">
        <v>1</v>
      </c>
    </row>
    <row r="1606">
      <c r="A1606" s="12" t="inlineStr">
        <is>
          <t>SC-1: aeroderivative simple-cycle unit (LM6000 class)</t>
        </is>
      </c>
      <c r="B1606" s="12" t="inlineStr">
        <is>
          <t>SC-1</t>
        </is>
      </c>
      <c r="C1606" s="12" t="inlineStr">
        <is>
          <t>I</t>
        </is>
      </c>
      <c r="D1606" s="12" t="inlineStr">
        <is>
          <t>Motor 8 of 10, 30 kW</t>
        </is>
      </c>
      <c r="E1606" s="12" t="n">
        <v>480</v>
      </c>
      <c r="F1606" s="12" t="n">
        <v>30</v>
      </c>
      <c r="G1606" s="12" t="n">
        <v>42.5</v>
      </c>
      <c r="H1606" s="12" t="inlineStr">
        <is>
          <t>SC-1 PCM + 15 kV GCB</t>
        </is>
      </c>
      <c r="I1606" s="12" t="inlineStr">
        <is>
          <t>LV 600 V</t>
        </is>
      </c>
      <c r="J1606" s="12" t="inlineStr">
        <is>
          <t>6</t>
        </is>
      </c>
      <c r="K1606" s="12" t="n">
        <v>1</v>
      </c>
    </row>
    <row r="1607">
      <c r="A1607" s="12" t="inlineStr">
        <is>
          <t>SC-1: aeroderivative simple-cycle unit (LM6000 class)</t>
        </is>
      </c>
      <c r="B1607" s="12" t="inlineStr">
        <is>
          <t>SC-1</t>
        </is>
      </c>
      <c r="C1607" s="12" t="inlineStr">
        <is>
          <t>I</t>
        </is>
      </c>
      <c r="D1607" s="12" t="inlineStr">
        <is>
          <t>Motor 9 of 10, 30 kW</t>
        </is>
      </c>
      <c r="E1607" s="12" t="n">
        <v>480</v>
      </c>
      <c r="F1607" s="12" t="n">
        <v>30</v>
      </c>
      <c r="G1607" s="12" t="n">
        <v>42.5</v>
      </c>
      <c r="H1607" s="12" t="inlineStr">
        <is>
          <t>SC-1 PCM + 15 kV GCB</t>
        </is>
      </c>
      <c r="I1607" s="12" t="inlineStr">
        <is>
          <t>LV 600 V</t>
        </is>
      </c>
      <c r="J1607" s="12" t="inlineStr">
        <is>
          <t>6</t>
        </is>
      </c>
      <c r="K1607" s="12" t="n">
        <v>1</v>
      </c>
    </row>
    <row r="1608">
      <c r="A1608" s="12" t="inlineStr">
        <is>
          <t>SC-1: aeroderivative simple-cycle unit (LM6000 class)</t>
        </is>
      </c>
      <c r="B1608" s="12" t="inlineStr">
        <is>
          <t>SC-1</t>
        </is>
      </c>
      <c r="C1608" s="12" t="inlineStr">
        <is>
          <t>I</t>
        </is>
      </c>
      <c r="D1608" s="12" t="inlineStr">
        <is>
          <t>Motor 10 of 10, 30 kW</t>
        </is>
      </c>
      <c r="E1608" s="12" t="n">
        <v>480</v>
      </c>
      <c r="F1608" s="12" t="n">
        <v>30</v>
      </c>
      <c r="G1608" s="12" t="n">
        <v>42.5</v>
      </c>
      <c r="H1608" s="12" t="inlineStr">
        <is>
          <t>SC-1 PCM + 15 kV GCB</t>
        </is>
      </c>
      <c r="I1608" s="12" t="inlineStr">
        <is>
          <t>LV 600 V</t>
        </is>
      </c>
      <c r="J1608" s="12" t="inlineStr">
        <is>
          <t>6</t>
        </is>
      </c>
      <c r="K1608" s="12" t="n">
        <v>1</v>
      </c>
    </row>
    <row r="1609">
      <c r="A1609" s="12" t="inlineStr">
        <is>
          <t>SC-1: aeroderivative simple-cycle unit (LM6000 class)</t>
        </is>
      </c>
      <c r="B1609" s="12" t="inlineStr">
        <is>
          <t>SC-1</t>
        </is>
      </c>
      <c r="C1609" s="12" t="inlineStr">
        <is>
          <t>I</t>
        </is>
      </c>
      <c r="D1609" s="12" t="inlineStr">
        <is>
          <t>Area / platform lighting circuit 1 (8 fixtures)</t>
        </is>
      </c>
      <c r="E1609" s="12" t="n">
        <v>480</v>
      </c>
      <c r="F1609" s="12" t="n">
        <v>3</v>
      </c>
      <c r="G1609" s="12" t="n">
        <v>5</v>
      </c>
      <c r="H1609" s="12" t="inlineStr">
        <is>
          <t>SC-1 PCM + 15 kV GCB</t>
        </is>
      </c>
      <c r="I1609" s="12" t="inlineStr">
        <is>
          <t>LV 600 V</t>
        </is>
      </c>
      <c r="J1609" s="12" t="inlineStr">
        <is>
          <t>10</t>
        </is>
      </c>
      <c r="K1609" s="12" t="n">
        <v>1</v>
      </c>
    </row>
    <row r="1610">
      <c r="A1610" s="12" t="inlineStr">
        <is>
          <t>SC-2 CEMS shelter</t>
        </is>
      </c>
      <c r="B1610" s="12" t="inlineStr"/>
      <c r="C1610" s="12" t="inlineStr">
        <is>
          <t>I</t>
        </is>
      </c>
      <c r="D1610" s="12" t="inlineStr">
        <is>
          <t>SC-2 CEMS shelter panel: analysers, heated sample line, lighting</t>
        </is>
      </c>
      <c r="E1610" s="12" t="n">
        <v>480</v>
      </c>
      <c r="F1610" s="12" t="n">
        <v>15</v>
      </c>
      <c r="G1610" s="12" t="n">
        <v>19</v>
      </c>
      <c r="H1610" s="12" t="inlineStr">
        <is>
          <t>SC-2 PCM + 15 kV GCB</t>
        </is>
      </c>
      <c r="I1610" s="12" t="inlineStr">
        <is>
          <t>LV 600 V</t>
        </is>
      </c>
      <c r="J1610" s="12" t="inlineStr">
        <is>
          <t>10</t>
        </is>
      </c>
      <c r="K1610" s="12" t="n">
        <v>1</v>
      </c>
    </row>
    <row r="1611">
      <c r="A1611" s="12" t="inlineStr">
        <is>
          <t>SC-2 CEMS shelter</t>
        </is>
      </c>
      <c r="B1611" s="12" t="inlineStr"/>
      <c r="C1611" s="12" t="inlineStr">
        <is>
          <t>I</t>
        </is>
      </c>
      <c r="D1611" s="12" t="inlineStr">
        <is>
          <t>Motor 1 of 2, 5 kW</t>
        </is>
      </c>
      <c r="E1611" s="12" t="n">
        <v>480</v>
      </c>
      <c r="F1611" s="12" t="n">
        <v>5</v>
      </c>
      <c r="G1611" s="12" t="n">
        <v>7.1</v>
      </c>
      <c r="H1611" s="12" t="inlineStr">
        <is>
          <t>SC-2 PCM + 15 kV GCB</t>
        </is>
      </c>
      <c r="I1611" s="12" t="inlineStr">
        <is>
          <t>LV 600 V</t>
        </is>
      </c>
      <c r="J1611" s="12" t="inlineStr">
        <is>
          <t>10</t>
        </is>
      </c>
      <c r="K1611" s="12" t="n">
        <v>1</v>
      </c>
    </row>
    <row r="1612">
      <c r="A1612" s="12" t="inlineStr">
        <is>
          <t>SC-2 CEMS shelter</t>
        </is>
      </c>
      <c r="B1612" s="12" t="inlineStr"/>
      <c r="C1612" s="12" t="inlineStr">
        <is>
          <t>I</t>
        </is>
      </c>
      <c r="D1612" s="12" t="inlineStr">
        <is>
          <t>Motor 2 of 2, 5 kW</t>
        </is>
      </c>
      <c r="E1612" s="12" t="n">
        <v>480</v>
      </c>
      <c r="F1612" s="12" t="n">
        <v>5</v>
      </c>
      <c r="G1612" s="12" t="n">
        <v>7.1</v>
      </c>
      <c r="H1612" s="12" t="inlineStr">
        <is>
          <t>SC-2 PCM + 15 kV GCB</t>
        </is>
      </c>
      <c r="I1612" s="12" t="inlineStr">
        <is>
          <t>LV 600 V</t>
        </is>
      </c>
      <c r="J1612" s="12" t="inlineStr">
        <is>
          <t>10</t>
        </is>
      </c>
      <c r="K1612" s="12" t="n">
        <v>1</v>
      </c>
    </row>
    <row r="1613">
      <c r="A1613" s="12" t="inlineStr">
        <is>
          <t>SC-2 PCM + 15 kV GCB</t>
        </is>
      </c>
      <c r="B1613" s="12" t="inlineStr"/>
      <c r="C1613" s="12" t="inlineStr">
        <is>
          <t>I</t>
        </is>
      </c>
      <c r="D1613" s="12" t="inlineStr">
        <is>
          <t>SC-2 PCM lighting, receptacles and HVAC (from its own 480 V board)</t>
        </is>
      </c>
      <c r="E1613" s="12" t="n">
        <v>480</v>
      </c>
      <c r="F1613" s="12" t="n">
        <v>40</v>
      </c>
      <c r="G1613" s="12" t="n"/>
      <c r="H1613" s="12" t="inlineStr">
        <is>
          <t>SC-2 PCM + 15 kV GCB</t>
        </is>
      </c>
      <c r="I1613" s="12" t="inlineStr">
        <is>
          <t>LV 600 V</t>
        </is>
      </c>
      <c r="J1613" s="12" t="inlineStr">
        <is>
          <t>2</t>
        </is>
      </c>
      <c r="K1613" s="12" t="n">
        <v>1</v>
      </c>
    </row>
    <row r="1614">
      <c r="A1614" s="12" t="inlineStr">
        <is>
          <t>SC-2 SCR / CO catalyst</t>
        </is>
      </c>
      <c r="B1614" s="12" t="inlineStr"/>
      <c r="C1614" s="12" t="inlineStr">
        <is>
          <t>I</t>
        </is>
      </c>
      <c r="D1614" s="12" t="inlineStr">
        <is>
          <t>Area / platform lighting circuit 1 (10 fixtures)</t>
        </is>
      </c>
      <c r="E1614" s="12" t="n">
        <v>480</v>
      </c>
      <c r="F1614" s="12" t="n">
        <v>3</v>
      </c>
      <c r="G1614" s="12" t="n">
        <v>5</v>
      </c>
      <c r="H1614" s="12" t="inlineStr">
        <is>
          <t>SC-2 PCM + 15 kV GCB</t>
        </is>
      </c>
      <c r="I1614" s="12" t="inlineStr">
        <is>
          <t>LV 600 V</t>
        </is>
      </c>
      <c r="J1614" s="12" t="inlineStr">
        <is>
          <t>10</t>
        </is>
      </c>
      <c r="K1614" s="12" t="n">
        <v>1</v>
      </c>
    </row>
    <row r="1615">
      <c r="A1615" s="12" t="inlineStr">
        <is>
          <t>SC-2 ammonia flow-control unit</t>
        </is>
      </c>
      <c r="B1615" s="12" t="inlineStr"/>
      <c r="C1615" s="12" t="inlineStr">
        <is>
          <t>I</t>
        </is>
      </c>
      <c r="D1615" s="12" t="inlineStr">
        <is>
          <t>SC-2 ammonia vaporiser electric heater</t>
        </is>
      </c>
      <c r="E1615" s="12" t="n">
        <v>480</v>
      </c>
      <c r="F1615" s="12" t="n">
        <v>45</v>
      </c>
      <c r="G1615" s="12" t="n">
        <v>57</v>
      </c>
      <c r="H1615" s="12" t="inlineStr">
        <is>
          <t>SC-2 PCM + 15 kV GCB</t>
        </is>
      </c>
      <c r="I1615" s="12" t="inlineStr">
        <is>
          <t>LV 600 V</t>
        </is>
      </c>
      <c r="J1615" s="12" t="inlineStr">
        <is>
          <t>4</t>
        </is>
      </c>
      <c r="K1615" s="12" t="n">
        <v>1</v>
      </c>
    </row>
    <row r="1616">
      <c r="A1616" s="12" t="inlineStr">
        <is>
          <t>SC-2 ammonia flow-control unit</t>
        </is>
      </c>
      <c r="B1616" s="12" t="inlineStr"/>
      <c r="C1616" s="12" t="inlineStr">
        <is>
          <t>I</t>
        </is>
      </c>
      <c r="D1616" s="12" t="inlineStr">
        <is>
          <t>Motor 1 of 2, 7.5 kW</t>
        </is>
      </c>
      <c r="E1616" s="12" t="n">
        <v>480</v>
      </c>
      <c r="F1616" s="12" t="n">
        <v>7.5</v>
      </c>
      <c r="G1616" s="12" t="n">
        <v>10.6</v>
      </c>
      <c r="H1616" s="12" t="inlineStr">
        <is>
          <t>SC-2 PCM + 15 kV GCB</t>
        </is>
      </c>
      <c r="I1616" s="12" t="inlineStr">
        <is>
          <t>LV 600 V</t>
        </is>
      </c>
      <c r="J1616" s="12" t="inlineStr">
        <is>
          <t>10</t>
        </is>
      </c>
      <c r="K1616" s="12" t="n">
        <v>1</v>
      </c>
    </row>
    <row r="1617">
      <c r="A1617" s="12" t="inlineStr">
        <is>
          <t>SC-2 ammonia flow-control unit</t>
        </is>
      </c>
      <c r="B1617" s="12" t="inlineStr"/>
      <c r="C1617" s="12" t="inlineStr">
        <is>
          <t>I</t>
        </is>
      </c>
      <c r="D1617" s="12" t="inlineStr">
        <is>
          <t>Motor 2 of 2, 7.5 kW</t>
        </is>
      </c>
      <c r="E1617" s="12" t="n">
        <v>480</v>
      </c>
      <c r="F1617" s="12" t="n">
        <v>7.5</v>
      </c>
      <c r="G1617" s="12" t="n">
        <v>10.6</v>
      </c>
      <c r="H1617" s="12" t="inlineStr">
        <is>
          <t>SC-2 PCM + 15 kV GCB</t>
        </is>
      </c>
      <c r="I1617" s="12" t="inlineStr">
        <is>
          <t>LV 600 V</t>
        </is>
      </c>
      <c r="J1617" s="12" t="inlineStr">
        <is>
          <t>10</t>
        </is>
      </c>
      <c r="K1617" s="12" t="n">
        <v>1</v>
      </c>
    </row>
    <row r="1618">
      <c r="A1618" s="12" t="inlineStr">
        <is>
          <t>SC-2 auxiliary skids: fuel-gas module, water-wash skid</t>
        </is>
      </c>
      <c r="B1618" s="12" t="inlineStr"/>
      <c r="C1618" s="12" t="inlineStr">
        <is>
          <t>I</t>
        </is>
      </c>
      <c r="D1618" s="12" t="inlineStr">
        <is>
          <t>SC-2 water-wash tank heater</t>
        </is>
      </c>
      <c r="E1618" s="12" t="n">
        <v>480</v>
      </c>
      <c r="F1618" s="12" t="n">
        <v>6</v>
      </c>
      <c r="G1618" s="12" t="n">
        <v>7.6</v>
      </c>
      <c r="H1618" s="12" t="inlineStr">
        <is>
          <t>SC-2 PCM + 15 kV GCB</t>
        </is>
      </c>
      <c r="I1618" s="12" t="inlineStr">
        <is>
          <t>LV 600 V</t>
        </is>
      </c>
      <c r="J1618" s="12" t="inlineStr">
        <is>
          <t>10</t>
        </is>
      </c>
      <c r="K1618" s="12" t="n">
        <v>1</v>
      </c>
    </row>
    <row r="1619">
      <c r="A1619" s="12" t="inlineStr">
        <is>
          <t>SC-2 auxiliary skids: fuel-gas module, water-wash skid</t>
        </is>
      </c>
      <c r="B1619" s="12" t="inlineStr"/>
      <c r="C1619" s="12" t="inlineStr">
        <is>
          <t>I</t>
        </is>
      </c>
      <c r="D1619" s="12" t="inlineStr">
        <is>
          <t>Motor 1 of 1, 7.5 kW</t>
        </is>
      </c>
      <c r="E1619" s="12" t="n">
        <v>480</v>
      </c>
      <c r="F1619" s="12" t="n">
        <v>7.5</v>
      </c>
      <c r="G1619" s="12" t="n">
        <v>10.6</v>
      </c>
      <c r="H1619" s="12" t="inlineStr">
        <is>
          <t>SC-2 PCM + 15 kV GCB</t>
        </is>
      </c>
      <c r="I1619" s="12" t="inlineStr">
        <is>
          <t>LV 600 V</t>
        </is>
      </c>
      <c r="J1619" s="12" t="inlineStr">
        <is>
          <t>10</t>
        </is>
      </c>
      <c r="K1619" s="12" t="n">
        <v>1</v>
      </c>
    </row>
    <row r="1620">
      <c r="A1620" s="12" t="inlineStr">
        <is>
          <t>SC-2 lube-oil fin-fan cooler</t>
        </is>
      </c>
      <c r="B1620" s="12" t="inlineStr"/>
      <c r="C1620" s="12" t="inlineStr">
        <is>
          <t>I</t>
        </is>
      </c>
      <c r="D1620" s="12" t="inlineStr">
        <is>
          <t>Motor 1 of 4, 15 kW</t>
        </is>
      </c>
      <c r="E1620" s="12" t="n">
        <v>480</v>
      </c>
      <c r="F1620" s="12" t="n">
        <v>15</v>
      </c>
      <c r="G1620" s="12" t="n">
        <v>21.2</v>
      </c>
      <c r="H1620" s="12" t="inlineStr">
        <is>
          <t>SC-2 PCM + 15 kV GCB</t>
        </is>
      </c>
      <c r="I1620" s="12" t="inlineStr">
        <is>
          <t>LV 600 V</t>
        </is>
      </c>
      <c r="J1620" s="12" t="inlineStr">
        <is>
          <t>10</t>
        </is>
      </c>
      <c r="K1620" s="12" t="n">
        <v>1</v>
      </c>
    </row>
    <row r="1621">
      <c r="A1621" s="12" t="inlineStr">
        <is>
          <t>SC-2 lube-oil fin-fan cooler</t>
        </is>
      </c>
      <c r="B1621" s="12" t="inlineStr"/>
      <c r="C1621" s="12" t="inlineStr">
        <is>
          <t>I</t>
        </is>
      </c>
      <c r="D1621" s="12" t="inlineStr">
        <is>
          <t>Motor 2 of 4, 15 kW</t>
        </is>
      </c>
      <c r="E1621" s="12" t="n">
        <v>480</v>
      </c>
      <c r="F1621" s="12" t="n">
        <v>15</v>
      </c>
      <c r="G1621" s="12" t="n">
        <v>21.2</v>
      </c>
      <c r="H1621" s="12" t="inlineStr">
        <is>
          <t>SC-2 PCM + 15 kV GCB</t>
        </is>
      </c>
      <c r="I1621" s="12" t="inlineStr">
        <is>
          <t>LV 600 V</t>
        </is>
      </c>
      <c r="J1621" s="12" t="inlineStr">
        <is>
          <t>10</t>
        </is>
      </c>
      <c r="K1621" s="12" t="n">
        <v>1</v>
      </c>
    </row>
    <row r="1622">
      <c r="A1622" s="12" t="inlineStr">
        <is>
          <t>SC-2 lube-oil fin-fan cooler</t>
        </is>
      </c>
      <c r="B1622" s="12" t="inlineStr"/>
      <c r="C1622" s="12" t="inlineStr">
        <is>
          <t>I</t>
        </is>
      </c>
      <c r="D1622" s="12" t="inlineStr">
        <is>
          <t>Motor 3 of 4, 15 kW</t>
        </is>
      </c>
      <c r="E1622" s="12" t="n">
        <v>480</v>
      </c>
      <c r="F1622" s="12" t="n">
        <v>15</v>
      </c>
      <c r="G1622" s="12" t="n">
        <v>21.2</v>
      </c>
      <c r="H1622" s="12" t="inlineStr">
        <is>
          <t>SC-2 PCM + 15 kV GCB</t>
        </is>
      </c>
      <c r="I1622" s="12" t="inlineStr">
        <is>
          <t>LV 600 V</t>
        </is>
      </c>
      <c r="J1622" s="12" t="inlineStr">
        <is>
          <t>10</t>
        </is>
      </c>
      <c r="K1622" s="12" t="n">
        <v>1</v>
      </c>
    </row>
    <row r="1623">
      <c r="A1623" s="12" t="inlineStr">
        <is>
          <t>SC-2 lube-oil fin-fan cooler</t>
        </is>
      </c>
      <c r="B1623" s="12" t="inlineStr"/>
      <c r="C1623" s="12" t="inlineStr">
        <is>
          <t>I</t>
        </is>
      </c>
      <c r="D1623" s="12" t="inlineStr">
        <is>
          <t>Motor 4 of 4, 15 kW</t>
        </is>
      </c>
      <c r="E1623" s="12" t="n">
        <v>480</v>
      </c>
      <c r="F1623" s="12" t="n">
        <v>15</v>
      </c>
      <c r="G1623" s="12" t="n">
        <v>21.2</v>
      </c>
      <c r="H1623" s="12" t="inlineStr">
        <is>
          <t>SC-2 PCM + 15 kV GCB</t>
        </is>
      </c>
      <c r="I1623" s="12" t="inlineStr">
        <is>
          <t>LV 600 V</t>
        </is>
      </c>
      <c r="J1623" s="12" t="inlineStr">
        <is>
          <t>10</t>
        </is>
      </c>
      <c r="K1623" s="12" t="n">
        <v>1</v>
      </c>
    </row>
    <row r="1624">
      <c r="A1624" s="12" t="inlineStr">
        <is>
          <t>SC-2 stack (80 ft)</t>
        </is>
      </c>
      <c r="B1624" s="12" t="inlineStr"/>
      <c r="C1624" s="12" t="inlineStr">
        <is>
          <t>I</t>
        </is>
      </c>
      <c r="D1624" s="12" t="inlineStr">
        <is>
          <t>Area / platform lighting circuit 1 (4 fixtures)</t>
        </is>
      </c>
      <c r="E1624" s="12" t="n">
        <v>480</v>
      </c>
      <c r="F1624" s="12" t="n">
        <v>3</v>
      </c>
      <c r="G1624" s="12" t="n">
        <v>5</v>
      </c>
      <c r="H1624" s="12" t="inlineStr">
        <is>
          <t>SC-2 PCM + 15 kV GCB</t>
        </is>
      </c>
      <c r="I1624" s="12" t="inlineStr">
        <is>
          <t>LV 600 V</t>
        </is>
      </c>
      <c r="J1624" s="12" t="inlineStr">
        <is>
          <t>10</t>
        </is>
      </c>
      <c r="K1624" s="12" t="n">
        <v>1</v>
      </c>
    </row>
    <row r="1625">
      <c r="A1625" s="12" t="inlineStr">
        <is>
          <t>SC-2 tempering-air fans (2 x 100 %)</t>
        </is>
      </c>
      <c r="B1625" s="12" t="inlineStr"/>
      <c r="C1625" s="12" t="inlineStr">
        <is>
          <t>I</t>
        </is>
      </c>
      <c r="D1625" s="12" t="inlineStr">
        <is>
          <t>Motor 1 of 2, 185 kW</t>
        </is>
      </c>
      <c r="E1625" s="12" t="n">
        <v>480</v>
      </c>
      <c r="F1625" s="12" t="n">
        <v>185</v>
      </c>
      <c r="G1625" s="12" t="n">
        <v>261.8</v>
      </c>
      <c r="H1625" s="12" t="inlineStr">
        <is>
          <t>SC-2 PCM + 15 kV GCB</t>
        </is>
      </c>
      <c r="I1625" s="12" t="inlineStr">
        <is>
          <t>LV 600 V</t>
        </is>
      </c>
      <c r="J1625" s="12" t="inlineStr">
        <is>
          <t>500 kcmil</t>
        </is>
      </c>
      <c r="K1625" s="12" t="n">
        <v>1</v>
      </c>
    </row>
    <row r="1626">
      <c r="A1626" s="12" t="inlineStr">
        <is>
          <t>SC-2 tempering-air fans (2 x 100 %)</t>
        </is>
      </c>
      <c r="B1626" s="12" t="inlineStr"/>
      <c r="C1626" s="12" t="inlineStr">
        <is>
          <t>I</t>
        </is>
      </c>
      <c r="D1626" s="12" t="inlineStr">
        <is>
          <t>Motor 2 of 2, 185 kW</t>
        </is>
      </c>
      <c r="E1626" s="12" t="n">
        <v>480</v>
      </c>
      <c r="F1626" s="12" t="n">
        <v>185</v>
      </c>
      <c r="G1626" s="12" t="n">
        <v>261.8</v>
      </c>
      <c r="H1626" s="12" t="inlineStr">
        <is>
          <t>SC-2 PCM + 15 kV GCB</t>
        </is>
      </c>
      <c r="I1626" s="12" t="inlineStr">
        <is>
          <t>LV 600 V</t>
        </is>
      </c>
      <c r="J1626" s="12" t="inlineStr">
        <is>
          <t>500 kcmil</t>
        </is>
      </c>
      <c r="K1626" s="12" t="n">
        <v>1</v>
      </c>
    </row>
    <row r="1627">
      <c r="A1627" s="12" t="inlineStr">
        <is>
          <t>SC-2 tempering-air fans (2 x 100 %)</t>
        </is>
      </c>
      <c r="B1627" s="12" t="inlineStr"/>
      <c r="C1627" s="12" t="inlineStr">
        <is>
          <t>I</t>
        </is>
      </c>
      <c r="D1627" s="12" t="inlineStr">
        <is>
          <t>Area / platform lighting circuit 1 (4 fixtures)</t>
        </is>
      </c>
      <c r="E1627" s="12" t="n">
        <v>480</v>
      </c>
      <c r="F1627" s="12" t="n">
        <v>3</v>
      </c>
      <c r="G1627" s="12" t="n">
        <v>5</v>
      </c>
      <c r="H1627" s="12" t="inlineStr">
        <is>
          <t>SC-2 PCM + 15 kV GCB</t>
        </is>
      </c>
      <c r="I1627" s="12" t="inlineStr">
        <is>
          <t>LV 600 V</t>
        </is>
      </c>
      <c r="J1627" s="12" t="inlineStr">
        <is>
          <t>10</t>
        </is>
      </c>
      <c r="K1627" s="12" t="n">
        <v>1</v>
      </c>
    </row>
    <row r="1628">
      <c r="A1628" s="12" t="inlineStr">
        <is>
          <t>SC-2: aeroderivative simple-cycle unit (LM6000 class)</t>
        </is>
      </c>
      <c r="B1628" s="12" t="inlineStr">
        <is>
          <t>SC-2</t>
        </is>
      </c>
      <c r="C1628" s="12" t="inlineStr">
        <is>
          <t>I</t>
        </is>
      </c>
      <c r="D1628" s="12" t="inlineStr">
        <is>
          <t>SC-2 emergency DC lube-oil pump (125 V DC, coast-down)</t>
        </is>
      </c>
      <c r="E1628" s="12" t="n">
        <v>125</v>
      </c>
      <c r="F1628" s="12" t="n">
        <v>7.5</v>
      </c>
      <c r="G1628" s="12" t="n">
        <v>65</v>
      </c>
      <c r="H1628" s="12" t="inlineStr">
        <is>
          <t>SC-2 PCM + 15 kV GCB</t>
        </is>
      </c>
      <c r="I1628" s="12" t="inlineStr">
        <is>
          <t>LV 600 V</t>
        </is>
      </c>
      <c r="J1628" s="12" t="inlineStr">
        <is>
          <t>2</t>
        </is>
      </c>
      <c r="K1628" s="12" t="n">
        <v>1</v>
      </c>
    </row>
    <row r="1629">
      <c r="A1629" s="12" t="inlineStr">
        <is>
          <t>SC-2: aeroderivative simple-cycle unit (LM6000 class)</t>
        </is>
      </c>
      <c r="B1629" s="12" t="inlineStr">
        <is>
          <t>SC-2</t>
        </is>
      </c>
      <c r="C1629" s="12" t="inlineStr">
        <is>
          <t>I</t>
        </is>
      </c>
      <c r="D1629" s="12" t="inlineStr">
        <is>
          <t>SC-2 120 V AC UPS to the unit control and protection</t>
        </is>
      </c>
      <c r="E1629" s="12" t="n">
        <v>120</v>
      </c>
      <c r="F1629" s="12" t="n">
        <v>5</v>
      </c>
      <c r="G1629" s="12" t="n"/>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SC-2 hydraulic starter pump motor (start sequence only)</t>
        </is>
      </c>
      <c r="E1630" s="12" t="n">
        <v>480</v>
      </c>
      <c r="F1630" s="12" t="n">
        <v>225</v>
      </c>
      <c r="G1630" s="12" t="n">
        <v>318.4</v>
      </c>
      <c r="H1630" s="12" t="inlineStr">
        <is>
          <t>SC-2 PCM + 15 kV GCB</t>
        </is>
      </c>
      <c r="I1630" s="12" t="inlineStr">
        <is>
          <t>LV 600 V</t>
        </is>
      </c>
      <c r="J1630" s="12" t="inlineStr">
        <is>
          <t>3/0</t>
        </is>
      </c>
      <c r="K1630" s="12" t="n">
        <v>2</v>
      </c>
    </row>
    <row r="1631">
      <c r="A1631" s="12" t="inlineStr">
        <is>
          <t>SC-2: aeroderivative simple-cycle unit (LM6000 class)</t>
        </is>
      </c>
      <c r="B1631" s="12" t="inlineStr">
        <is>
          <t>SC-2</t>
        </is>
      </c>
      <c r="C1631" s="12" t="inlineStr">
        <is>
          <t>I</t>
        </is>
      </c>
      <c r="D1631" s="12" t="inlineStr">
        <is>
          <t>SC-2 480 V welding receptacle 1</t>
        </is>
      </c>
      <c r="E1631" s="12" t="n">
        <v>480</v>
      </c>
      <c r="F1631" s="12" t="n">
        <v>60</v>
      </c>
      <c r="G1631" s="12" t="n">
        <v>76</v>
      </c>
      <c r="H1631" s="12" t="inlineStr">
        <is>
          <t>SC-2 PCM + 15 kV GCB</t>
        </is>
      </c>
      <c r="I1631" s="12" t="inlineStr">
        <is>
          <t>LV 600 V</t>
        </is>
      </c>
      <c r="J1631" s="12" t="inlineStr">
        <is>
          <t>2</t>
        </is>
      </c>
      <c r="K1631" s="12" t="n">
        <v>1</v>
      </c>
    </row>
    <row r="1632">
      <c r="A1632" s="12" t="inlineStr">
        <is>
          <t>SC-2: aeroderivative simple-cycle unit (LM6000 class)</t>
        </is>
      </c>
      <c r="B1632" s="12" t="inlineStr">
        <is>
          <t>SC-2</t>
        </is>
      </c>
      <c r="C1632" s="12" t="inlineStr">
        <is>
          <t>I</t>
        </is>
      </c>
      <c r="D1632" s="12" t="inlineStr">
        <is>
          <t>SC-2 480 V welding receptacle 2</t>
        </is>
      </c>
      <c r="E1632" s="12" t="n">
        <v>480</v>
      </c>
      <c r="F1632" s="12" t="n">
        <v>60</v>
      </c>
      <c r="G1632" s="12" t="n">
        <v>76</v>
      </c>
      <c r="H1632" s="12" t="inlineStr">
        <is>
          <t>SC-2 PCM + 15 kV GCB</t>
        </is>
      </c>
      <c r="I1632" s="12" t="inlineStr">
        <is>
          <t>LV 600 V</t>
        </is>
      </c>
      <c r="J1632" s="12" t="inlineStr">
        <is>
          <t>2</t>
        </is>
      </c>
      <c r="K1632" s="12" t="n">
        <v>1</v>
      </c>
    </row>
    <row r="1633">
      <c r="A1633" s="12" t="inlineStr">
        <is>
          <t>SC-2: aeroderivative simple-cycle unit (LM6000 class)</t>
        </is>
      </c>
      <c r="B1633" s="12" t="inlineStr">
        <is>
          <t>SC-2</t>
        </is>
      </c>
      <c r="C1633" s="12" t="inlineStr">
        <is>
          <t>I</t>
        </is>
      </c>
      <c r="D1633" s="12" t="inlineStr">
        <is>
          <t>Motor 1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Motor 2 of 10, 30 kW</t>
        </is>
      </c>
      <c r="E1634" s="12" t="n">
        <v>480</v>
      </c>
      <c r="F1634" s="12" t="n">
        <v>30</v>
      </c>
      <c r="G1634" s="12" t="n">
        <v>42.5</v>
      </c>
      <c r="H1634" s="12" t="inlineStr">
        <is>
          <t>SC-2 PCM + 15 kV GCB</t>
        </is>
      </c>
      <c r="I1634" s="12" t="inlineStr">
        <is>
          <t>LV 600 V</t>
        </is>
      </c>
      <c r="J1634" s="12" t="inlineStr">
        <is>
          <t>6</t>
        </is>
      </c>
      <c r="K1634" s="12" t="n">
        <v>1</v>
      </c>
    </row>
    <row r="1635">
      <c r="A1635" s="12" t="inlineStr">
        <is>
          <t>SC-2: aeroderivative simple-cycle unit (LM6000 class)</t>
        </is>
      </c>
      <c r="B1635" s="12" t="inlineStr">
        <is>
          <t>SC-2</t>
        </is>
      </c>
      <c r="C1635" s="12" t="inlineStr">
        <is>
          <t>I</t>
        </is>
      </c>
      <c r="D1635" s="12" t="inlineStr">
        <is>
          <t>Motor 3 of 10, 30 kW</t>
        </is>
      </c>
      <c r="E1635" s="12" t="n">
        <v>480</v>
      </c>
      <c r="F1635" s="12" t="n">
        <v>30</v>
      </c>
      <c r="G1635" s="12" t="n">
        <v>42.5</v>
      </c>
      <c r="H1635" s="12" t="inlineStr">
        <is>
          <t>SC-2 PCM + 15 kV GCB</t>
        </is>
      </c>
      <c r="I1635" s="12" t="inlineStr">
        <is>
          <t>LV 600 V</t>
        </is>
      </c>
      <c r="J1635" s="12" t="inlineStr">
        <is>
          <t>6</t>
        </is>
      </c>
      <c r="K1635" s="12" t="n">
        <v>1</v>
      </c>
    </row>
    <row r="1636">
      <c r="A1636" s="12" t="inlineStr">
        <is>
          <t>SC-2: aeroderivative simple-cycle unit (LM6000 class)</t>
        </is>
      </c>
      <c r="B1636" s="12" t="inlineStr">
        <is>
          <t>SC-2</t>
        </is>
      </c>
      <c r="C1636" s="12" t="inlineStr">
        <is>
          <t>I</t>
        </is>
      </c>
      <c r="D1636" s="12" t="inlineStr">
        <is>
          <t>Motor 4 of 10, 30 kW</t>
        </is>
      </c>
      <c r="E1636" s="12" t="n">
        <v>480</v>
      </c>
      <c r="F1636" s="12" t="n">
        <v>30</v>
      </c>
      <c r="G1636" s="12" t="n">
        <v>42.5</v>
      </c>
      <c r="H1636" s="12" t="inlineStr">
        <is>
          <t>SC-2 PCM + 15 kV GCB</t>
        </is>
      </c>
      <c r="I1636" s="12" t="inlineStr">
        <is>
          <t>LV 600 V</t>
        </is>
      </c>
      <c r="J1636" s="12" t="inlineStr">
        <is>
          <t>6</t>
        </is>
      </c>
      <c r="K1636" s="12" t="n">
        <v>1</v>
      </c>
    </row>
    <row r="1637">
      <c r="A1637" s="12" t="inlineStr">
        <is>
          <t>SC-2: aeroderivative simple-cycle unit (LM6000 class)</t>
        </is>
      </c>
      <c r="B1637" s="12" t="inlineStr">
        <is>
          <t>SC-2</t>
        </is>
      </c>
      <c r="C1637" s="12" t="inlineStr">
        <is>
          <t>I</t>
        </is>
      </c>
      <c r="D1637" s="12" t="inlineStr">
        <is>
          <t>Motor 5 of 10, 30 kW</t>
        </is>
      </c>
      <c r="E1637" s="12" t="n">
        <v>480</v>
      </c>
      <c r="F1637" s="12" t="n">
        <v>30</v>
      </c>
      <c r="G1637" s="12" t="n">
        <v>42.5</v>
      </c>
      <c r="H1637" s="12" t="inlineStr">
        <is>
          <t>SC-2 PCM + 15 kV GCB</t>
        </is>
      </c>
      <c r="I1637" s="12" t="inlineStr">
        <is>
          <t>LV 600 V</t>
        </is>
      </c>
      <c r="J1637" s="12" t="inlineStr">
        <is>
          <t>6</t>
        </is>
      </c>
      <c r="K1637" s="12" t="n">
        <v>1</v>
      </c>
    </row>
    <row r="1638">
      <c r="A1638" s="12" t="inlineStr">
        <is>
          <t>SC-2: aeroderivative simple-cycle unit (LM6000 class)</t>
        </is>
      </c>
      <c r="B1638" s="12" t="inlineStr">
        <is>
          <t>SC-2</t>
        </is>
      </c>
      <c r="C1638" s="12" t="inlineStr">
        <is>
          <t>I</t>
        </is>
      </c>
      <c r="D1638" s="12" t="inlineStr">
        <is>
          <t>Motor 6 of 10, 30 kW</t>
        </is>
      </c>
      <c r="E1638" s="12" t="n">
        <v>480</v>
      </c>
      <c r="F1638" s="12" t="n">
        <v>30</v>
      </c>
      <c r="G1638" s="12" t="n">
        <v>42.5</v>
      </c>
      <c r="H1638" s="12" t="inlineStr">
        <is>
          <t>SC-2 PCM + 15 kV GCB</t>
        </is>
      </c>
      <c r="I1638" s="12" t="inlineStr">
        <is>
          <t>LV 600 V</t>
        </is>
      </c>
      <c r="J1638" s="12" t="inlineStr">
        <is>
          <t>6</t>
        </is>
      </c>
      <c r="K1638" s="12" t="n">
        <v>1</v>
      </c>
    </row>
    <row r="1639">
      <c r="A1639" s="12" t="inlineStr">
        <is>
          <t>SC-2: aeroderivative simple-cycle unit (LM6000 class)</t>
        </is>
      </c>
      <c r="B1639" s="12" t="inlineStr">
        <is>
          <t>SC-2</t>
        </is>
      </c>
      <c r="C1639" s="12" t="inlineStr">
        <is>
          <t>I</t>
        </is>
      </c>
      <c r="D1639" s="12" t="inlineStr">
        <is>
          <t>Motor 7 of 10, 30 kW</t>
        </is>
      </c>
      <c r="E1639" s="12" t="n">
        <v>480</v>
      </c>
      <c r="F1639" s="12" t="n">
        <v>30</v>
      </c>
      <c r="G1639" s="12" t="n">
        <v>42.5</v>
      </c>
      <c r="H1639" s="12" t="inlineStr">
        <is>
          <t>SC-2 PCM + 15 kV GCB</t>
        </is>
      </c>
      <c r="I1639" s="12" t="inlineStr">
        <is>
          <t>LV 600 V</t>
        </is>
      </c>
      <c r="J1639" s="12" t="inlineStr">
        <is>
          <t>6</t>
        </is>
      </c>
      <c r="K1639" s="12" t="n">
        <v>1</v>
      </c>
    </row>
    <row r="1640">
      <c r="A1640" s="12" t="inlineStr">
        <is>
          <t>SC-2: aeroderivative simple-cycle unit (LM6000 class)</t>
        </is>
      </c>
      <c r="B1640" s="12" t="inlineStr">
        <is>
          <t>SC-2</t>
        </is>
      </c>
      <c r="C1640" s="12" t="inlineStr">
        <is>
          <t>I</t>
        </is>
      </c>
      <c r="D1640" s="12" t="inlineStr">
        <is>
          <t>Motor 8 of 10, 30 kW</t>
        </is>
      </c>
      <c r="E1640" s="12" t="n">
        <v>480</v>
      </c>
      <c r="F1640" s="12" t="n">
        <v>30</v>
      </c>
      <c r="G1640" s="12" t="n">
        <v>42.5</v>
      </c>
      <c r="H1640" s="12" t="inlineStr">
        <is>
          <t>SC-2 PCM + 15 kV GCB</t>
        </is>
      </c>
      <c r="I1640" s="12" t="inlineStr">
        <is>
          <t>LV 600 V</t>
        </is>
      </c>
      <c r="J1640" s="12" t="inlineStr">
        <is>
          <t>6</t>
        </is>
      </c>
      <c r="K1640" s="12" t="n">
        <v>1</v>
      </c>
    </row>
    <row r="1641">
      <c r="A1641" s="12" t="inlineStr">
        <is>
          <t>SC-2: aeroderivative simple-cycle unit (LM6000 class)</t>
        </is>
      </c>
      <c r="B1641" s="12" t="inlineStr">
        <is>
          <t>SC-2</t>
        </is>
      </c>
      <c r="C1641" s="12" t="inlineStr">
        <is>
          <t>I</t>
        </is>
      </c>
      <c r="D1641" s="12" t="inlineStr">
        <is>
          <t>Motor 9 of 10, 30 kW</t>
        </is>
      </c>
      <c r="E1641" s="12" t="n">
        <v>480</v>
      </c>
      <c r="F1641" s="12" t="n">
        <v>30</v>
      </c>
      <c r="G1641" s="12" t="n">
        <v>42.5</v>
      </c>
      <c r="H1641" s="12" t="inlineStr">
        <is>
          <t>SC-2 PCM + 15 kV GCB</t>
        </is>
      </c>
      <c r="I1641" s="12" t="inlineStr">
        <is>
          <t>LV 600 V</t>
        </is>
      </c>
      <c r="J1641" s="12" t="inlineStr">
        <is>
          <t>6</t>
        </is>
      </c>
      <c r="K1641" s="12" t="n">
        <v>1</v>
      </c>
    </row>
    <row r="1642">
      <c r="A1642" s="12" t="inlineStr">
        <is>
          <t>SC-2: aeroderivative simple-cycle unit (LM6000 class)</t>
        </is>
      </c>
      <c r="B1642" s="12" t="inlineStr">
        <is>
          <t>SC-2</t>
        </is>
      </c>
      <c r="C1642" s="12" t="inlineStr">
        <is>
          <t>I</t>
        </is>
      </c>
      <c r="D1642" s="12" t="inlineStr">
        <is>
          <t>Motor 10 of 10, 30 kW</t>
        </is>
      </c>
      <c r="E1642" s="12" t="n">
        <v>480</v>
      </c>
      <c r="F1642" s="12" t="n">
        <v>30</v>
      </c>
      <c r="G1642" s="12" t="n">
        <v>42.5</v>
      </c>
      <c r="H1642" s="12" t="inlineStr">
        <is>
          <t>SC-2 PCM + 15 kV GCB</t>
        </is>
      </c>
      <c r="I1642" s="12" t="inlineStr">
        <is>
          <t>LV 600 V</t>
        </is>
      </c>
      <c r="J1642" s="12" t="inlineStr">
        <is>
          <t>6</t>
        </is>
      </c>
      <c r="K1642" s="12" t="n">
        <v>1</v>
      </c>
    </row>
    <row r="1643">
      <c r="A1643" s="12" t="inlineStr">
        <is>
          <t>SC-2: aeroderivative simple-cycle unit (LM6000 class)</t>
        </is>
      </c>
      <c r="B1643" s="12" t="inlineStr">
        <is>
          <t>SC-2</t>
        </is>
      </c>
      <c r="C1643" s="12" t="inlineStr">
        <is>
          <t>I</t>
        </is>
      </c>
      <c r="D1643" s="12" t="inlineStr">
        <is>
          <t>Area / platform lighting circuit 1 (8 fixtures)</t>
        </is>
      </c>
      <c r="E1643" s="12" t="n">
        <v>480</v>
      </c>
      <c r="F1643" s="12" t="n">
        <v>3</v>
      </c>
      <c r="G1643" s="12" t="n">
        <v>5</v>
      </c>
      <c r="H1643" s="12" t="inlineStr">
        <is>
          <t>SC-2 PCM + 15 kV GCB</t>
        </is>
      </c>
      <c r="I1643" s="12" t="inlineStr">
        <is>
          <t>LV 600 V</t>
        </is>
      </c>
      <c r="J1643" s="12" t="inlineStr">
        <is>
          <t>10</t>
        </is>
      </c>
      <c r="K1643" s="12" t="n">
        <v>1</v>
      </c>
    </row>
    <row r="1644">
      <c r="A1644" s="12" t="inlineStr">
        <is>
          <t>T-MOD 230 kV take-off gantry with arresters</t>
        </is>
      </c>
      <c r="B1644" s="12" t="inlineStr"/>
      <c r="C1644" s="12" t="inlineStr">
        <is>
          <t>I</t>
        </is>
      </c>
      <c r="D1644" s="12" t="inlineStr">
        <is>
          <t>Motor 1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 230 kV take-off gantry with arresters</t>
        </is>
      </c>
      <c r="B1645" s="12" t="inlineStr"/>
      <c r="C1645" s="12" t="inlineStr">
        <is>
          <t>I</t>
        </is>
      </c>
      <c r="D1645" s="12" t="inlineStr">
        <is>
          <t>Motor 2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 230 kV take-off gantry with arresters</t>
        </is>
      </c>
      <c r="B1646" s="12" t="inlineStr"/>
      <c r="C1646" s="12" t="inlineStr">
        <is>
          <t>I</t>
        </is>
      </c>
      <c r="D1646" s="12" t="inlineStr">
        <is>
          <t>Motor 3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 230 kV take-off gantry with arresters</t>
        </is>
      </c>
      <c r="B1647" s="12" t="inlineStr"/>
      <c r="C1647" s="12" t="inlineStr">
        <is>
          <t>I</t>
        </is>
      </c>
      <c r="D1647" s="12" t="inlineStr">
        <is>
          <t>Motor 4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 230 kV take-off gantry with arresters</t>
        </is>
      </c>
      <c r="B1648" s="12" t="inlineStr"/>
      <c r="C1648" s="12" t="inlineStr">
        <is>
          <t>I</t>
        </is>
      </c>
      <c r="D1648" s="12" t="inlineStr">
        <is>
          <t>Motor 5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 230 kV take-off gantry with arresters</t>
        </is>
      </c>
      <c r="B1649" s="12" t="inlineStr"/>
      <c r="C1649" s="12" t="inlineStr">
        <is>
          <t>I</t>
        </is>
      </c>
      <c r="D1649" s="12" t="inlineStr">
        <is>
          <t>Motor 6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 T-MOD-2 firewall</t>
        </is>
      </c>
      <c r="B1650" s="12" t="inlineStr"/>
      <c r="C1650" s="12" t="inlineStr">
        <is>
          <t>I</t>
        </is>
      </c>
      <c r="D1650" s="12" t="inlineStr">
        <is>
          <t>Motor 1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 T-MOD-2 firewall</t>
        </is>
      </c>
      <c r="B1651" s="12" t="inlineStr"/>
      <c r="C1651" s="12" t="inlineStr">
        <is>
          <t>I</t>
        </is>
      </c>
      <c r="D1651" s="12" t="inlineStr">
        <is>
          <t>Motor 2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 T-MOD-2 firewall</t>
        </is>
      </c>
      <c r="B1652" s="12" t="inlineStr"/>
      <c r="C1652" s="12" t="inlineStr">
        <is>
          <t>I</t>
        </is>
      </c>
      <c r="D1652" s="12" t="inlineStr">
        <is>
          <t>Motor 3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 T-MOD-2 firewall</t>
        </is>
      </c>
      <c r="B1653" s="12" t="inlineStr"/>
      <c r="C1653" s="12" t="inlineStr">
        <is>
          <t>I</t>
        </is>
      </c>
      <c r="D1653" s="12" t="inlineStr">
        <is>
          <t>Motor 4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 T-MOD-2 firewall</t>
        </is>
      </c>
      <c r="B1654" s="12" t="inlineStr"/>
      <c r="C1654" s="12" t="inlineStr">
        <is>
          <t>I</t>
        </is>
      </c>
      <c r="D1654" s="12" t="inlineStr">
        <is>
          <t>Motor 5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T-MOD-1 / T-MOD-2 firewall</t>
        </is>
      </c>
      <c r="B1655" s="12" t="inlineStr"/>
      <c r="C1655" s="12" t="inlineStr">
        <is>
          <t>I</t>
        </is>
      </c>
      <c r="D1655" s="12" t="inlineStr">
        <is>
          <t>Motor 6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T-MOD-1: 13.8/230 kV</t>
        </is>
      </c>
      <c r="B1656" s="12" t="inlineStr">
        <is>
          <t>T-MOD-1</t>
        </is>
      </c>
      <c r="C1656" s="12" t="inlineStr">
        <is>
          <t>I</t>
        </is>
      </c>
      <c r="D1656" s="12" t="inlineStr">
        <is>
          <t>Motor 1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T-MOD-1: 13.8/230 kV</t>
        </is>
      </c>
      <c r="B1657" s="12" t="inlineStr">
        <is>
          <t>T-MOD-1</t>
        </is>
      </c>
      <c r="C1657" s="12" t="inlineStr">
        <is>
          <t>I</t>
        </is>
      </c>
      <c r="D1657" s="12" t="inlineStr">
        <is>
          <t>Motor 2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T-MOD-1: 13.8/230 kV</t>
        </is>
      </c>
      <c r="B1658" s="12" t="inlineStr">
        <is>
          <t>T-MOD-1</t>
        </is>
      </c>
      <c r="C1658" s="12" t="inlineStr">
        <is>
          <t>I</t>
        </is>
      </c>
      <c r="D1658" s="12" t="inlineStr">
        <is>
          <t>Motor 3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T-MOD-1: 13.8/230 kV</t>
        </is>
      </c>
      <c r="B1659" s="12" t="inlineStr">
        <is>
          <t>T-MOD-1</t>
        </is>
      </c>
      <c r="C1659" s="12" t="inlineStr">
        <is>
          <t>I</t>
        </is>
      </c>
      <c r="D1659" s="12" t="inlineStr">
        <is>
          <t>Motor 4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T-MOD-1: 13.8/230 kV</t>
        </is>
      </c>
      <c r="B1660" s="12" t="inlineStr">
        <is>
          <t>T-MOD-1</t>
        </is>
      </c>
      <c r="C1660" s="12" t="inlineStr">
        <is>
          <t>I</t>
        </is>
      </c>
      <c r="D1660" s="12" t="inlineStr">
        <is>
          <t>Motor 5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T-MOD-1: 13.8/230 kV</t>
        </is>
      </c>
      <c r="B1661" s="12" t="inlineStr">
        <is>
          <t>T-MOD-1</t>
        </is>
      </c>
      <c r="C1661" s="12" t="inlineStr">
        <is>
          <t>I</t>
        </is>
      </c>
      <c r="D1661" s="12" t="inlineStr">
        <is>
          <t>Motor 6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T-MOD-2: 13.8/230 kV</t>
        </is>
      </c>
      <c r="B1662" s="12" t="inlineStr">
        <is>
          <t>T-MOD-2</t>
        </is>
      </c>
      <c r="C1662" s="12" t="inlineStr">
        <is>
          <t>I</t>
        </is>
      </c>
      <c r="D1662" s="12" t="inlineStr">
        <is>
          <t>Motor 1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T-MOD-2: 13.8/230 kV</t>
        </is>
      </c>
      <c r="B1663" s="12" t="inlineStr">
        <is>
          <t>T-MOD-2</t>
        </is>
      </c>
      <c r="C1663" s="12" t="inlineStr">
        <is>
          <t>I</t>
        </is>
      </c>
      <c r="D1663" s="12" t="inlineStr">
        <is>
          <t>Motor 2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T-MOD-2: 13.8/230 kV</t>
        </is>
      </c>
      <c r="B1664" s="12" t="inlineStr">
        <is>
          <t>T-MOD-2</t>
        </is>
      </c>
      <c r="C1664" s="12" t="inlineStr">
        <is>
          <t>I</t>
        </is>
      </c>
      <c r="D1664" s="12" t="inlineStr">
        <is>
          <t>Motor 3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T-MOD-2: 13.8/230 kV</t>
        </is>
      </c>
      <c r="B1665" s="12" t="inlineStr">
        <is>
          <t>T-MOD-2</t>
        </is>
      </c>
      <c r="C1665" s="12" t="inlineStr">
        <is>
          <t>I</t>
        </is>
      </c>
      <c r="D1665" s="12" t="inlineStr">
        <is>
          <t>Motor 4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T-MOD-2: 13.8/230 kV</t>
        </is>
      </c>
      <c r="B1666" s="12" t="inlineStr">
        <is>
          <t>T-MOD-2</t>
        </is>
      </c>
      <c r="C1666" s="12" t="inlineStr">
        <is>
          <t>I</t>
        </is>
      </c>
      <c r="D1666" s="12" t="inlineStr">
        <is>
          <t>Motor 5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T-MOD-2: 13.8/230 kV</t>
        </is>
      </c>
      <c r="B1667" s="12" t="inlineStr">
        <is>
          <t>T-MOD-2</t>
        </is>
      </c>
      <c r="C1667" s="12" t="inlineStr">
        <is>
          <t>I</t>
        </is>
      </c>
      <c r="D1667" s="12" t="inlineStr">
        <is>
          <t>Motor 6 of 6, 2 kW</t>
        </is>
      </c>
      <c r="E1667" s="12" t="n">
        <v>480</v>
      </c>
      <c r="F1667" s="12" t="n">
        <v>2</v>
      </c>
      <c r="G1667" s="12" t="n">
        <v>2.8</v>
      </c>
      <c r="H1667" s="12" t="inlineStr">
        <is>
          <t>MOD-LV 480 V board + 480 V : 13.8 kV step-up</t>
        </is>
      </c>
      <c r="I1667" s="12" t="inlineStr">
        <is>
          <t>LV 600 V</t>
        </is>
      </c>
      <c r="J1667" s="12" t="inlineStr">
        <is>
          <t>10</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4/0</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4/0</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4/0</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4/0</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4/0</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4/0</t>
        </is>
      </c>
      <c r="K1673" s="12" t="n">
        <v>1</v>
      </c>
    </row>
    <row r="1674">
      <c r="A1674" s="12" t="inlineStr">
        <is>
          <t>TM-2: trailer-mounted aeroderivative GT (TM2500 class, ~35 MW)</t>
        </is>
      </c>
      <c r="B1674" s="12" t="inlineStr">
        <is>
          <t>TM-2</t>
        </is>
      </c>
      <c r="C1674" s="12" t="inlineStr">
        <is>
          <t>I</t>
        </is>
      </c>
      <c r="D1674" s="12" t="inlineStr">
        <is>
          <t>Motor 1 of 6, 22 kW</t>
        </is>
      </c>
      <c r="E1674" s="12" t="n">
        <v>480</v>
      </c>
      <c r="F1674" s="12" t="n">
        <v>22</v>
      </c>
      <c r="G1674" s="12" t="n">
        <v>31.1</v>
      </c>
      <c r="H1674" s="12" t="inlineStr">
        <is>
          <t>MOD-LV 480 V board + 480 V : 13.8 kV step-up</t>
        </is>
      </c>
      <c r="I1674" s="12" t="inlineStr">
        <is>
          <t>LV 600 V</t>
        </is>
      </c>
      <c r="J1674" s="12" t="inlineStr">
        <is>
          <t>4/0</t>
        </is>
      </c>
      <c r="K1674" s="12" t="n">
        <v>1</v>
      </c>
    </row>
    <row r="1675">
      <c r="A1675" s="12" t="inlineStr">
        <is>
          <t>TM-2: trailer-mounted aeroderivative GT (TM2500 class, ~35 MW)</t>
        </is>
      </c>
      <c r="B1675" s="12" t="inlineStr">
        <is>
          <t>TM-2</t>
        </is>
      </c>
      <c r="C1675" s="12" t="inlineStr">
        <is>
          <t>I</t>
        </is>
      </c>
      <c r="D1675" s="12" t="inlineStr">
        <is>
          <t>Motor 2 of 6, 22 kW</t>
        </is>
      </c>
      <c r="E1675" s="12" t="n">
        <v>480</v>
      </c>
      <c r="F1675" s="12" t="n">
        <v>22</v>
      </c>
      <c r="G1675" s="12" t="n">
        <v>31.1</v>
      </c>
      <c r="H1675" s="12" t="inlineStr">
        <is>
          <t>MOD-LV 480 V board + 480 V : 13.8 kV step-up</t>
        </is>
      </c>
      <c r="I1675" s="12" t="inlineStr">
        <is>
          <t>LV 600 V</t>
        </is>
      </c>
      <c r="J1675" s="12" t="inlineStr">
        <is>
          <t>4/0</t>
        </is>
      </c>
      <c r="K1675" s="12" t="n">
        <v>1</v>
      </c>
    </row>
    <row r="1676">
      <c r="A1676" s="12" t="inlineStr">
        <is>
          <t>TM-2: trailer-mounted aeroderivative GT (TM2500 class, ~35 MW)</t>
        </is>
      </c>
      <c r="B1676" s="12" t="inlineStr">
        <is>
          <t>TM-2</t>
        </is>
      </c>
      <c r="C1676" s="12" t="inlineStr">
        <is>
          <t>I</t>
        </is>
      </c>
      <c r="D1676" s="12" t="inlineStr">
        <is>
          <t>Motor 3 of 6, 22 kW</t>
        </is>
      </c>
      <c r="E1676" s="12" t="n">
        <v>480</v>
      </c>
      <c r="F1676" s="12" t="n">
        <v>22</v>
      </c>
      <c r="G1676" s="12" t="n">
        <v>31.1</v>
      </c>
      <c r="H1676" s="12" t="inlineStr">
        <is>
          <t>MOD-LV 480 V board + 480 V : 13.8 kV step-up</t>
        </is>
      </c>
      <c r="I1676" s="12" t="inlineStr">
        <is>
          <t>LV 600 V</t>
        </is>
      </c>
      <c r="J1676" s="12" t="inlineStr">
        <is>
          <t>4/0</t>
        </is>
      </c>
      <c r="K1676" s="12" t="n">
        <v>1</v>
      </c>
    </row>
    <row r="1677">
      <c r="A1677" s="12" t="inlineStr">
        <is>
          <t>TM-2: trailer-mounted aeroderivative GT (TM2500 class, ~35 MW)</t>
        </is>
      </c>
      <c r="B1677" s="12" t="inlineStr">
        <is>
          <t>TM-2</t>
        </is>
      </c>
      <c r="C1677" s="12" t="inlineStr">
        <is>
          <t>I</t>
        </is>
      </c>
      <c r="D1677" s="12" t="inlineStr">
        <is>
          <t>Motor 4 of 6, 22 kW</t>
        </is>
      </c>
      <c r="E1677" s="12" t="n">
        <v>480</v>
      </c>
      <c r="F1677" s="12" t="n">
        <v>22</v>
      </c>
      <c r="G1677" s="12" t="n">
        <v>31.1</v>
      </c>
      <c r="H1677" s="12" t="inlineStr">
        <is>
          <t>MOD-LV 480 V board + 480 V : 13.8 kV step-up</t>
        </is>
      </c>
      <c r="I1677" s="12" t="inlineStr">
        <is>
          <t>LV 600 V</t>
        </is>
      </c>
      <c r="J1677" s="12" t="inlineStr">
        <is>
          <t>4/0</t>
        </is>
      </c>
      <c r="K1677" s="12" t="n">
        <v>1</v>
      </c>
    </row>
    <row r="1678">
      <c r="A1678" s="12" t="inlineStr">
        <is>
          <t>TM-2: trailer-mounted aeroderivative GT (TM2500 class, ~35 MW)</t>
        </is>
      </c>
      <c r="B1678" s="12" t="inlineStr">
        <is>
          <t>TM-2</t>
        </is>
      </c>
      <c r="C1678" s="12" t="inlineStr">
        <is>
          <t>I</t>
        </is>
      </c>
      <c r="D1678" s="12" t="inlineStr">
        <is>
          <t>Motor 5 of 6, 22 kW</t>
        </is>
      </c>
      <c r="E1678" s="12" t="n">
        <v>480</v>
      </c>
      <c r="F1678" s="12" t="n">
        <v>22</v>
      </c>
      <c r="G1678" s="12" t="n">
        <v>31.1</v>
      </c>
      <c r="H1678" s="12" t="inlineStr">
        <is>
          <t>MOD-LV 480 V board + 480 V : 13.8 kV step-up</t>
        </is>
      </c>
      <c r="I1678" s="12" t="inlineStr">
        <is>
          <t>LV 600 V</t>
        </is>
      </c>
      <c r="J1678" s="12" t="inlineStr">
        <is>
          <t>4/0</t>
        </is>
      </c>
      <c r="K1678" s="12" t="n">
        <v>1</v>
      </c>
    </row>
    <row r="1679">
      <c r="A1679" s="12" t="inlineStr">
        <is>
          <t>TM-2: trailer-mounted aeroderivative GT (TM2500 class, ~35 MW)</t>
        </is>
      </c>
      <c r="B1679" s="12" t="inlineStr">
        <is>
          <t>TM-2</t>
        </is>
      </c>
      <c r="C1679" s="12" t="inlineStr">
        <is>
          <t>I</t>
        </is>
      </c>
      <c r="D1679" s="12" t="inlineStr">
        <is>
          <t>Motor 6 of 6, 22 kW</t>
        </is>
      </c>
      <c r="E1679" s="12" t="n">
        <v>480</v>
      </c>
      <c r="F1679" s="12" t="n">
        <v>22</v>
      </c>
      <c r="G1679" s="12" t="n">
        <v>31.1</v>
      </c>
      <c r="H1679" s="12" t="inlineStr">
        <is>
          <t>MOD-LV 480 V board + 480 V : 13.8 kV step-up</t>
        </is>
      </c>
      <c r="I1679" s="12" t="inlineStr">
        <is>
          <t>LV 600 V</t>
        </is>
      </c>
      <c r="J1679" s="12" t="inlineStr">
        <is>
          <t>4/0</t>
        </is>
      </c>
      <c r="K1679" s="12" t="n">
        <v>1</v>
      </c>
    </row>
    <row r="1680">
      <c r="A1680" s="12" t="inlineStr">
        <is>
          <t>Water-injection skid</t>
        </is>
      </c>
      <c r="B1680" s="12" t="inlineStr"/>
      <c r="C1680" s="12" t="inlineStr">
        <is>
          <t>I</t>
        </is>
      </c>
      <c r="D1680" s="12" t="inlineStr">
        <is>
          <t>Motor 1 of 2, 75 kW</t>
        </is>
      </c>
      <c r="E1680" s="12" t="n">
        <v>480</v>
      </c>
      <c r="F1680" s="12" t="n">
        <v>75</v>
      </c>
      <c r="G1680" s="12" t="n">
        <v>106.1</v>
      </c>
      <c r="H1680" s="12" t="inlineStr">
        <is>
          <t>SC-2 PCM + 15 kV GCB</t>
        </is>
      </c>
      <c r="I1680" s="12" t="inlineStr">
        <is>
          <t>LV 600 V</t>
        </is>
      </c>
      <c r="J1680" s="12" t="inlineStr">
        <is>
          <t>1/0</t>
        </is>
      </c>
      <c r="K1680" s="12" t="n">
        <v>1</v>
      </c>
    </row>
    <row r="1681">
      <c r="A1681" s="12" t="inlineStr">
        <is>
          <t>Water-injection skid</t>
        </is>
      </c>
      <c r="B1681" s="12" t="inlineStr"/>
      <c r="C1681" s="12" t="inlineStr">
        <is>
          <t>I</t>
        </is>
      </c>
      <c r="D1681" s="12" t="inlineStr">
        <is>
          <t>Motor 2 of 2, 75 kW</t>
        </is>
      </c>
      <c r="E1681" s="12" t="n">
        <v>480</v>
      </c>
      <c r="F1681" s="12" t="n">
        <v>75</v>
      </c>
      <c r="G1681" s="12" t="n">
        <v>106.1</v>
      </c>
      <c r="H1681" s="12" t="inlineStr">
        <is>
          <t>SC-2 PCM + 15 kV GCB</t>
        </is>
      </c>
      <c r="I1681" s="12" t="inlineStr">
        <is>
          <t>LV 600 V</t>
        </is>
      </c>
      <c r="J1681" s="12" t="inlineStr">
        <is>
          <t>1/0</t>
        </is>
      </c>
      <c r="K1681" s="12" t="n">
        <v>1</v>
      </c>
    </row>
    <row r="1682">
      <c r="A1682" s="12" t="inlineStr">
        <is>
          <t>Fuel-gas compressors 3 x 100% electric</t>
        </is>
      </c>
      <c r="B1682" s="12" t="inlineStr"/>
      <c r="C1682" s="12" t="inlineStr">
        <is>
          <t>I</t>
        </is>
      </c>
      <c r="D1682" s="12" t="inlineStr">
        <is>
          <t>Modular-yard fuel-gas compressor</t>
        </is>
      </c>
      <c r="E1682" s="12" t="n">
        <v>13800</v>
      </c>
      <c r="F1682" s="12" t="n">
        <v>1500</v>
      </c>
      <c r="G1682" s="12" t="n">
        <v>70</v>
      </c>
      <c r="H1682" s="12" t="inlineStr">
        <is>
          <t>MOD-EH: 13.8 kV modular collector e-house</t>
        </is>
      </c>
      <c r="I1682" s="12" t="inlineStr">
        <is>
          <t>MV 15 kV</t>
        </is>
      </c>
      <c r="J1682" s="12" t="inlineStr">
        <is>
          <t>2</t>
        </is>
      </c>
      <c r="K1682" s="12" t="n">
        <v>1</v>
      </c>
    </row>
    <row r="1683">
      <c r="A1683" s="12" t="inlineStr">
        <is>
          <t>Fuel-gas compressors 3 x 100% electric</t>
        </is>
      </c>
      <c r="B1683" s="12" t="inlineStr"/>
      <c r="C1683" s="12" t="inlineStr">
        <is>
          <t>I</t>
        </is>
      </c>
      <c r="D1683" s="12" t="inlineStr">
        <is>
          <t>Modular-yard fuel-gas compressor</t>
        </is>
      </c>
      <c r="E1683" s="12" t="n">
        <v>13800</v>
      </c>
      <c r="F1683" s="12" t="n">
        <v>1500</v>
      </c>
      <c r="G1683" s="12" t="n">
        <v>70</v>
      </c>
      <c r="H1683" s="12" t="inlineStr">
        <is>
          <t>MOD-EH: 13.8 kV modular collector e-house</t>
        </is>
      </c>
      <c r="I1683" s="12" t="inlineStr">
        <is>
          <t>MV 15 kV</t>
        </is>
      </c>
      <c r="J1683" s="12" t="inlineStr">
        <is>
          <t>2</t>
        </is>
      </c>
      <c r="K1683" s="12" t="n">
        <v>1</v>
      </c>
    </row>
    <row r="1684">
      <c r="A1684" s="12" t="inlineStr">
        <is>
          <t>Fuel-gas compressors 3 x 100% electric</t>
        </is>
      </c>
      <c r="B1684" s="12" t="inlineStr"/>
      <c r="C1684" s="12" t="inlineStr">
        <is>
          <t>I</t>
        </is>
      </c>
      <c r="D1684" s="12" t="inlineStr">
        <is>
          <t>Modular-yard fuel-gas compressor</t>
        </is>
      </c>
      <c r="E1684" s="12" t="n">
        <v>13800</v>
      </c>
      <c r="F1684" s="12" t="n">
        <v>1500</v>
      </c>
      <c r="G1684" s="12" t="n">
        <v>70</v>
      </c>
      <c r="H1684" s="12" t="inlineStr">
        <is>
          <t>MOD-EH: 13.8 kV modular collector e-house</t>
        </is>
      </c>
      <c r="I1684" s="12" t="inlineStr">
        <is>
          <t>MV 15 kV</t>
        </is>
      </c>
      <c r="J1684" s="12" t="inlineStr">
        <is>
          <t>2</t>
        </is>
      </c>
      <c r="K1684" s="12" t="n">
        <v>1</v>
      </c>
    </row>
    <row r="1685">
      <c r="A1685" s="12" t="inlineStr">
        <is>
          <t>MOD-EH: 13.8 kV modular collector e-house</t>
        </is>
      </c>
      <c r="B1685" s="12" t="inlineStr">
        <is>
          <t>MOD-EH</t>
        </is>
      </c>
      <c r="C1685" s="12" t="inlineStr">
        <is>
          <t>I</t>
        </is>
      </c>
      <c r="D1685" s="12" t="inlineStr">
        <is>
          <t>SC-1 PCM to MOD-EH</t>
        </is>
      </c>
      <c r="E1685" s="12" t="n">
        <v>13800</v>
      </c>
      <c r="F1685" s="12" t="n">
        <v>50000</v>
      </c>
      <c r="G1685" s="12" t="n">
        <v>2092</v>
      </c>
      <c r="H1685" s="12" t="inlineStr">
        <is>
          <t>SC-1 PCM + 15 kV GCB</t>
        </is>
      </c>
      <c r="I1685" s="12" t="inlineStr">
        <is>
          <t>MV 15 kV</t>
        </is>
      </c>
      <c r="J1685" s="12" t="inlineStr">
        <is>
          <t>750 kcmil</t>
        </is>
      </c>
      <c r="K1685" s="12" t="n">
        <v>5</v>
      </c>
    </row>
    <row r="1686">
      <c r="A1686" s="12" t="inlineStr">
        <is>
          <t>MOD-EH: 13.8 kV modular collector e-house</t>
        </is>
      </c>
      <c r="B1686" s="12" t="inlineStr">
        <is>
          <t>MOD-EH</t>
        </is>
      </c>
      <c r="C1686" s="12" t="inlineStr">
        <is>
          <t>I</t>
        </is>
      </c>
      <c r="D1686" s="12" t="inlineStr">
        <is>
          <t>SC-2 PCM to MOD-EH</t>
        </is>
      </c>
      <c r="E1686" s="12" t="n">
        <v>13800</v>
      </c>
      <c r="F1686" s="12" t="n">
        <v>50000</v>
      </c>
      <c r="G1686" s="12" t="n">
        <v>2092</v>
      </c>
      <c r="H1686" s="12" t="inlineStr">
        <is>
          <t>SC-2 PCM + 15 kV GCB</t>
        </is>
      </c>
      <c r="I1686" s="12" t="inlineStr">
        <is>
          <t>MV 15 kV</t>
        </is>
      </c>
      <c r="J1686" s="12" t="inlineStr">
        <is>
          <t>750 kcmil</t>
        </is>
      </c>
      <c r="K1686" s="12" t="n">
        <v>5</v>
      </c>
    </row>
    <row r="1687">
      <c r="A1687" s="12" t="inlineStr">
        <is>
          <t>MOD-EH: 13.8 kV modular collector e-house</t>
        </is>
      </c>
      <c r="B1687" s="12" t="inlineStr">
        <is>
          <t>MOD-EH</t>
        </is>
      </c>
      <c r="C1687" s="12" t="inlineStr">
        <is>
          <t>I</t>
        </is>
      </c>
      <c r="D1687" s="12" t="inlineStr">
        <is>
          <t>MOD-LV step-up to MOD-EH</t>
        </is>
      </c>
      <c r="E1687" s="12" t="n">
        <v>13800</v>
      </c>
      <c r="F1687" s="12" t="n">
        <v>7500</v>
      </c>
      <c r="G1687" s="12" t="n">
        <v>314</v>
      </c>
      <c r="H1687" s="12" t="inlineStr">
        <is>
          <t>MOD-LV 480 V board + 480 V : 13.8 kV step-up</t>
        </is>
      </c>
      <c r="I1687" s="12" t="inlineStr">
        <is>
          <t>MV 15 kV</t>
        </is>
      </c>
      <c r="J1687" s="12" t="inlineStr">
        <is>
          <t>500 kcmil</t>
        </is>
      </c>
      <c r="K1687" s="12" t="n">
        <v>1</v>
      </c>
    </row>
    <row r="1688">
      <c r="A1688" s="12" t="inlineStr">
        <is>
          <t>PAD-EH 13.8 kV switchgear e-house</t>
        </is>
      </c>
      <c r="B1688" s="12" t="inlineStr">
        <is>
          <t>PAD-EH</t>
        </is>
      </c>
      <c r="C1688" s="12" t="inlineStr">
        <is>
          <t>I</t>
        </is>
      </c>
      <c r="D1688" s="12" t="inlineStr">
        <is>
          <t>CONT-3 13.8 kV to PAD-EH (extension section, ground tray)</t>
        </is>
      </c>
      <c r="E1688" s="12" t="n">
        <v>13800</v>
      </c>
      <c r="F1688" s="12" t="n">
        <v>2000</v>
      </c>
      <c r="G1688" s="12" t="n">
        <v>93</v>
      </c>
      <c r="H1688" s="12" t="inlineStr">
        <is>
          <t>CONT-3: containerized gas genset 13.8 kV (40 ft)</t>
        </is>
      </c>
      <c r="I1688" s="12" t="inlineStr">
        <is>
          <t>MV 15 kV</t>
        </is>
      </c>
      <c r="J1688" s="12" t="inlineStr">
        <is>
          <t>2</t>
        </is>
      </c>
      <c r="K1688" s="12" t="n">
        <v>1</v>
      </c>
    </row>
    <row r="1689">
      <c r="A1689" s="12" t="inlineStr">
        <is>
          <t>PAD-EH 13.8 kV switchgear e-house</t>
        </is>
      </c>
      <c r="B1689" s="12" t="inlineStr">
        <is>
          <t>PAD-EH</t>
        </is>
      </c>
      <c r="C1689" s="12" t="inlineStr">
        <is>
          <t>I</t>
        </is>
      </c>
      <c r="D1689" s="12" t="inlineStr">
        <is>
          <t>CONT-4 13.8 kV to PAD-EH (extension section, ground tray)</t>
        </is>
      </c>
      <c r="E1689" s="12" t="n">
        <v>13800</v>
      </c>
      <c r="F1689" s="12" t="n">
        <v>2000</v>
      </c>
      <c r="G1689" s="12" t="n">
        <v>93</v>
      </c>
      <c r="H1689" s="12" t="inlineStr">
        <is>
          <t>CONT-4: containerized gas genset 13.8 kV (40 ft)</t>
        </is>
      </c>
      <c r="I1689" s="12" t="inlineStr">
        <is>
          <t>MV 15 kV</t>
        </is>
      </c>
      <c r="J1689" s="12" t="inlineStr">
        <is>
          <t>2</t>
        </is>
      </c>
      <c r="K1689" s="12" t="n">
        <v>1</v>
      </c>
    </row>
    <row r="1690">
      <c r="A1690" s="12" t="inlineStr">
        <is>
          <t>PAD-EH 13.8 kV switchgear e-house</t>
        </is>
      </c>
      <c r="B1690" s="12" t="inlineStr">
        <is>
          <t>PAD-EH</t>
        </is>
      </c>
      <c r="C1690" s="12" t="inlineStr">
        <is>
          <t>I</t>
        </is>
      </c>
      <c r="D1690" s="12" t="inlineStr">
        <is>
          <t>CONT-5 13.8 kV to PAD-EH (extension section, ground tray)</t>
        </is>
      </c>
      <c r="E1690" s="12" t="n">
        <v>13800</v>
      </c>
      <c r="F1690" s="12" t="n">
        <v>2000</v>
      </c>
      <c r="G1690" s="12" t="n">
        <v>93</v>
      </c>
      <c r="H1690" s="12" t="inlineStr">
        <is>
          <t>CONT-5: containerized gas genset 13.8 kV (40 ft)</t>
        </is>
      </c>
      <c r="I1690" s="12" t="inlineStr">
        <is>
          <t>MV 15 kV</t>
        </is>
      </c>
      <c r="J1690" s="12" t="inlineStr">
        <is>
          <t>2</t>
        </is>
      </c>
      <c r="K1690" s="12" t="n">
        <v>1</v>
      </c>
    </row>
    <row r="1691">
      <c r="A1691" s="12" t="inlineStr">
        <is>
          <t>PAD-EH 13.8 kV switchgear e-house</t>
        </is>
      </c>
      <c r="B1691" s="12" t="inlineStr">
        <is>
          <t>PAD-EH</t>
        </is>
      </c>
      <c r="C1691" s="12" t="inlineStr">
        <is>
          <t>I</t>
        </is>
      </c>
      <c r="D1691" s="12" t="inlineStr">
        <is>
          <t>CONT-6 13.8 kV to PAD-EH (extension section, ground tray)</t>
        </is>
      </c>
      <c r="E1691" s="12" t="n">
        <v>13800</v>
      </c>
      <c r="F1691" s="12" t="n">
        <v>2000</v>
      </c>
      <c r="G1691" s="12" t="n">
        <v>93</v>
      </c>
      <c r="H1691" s="12" t="inlineStr">
        <is>
          <t>CONT-6: containerized gas genset 13.8 kV (40 ft)</t>
        </is>
      </c>
      <c r="I1691" s="12" t="inlineStr">
        <is>
          <t>MV 15 kV</t>
        </is>
      </c>
      <c r="J1691" s="12" t="inlineStr">
        <is>
          <t>2</t>
        </is>
      </c>
      <c r="K1691" s="12" t="n">
        <v>1</v>
      </c>
    </row>
    <row r="1692">
      <c r="A1692" s="12" t="inlineStr">
        <is>
          <t>PAD-EH 13.8 kV switchgear e-house</t>
        </is>
      </c>
      <c r="B1692" s="12" t="inlineStr">
        <is>
          <t>PAD-EH</t>
        </is>
      </c>
      <c r="C1692" s="12" t="inlineStr">
        <is>
          <t>I</t>
        </is>
      </c>
      <c r="D1692" s="12" t="inlineStr">
        <is>
          <t>CONT-7 13.8 kV to PAD-EH (extension section, ground tray)</t>
        </is>
      </c>
      <c r="E1692" s="12" t="n">
        <v>13800</v>
      </c>
      <c r="F1692" s="12" t="n">
        <v>2000</v>
      </c>
      <c r="G1692" s="12" t="n">
        <v>93</v>
      </c>
      <c r="H1692" s="12" t="inlineStr">
        <is>
          <t>CONT-7: containerized gas genset 13.8 kV (40 ft)</t>
        </is>
      </c>
      <c r="I1692" s="12" t="inlineStr">
        <is>
          <t>MV 15 kV</t>
        </is>
      </c>
      <c r="J1692" s="12" t="inlineStr">
        <is>
          <t>2</t>
        </is>
      </c>
      <c r="K1692" s="12" t="n">
        <v>1</v>
      </c>
    </row>
    <row r="1693">
      <c r="A1693" s="12" t="inlineStr">
        <is>
          <t>PAD-EH 13.8 kV switchgear e-house</t>
        </is>
      </c>
      <c r="B1693" s="12" t="inlineStr">
        <is>
          <t>PAD-EH</t>
        </is>
      </c>
      <c r="C1693" s="12" t="inlineStr">
        <is>
          <t>I</t>
        </is>
      </c>
      <c r="D1693" s="12" t="inlineStr">
        <is>
          <t>CONT-8 13.8 kV to PAD-EH (extension section, ground tray)</t>
        </is>
      </c>
      <c r="E1693" s="12" t="n">
        <v>13800</v>
      </c>
      <c r="F1693" s="12" t="n">
        <v>2000</v>
      </c>
      <c r="G1693" s="12" t="n">
        <v>93</v>
      </c>
      <c r="H1693" s="12" t="inlineStr">
        <is>
          <t>CONT-8: containerized gas genset 13.8 kV (40 ft)</t>
        </is>
      </c>
      <c r="I1693" s="12" t="inlineStr">
        <is>
          <t>MV 15 kV</t>
        </is>
      </c>
      <c r="J1693" s="12" t="inlineStr">
        <is>
          <t>2</t>
        </is>
      </c>
      <c r="K1693" s="12" t="n">
        <v>1</v>
      </c>
    </row>
    <row r="1694">
      <c r="A1694" s="12" t="inlineStr">
        <is>
          <t>PAD-EH 13.8 kV switchgear e-house</t>
        </is>
      </c>
      <c r="B1694" s="12" t="inlineStr">
        <is>
          <t>PAD-EH</t>
        </is>
      </c>
      <c r="C1694" s="12" t="inlineStr">
        <is>
          <t>I</t>
        </is>
      </c>
      <c r="D1694" s="12" t="inlineStr">
        <is>
          <t>TM-1 (TM2500) generator leads to PAD-EH</t>
        </is>
      </c>
      <c r="E1694" s="12" t="n">
        <v>13800</v>
      </c>
      <c r="F1694" s="12" t="n">
        <v>35000</v>
      </c>
      <c r="G1694" s="12" t="n">
        <v>1464</v>
      </c>
      <c r="H1694" s="12" t="inlineStr">
        <is>
          <t>TM-1: trailer-mounted aeroderivative GT (TM2500 class, ~35 M</t>
        </is>
      </c>
      <c r="I1694" s="12" t="inlineStr">
        <is>
          <t>MV 15 kV</t>
        </is>
      </c>
      <c r="J1694" s="12" t="inlineStr">
        <is>
          <t>1000 kcmil</t>
        </is>
      </c>
      <c r="K1694" s="12" t="n">
        <v>3</v>
      </c>
    </row>
    <row r="1695">
      <c r="A1695" s="12" t="inlineStr">
        <is>
          <t>PAD-EH 13.8 kV switchgear e-house</t>
        </is>
      </c>
      <c r="B1695" s="12" t="inlineStr">
        <is>
          <t>PAD-EH</t>
        </is>
      </c>
      <c r="C1695" s="12" t="inlineStr">
        <is>
          <t>I</t>
        </is>
      </c>
      <c r="D1695" s="12" t="inlineStr">
        <is>
          <t>TM-2 (TM2500) generator leads to PAD-EH</t>
        </is>
      </c>
      <c r="E1695" s="12" t="n">
        <v>13800</v>
      </c>
      <c r="F1695" s="12" t="n">
        <v>35000</v>
      </c>
      <c r="G1695" s="12" t="n">
        <v>1464</v>
      </c>
      <c r="H1695" s="12" t="inlineStr">
        <is>
          <t>TM-2: trailer-mounted aeroderivative GT (TM2500 class, ~35 M</t>
        </is>
      </c>
      <c r="I1695" s="12" t="inlineStr">
        <is>
          <t>MV 15 kV</t>
        </is>
      </c>
      <c r="J1695" s="12" t="inlineStr">
        <is>
          <t>1000 kcmil</t>
        </is>
      </c>
      <c r="K1695" s="12" t="n">
        <v>3</v>
      </c>
    </row>
    <row r="1696">
      <c r="A1696" s="12" t="inlineStr">
        <is>
          <t>PAD-EH 13.8 kV switchgear e-house</t>
        </is>
      </c>
      <c r="B1696" s="12" t="inlineStr">
        <is>
          <t>PAD-EH</t>
        </is>
      </c>
      <c r="C1696" s="12" t="inlineStr">
        <is>
          <t>I</t>
        </is>
      </c>
      <c r="D1696" s="12" t="inlineStr">
        <is>
          <t>Block 1 13.8 kV collection to PAD-EH</t>
        </is>
      </c>
      <c r="E1696" s="12" t="n">
        <v>13800</v>
      </c>
      <c r="F1696" s="12" t="n">
        <v>2250</v>
      </c>
      <c r="G1696" s="12" t="n">
        <v>94</v>
      </c>
      <c r="H1696" s="12" t="inlineStr">
        <is>
          <t>GBT-1: block 1 480 V : 13.8 kV 2,500 kVA pad-mount step-up</t>
        </is>
      </c>
      <c r="I1696" s="12" t="inlineStr">
        <is>
          <t>MV 15 kV</t>
        </is>
      </c>
      <c r="J1696" s="12" t="inlineStr">
        <is>
          <t>2</t>
        </is>
      </c>
      <c r="K1696" s="12" t="n">
        <v>1</v>
      </c>
    </row>
    <row r="1697">
      <c r="A1697" s="12" t="inlineStr">
        <is>
          <t>PAD-EH 13.8 kV switchgear e-house</t>
        </is>
      </c>
      <c r="B1697" s="12" t="inlineStr">
        <is>
          <t>PAD-EH</t>
        </is>
      </c>
      <c r="C1697" s="12" t="inlineStr">
        <is>
          <t>I</t>
        </is>
      </c>
      <c r="D1697" s="12" t="inlineStr">
        <is>
          <t>Block 2 13.8 kV collection to PAD-EH</t>
        </is>
      </c>
      <c r="E1697" s="12" t="n">
        <v>13800</v>
      </c>
      <c r="F1697" s="12" t="n">
        <v>2250</v>
      </c>
      <c r="G1697" s="12" t="n">
        <v>94</v>
      </c>
      <c r="H1697" s="12" t="inlineStr">
        <is>
          <t>GBT-2: block 2 480 V : 13.8 kV 2,500 kVA pad-mount step-up</t>
        </is>
      </c>
      <c r="I1697" s="12" t="inlineStr">
        <is>
          <t>MV 15 kV</t>
        </is>
      </c>
      <c r="J1697" s="12" t="inlineStr">
        <is>
          <t>2</t>
        </is>
      </c>
      <c r="K1697" s="12" t="n">
        <v>1</v>
      </c>
    </row>
    <row r="1698">
      <c r="A1698" s="12" t="inlineStr">
        <is>
          <t>PAD-EH 13.8 kV switchgear e-house</t>
        </is>
      </c>
      <c r="B1698" s="12" t="inlineStr">
        <is>
          <t>PAD-EH</t>
        </is>
      </c>
      <c r="C1698" s="12" t="inlineStr">
        <is>
          <t>I</t>
        </is>
      </c>
      <c r="D1698" s="12" t="inlineStr">
        <is>
          <t>Block 3 13.8 kV collection to PAD-EH</t>
        </is>
      </c>
      <c r="E1698" s="12" t="n">
        <v>13800</v>
      </c>
      <c r="F1698" s="12" t="n">
        <v>2250</v>
      </c>
      <c r="G1698" s="12" t="n">
        <v>94</v>
      </c>
      <c r="H1698" s="12" t="inlineStr">
        <is>
          <t>GBT-3: block 3 480 V : 13.8 kV 2,500 kVA pad-mount step-up</t>
        </is>
      </c>
      <c r="I1698" s="12" t="inlineStr">
        <is>
          <t>MV 15 kV</t>
        </is>
      </c>
      <c r="J1698" s="12" t="inlineStr">
        <is>
          <t>2</t>
        </is>
      </c>
      <c r="K1698" s="12" t="n">
        <v>1</v>
      </c>
    </row>
    <row r="1699">
      <c r="A1699" s="12" t="inlineStr">
        <is>
          <t>PAD-EH 13.8 kV switchgear e-house</t>
        </is>
      </c>
      <c r="B1699" s="12" t="inlineStr">
        <is>
          <t>PAD-EH</t>
        </is>
      </c>
      <c r="C1699" s="12" t="inlineStr">
        <is>
          <t>I</t>
        </is>
      </c>
      <c r="D1699" s="12" t="inlineStr">
        <is>
          <t>Block 4 13.8 kV collection to PAD-EH</t>
        </is>
      </c>
      <c r="E1699" s="12" t="n">
        <v>13800</v>
      </c>
      <c r="F1699" s="12" t="n">
        <v>2250</v>
      </c>
      <c r="G1699" s="12" t="n">
        <v>94</v>
      </c>
      <c r="H1699" s="12" t="inlineStr">
        <is>
          <t>GBT-4: block 4 480 V : 13.8 kV 2,500 kVA pad-mount step-up</t>
        </is>
      </c>
      <c r="I1699" s="12" t="inlineStr">
        <is>
          <t>MV 15 kV</t>
        </is>
      </c>
      <c r="J1699" s="12" t="inlineStr">
        <is>
          <t>2</t>
        </is>
      </c>
      <c r="K1699" s="12" t="n">
        <v>1</v>
      </c>
    </row>
    <row r="1700">
      <c r="A1700" s="12" t="inlineStr">
        <is>
          <t>PAD-EH 13.8 kV switchgear e-house</t>
        </is>
      </c>
      <c r="B1700" s="12" t="inlineStr">
        <is>
          <t>PAD-EH</t>
        </is>
      </c>
      <c r="C1700" s="12" t="inlineStr">
        <is>
          <t>I</t>
        </is>
      </c>
      <c r="D1700" s="12" t="inlineStr">
        <is>
          <t>Block 5 13.8 kV collection to PAD-EH</t>
        </is>
      </c>
      <c r="E1700" s="12" t="n">
        <v>13800</v>
      </c>
      <c r="F1700" s="12" t="n">
        <v>2250</v>
      </c>
      <c r="G1700" s="12" t="n">
        <v>94</v>
      </c>
      <c r="H1700" s="12" t="inlineStr">
        <is>
          <t>GBT-5: block 5 480 V : 13.8 kV 2,500 kVA pad-mount step-up</t>
        </is>
      </c>
      <c r="I1700" s="12" t="inlineStr">
        <is>
          <t>MV 15 kV</t>
        </is>
      </c>
      <c r="J1700" s="12" t="inlineStr">
        <is>
          <t>2</t>
        </is>
      </c>
      <c r="K1700" s="12" t="n">
        <v>1</v>
      </c>
    </row>
    <row r="1701">
      <c r="A1701" s="12" t="inlineStr">
        <is>
          <t>PAD-EH 13.8 kV switchgear e-house</t>
        </is>
      </c>
      <c r="B1701" s="12" t="inlineStr">
        <is>
          <t>PAD-EH</t>
        </is>
      </c>
      <c r="C1701" s="12" t="inlineStr">
        <is>
          <t>I</t>
        </is>
      </c>
      <c r="D1701" s="12" t="inlineStr">
        <is>
          <t>Block 6 13.8 kV collection to PAD-EH</t>
        </is>
      </c>
      <c r="E1701" s="12" t="n">
        <v>13800</v>
      </c>
      <c r="F1701" s="12" t="n">
        <v>2250</v>
      </c>
      <c r="G1701" s="12" t="n">
        <v>94</v>
      </c>
      <c r="H1701" s="12" t="inlineStr">
        <is>
          <t>GBT-6: block 6 480 V : 13.8 kV 2,500 kVA pad-mount step-up</t>
        </is>
      </c>
      <c r="I1701" s="12" t="inlineStr">
        <is>
          <t>MV 15 kV</t>
        </is>
      </c>
      <c r="J1701" s="12" t="inlineStr">
        <is>
          <t>2</t>
        </is>
      </c>
      <c r="K1701" s="12" t="n">
        <v>1</v>
      </c>
    </row>
    <row r="1702">
      <c r="A1702" s="12" t="inlineStr">
        <is>
          <t>PCM: power control module</t>
        </is>
      </c>
      <c r="B1702" s="12" t="inlineStr"/>
      <c r="C1702" s="12" t="inlineStr">
        <is>
          <t>I</t>
        </is>
      </c>
      <c r="D1702" s="12" t="inlineStr">
        <is>
          <t>RICE-1 generator leads to the PCM</t>
        </is>
      </c>
      <c r="E1702" s="12" t="n">
        <v>13800</v>
      </c>
      <c r="F1702" s="12" t="n">
        <v>18400</v>
      </c>
      <c r="G1702" s="12" t="n">
        <v>770</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770</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770</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770</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770</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770</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770</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770</v>
      </c>
      <c r="H1709" s="12" t="inlineStr">
        <is>
          <t>RICE engine-generator 8</t>
        </is>
      </c>
      <c r="I1709" s="12" t="inlineStr">
        <is>
          <t>MV 15 kV</t>
        </is>
      </c>
      <c r="J1709" s="12" t="inlineStr">
        <is>
          <t>750 kcmil</t>
        </is>
      </c>
      <c r="K1709" s="12" t="n">
        <v>2</v>
      </c>
    </row>
    <row r="1710">
      <c r="A1710" s="12" t="inlineStr">
        <is>
          <t>SC-1 PCM + 15 kV GCB</t>
        </is>
      </c>
      <c r="B1710" s="12" t="inlineStr"/>
      <c r="C1710" s="12" t="inlineStr">
        <is>
          <t>I</t>
        </is>
      </c>
      <c r="D1710" s="12" t="inlineStr">
        <is>
          <t>SC-1 (LM6000 class) generator leads to its PCM / GCB</t>
        </is>
      </c>
      <c r="E1710" s="12" t="n">
        <v>13800</v>
      </c>
      <c r="F1710" s="12" t="n">
        <v>50000</v>
      </c>
      <c r="G1710" s="12" t="n">
        <v>2092</v>
      </c>
      <c r="H1710" s="12" t="inlineStr">
        <is>
          <t>SC-1: aeroderivative simple-cycle unit (LM6000 class)</t>
        </is>
      </c>
      <c r="I1710" s="12" t="inlineStr">
        <is>
          <t>MV 15 kV</t>
        </is>
      </c>
      <c r="J1710" s="12" t="inlineStr">
        <is>
          <t>750 kcmil</t>
        </is>
      </c>
      <c r="K1710" s="12" t="n">
        <v>5</v>
      </c>
    </row>
    <row r="1711">
      <c r="A1711" s="12" t="inlineStr">
        <is>
          <t>SC-1 PCM + 15 kV GCB</t>
        </is>
      </c>
      <c r="B1711" s="12" t="inlineStr"/>
      <c r="C1711" s="12" t="inlineStr">
        <is>
          <t>I</t>
        </is>
      </c>
      <c r="D1711" s="12" t="inlineStr">
        <is>
          <t>SC-1 PCM auxiliary transformer primary, 2 MVA 13.8 kV / 480 V (from the GCB bus)</t>
        </is>
      </c>
      <c r="E1711" s="12" t="n">
        <v>13800</v>
      </c>
      <c r="F1711" s="12" t="n">
        <v>2000</v>
      </c>
      <c r="G1711" s="12" t="n">
        <v>84</v>
      </c>
      <c r="H1711" s="12" t="inlineStr">
        <is>
          <t>SC-1 PCM + 15 kV GCB</t>
        </is>
      </c>
      <c r="I1711" s="12" t="inlineStr">
        <is>
          <t>MV 15 kV</t>
        </is>
      </c>
      <c r="J1711" s="12" t="inlineStr">
        <is>
          <t>2</t>
        </is>
      </c>
      <c r="K1711" s="12" t="n">
        <v>1</v>
      </c>
    </row>
    <row r="1712">
      <c r="A1712" s="12" t="inlineStr">
        <is>
          <t>SC-2 PCM + 15 kV GCB</t>
        </is>
      </c>
      <c r="B1712" s="12" t="inlineStr"/>
      <c r="C1712" s="12" t="inlineStr">
        <is>
          <t>I</t>
        </is>
      </c>
      <c r="D1712" s="12" t="inlineStr">
        <is>
          <t>SC-2 (LM6000 class) generator leads to its PCM / GCB</t>
        </is>
      </c>
      <c r="E1712" s="12" t="n">
        <v>13800</v>
      </c>
      <c r="F1712" s="12" t="n">
        <v>50000</v>
      </c>
      <c r="G1712" s="12" t="n">
        <v>2092</v>
      </c>
      <c r="H1712" s="12" t="inlineStr">
        <is>
          <t>SC-2: aeroderivative simple-cycle unit (LM6000 class)</t>
        </is>
      </c>
      <c r="I1712" s="12" t="inlineStr">
        <is>
          <t>MV 15 kV</t>
        </is>
      </c>
      <c r="J1712" s="12" t="inlineStr">
        <is>
          <t>750 kcmil</t>
        </is>
      </c>
      <c r="K1712" s="12" t="n">
        <v>5</v>
      </c>
    </row>
    <row r="1713">
      <c r="A1713" s="12" t="inlineStr">
        <is>
          <t>SC-2 PCM + 15 kV GCB</t>
        </is>
      </c>
      <c r="B1713" s="12" t="inlineStr"/>
      <c r="C1713" s="12" t="inlineStr">
        <is>
          <t>I</t>
        </is>
      </c>
      <c r="D1713" s="12" t="inlineStr">
        <is>
          <t>SC-2 PCM auxiliary transformer primary, 2 MVA 13.8 kV / 480 V (from the GCB bus)</t>
        </is>
      </c>
      <c r="E1713" s="12" t="n">
        <v>13800</v>
      </c>
      <c r="F1713" s="12" t="n">
        <v>2000</v>
      </c>
      <c r="G1713" s="12" t="n">
        <v>84</v>
      </c>
      <c r="H1713" s="12" t="inlineStr">
        <is>
          <t>SC-2 PCM + 15 kV GCB</t>
        </is>
      </c>
      <c r="I1713" s="12" t="inlineStr">
        <is>
          <t>MV 15 kV</t>
        </is>
      </c>
      <c r="J1713" s="12" t="inlineStr">
        <is>
          <t>2</t>
        </is>
      </c>
      <c r="K1713" s="12" t="n">
        <v>1</v>
      </c>
    </row>
    <row r="1714">
      <c r="A1714" s="12" t="inlineStr">
        <is>
          <t>PAD-LV 480 V paralleling switchboard</t>
        </is>
      </c>
      <c r="B1714" s="12" t="inlineStr">
        <is>
          <t>PAD-LV</t>
        </is>
      </c>
      <c r="C1714" s="12" t="inlineStr">
        <is>
          <t>I</t>
        </is>
      </c>
      <c r="D1714" s="12" t="inlineStr">
        <is>
          <t>GEN-E 480 V to PAD-LV (Type W sets, cam-lock)</t>
        </is>
      </c>
      <c r="E1714" s="12" t="n">
        <v>480</v>
      </c>
      <c r="F1714" s="12" t="n">
        <v>2000</v>
      </c>
      <c r="G1714" s="12" t="n">
        <v>2406</v>
      </c>
      <c r="H1714" s="12" t="inlineStr">
        <is>
          <t>GEN-E: enclosed industrial gas genset 2 MW</t>
        </is>
      </c>
      <c r="I1714" s="12" t="inlineStr">
        <is>
          <t>Portable LV</t>
        </is>
      </c>
      <c r="J1714" s="12" t="inlineStr">
        <is>
          <t>4/0</t>
        </is>
      </c>
      <c r="K1714" s="12" t="n">
        <v>8</v>
      </c>
    </row>
    <row r="1715">
      <c r="A1715" s="12" t="inlineStr">
        <is>
          <t>PAD-LV 480 V paralleling switchboard</t>
        </is>
      </c>
      <c r="B1715" s="12" t="inlineStr">
        <is>
          <t>PAD-LV</t>
        </is>
      </c>
      <c r="C1715" s="12" t="inlineStr">
        <is>
          <t>I</t>
        </is>
      </c>
      <c r="D1715" s="12" t="inlineStr">
        <is>
          <t>GEN-O 480 V to PAD-LV (Type W sets, cam-lock)</t>
        </is>
      </c>
      <c r="E1715" s="12" t="n">
        <v>480</v>
      </c>
      <c r="F1715" s="12" t="n">
        <v>1000</v>
      </c>
      <c r="G1715" s="12" t="n">
        <v>1203</v>
      </c>
      <c r="H1715" s="12" t="inlineStr">
        <is>
          <t>GEN-O: open engine-generator skid</t>
        </is>
      </c>
      <c r="I1715" s="12" t="inlineStr">
        <is>
          <t>Portable LV</t>
        </is>
      </c>
      <c r="J1715" s="12" t="inlineStr">
        <is>
          <t>4/0</t>
        </is>
      </c>
      <c r="K1715" s="12" t="n">
        <v>4</v>
      </c>
    </row>
    <row r="1716">
      <c r="A1716" s="12" t="inlineStr">
        <is>
          <t>GSP-1: generator breaker / protection</t>
        </is>
      </c>
      <c r="B1716" s="12" t="inlineStr">
        <is>
          <t>GSP-1</t>
        </is>
      </c>
      <c r="C1716" s="12" t="inlineStr">
        <is>
          <t>I</t>
        </is>
      </c>
      <c r="D1716" s="12" t="inlineStr">
        <is>
          <t>CONT-1 13.8 kV leads to GSP-1</t>
        </is>
      </c>
      <c r="E1716" s="12" t="n">
        <v>13800</v>
      </c>
      <c r="F1716" s="12" t="n">
        <v>2000</v>
      </c>
      <c r="G1716" s="12" t="n">
        <v>93</v>
      </c>
      <c r="H1716" s="12" t="inlineStr">
        <is>
          <t>CONT-1: containerized genset 13.8 kV (40 ft)</t>
        </is>
      </c>
      <c r="I1716" s="12" t="inlineStr">
        <is>
          <t>Portable MV</t>
        </is>
      </c>
      <c r="J1716" s="12" t="inlineStr">
        <is>
          <t>2</t>
        </is>
      </c>
      <c r="K1716" s="12" t="n">
        <v>1</v>
      </c>
    </row>
    <row r="1717">
      <c r="A1717" s="12" t="inlineStr">
        <is>
          <t>GSP-2: generator breaker / protection</t>
        </is>
      </c>
      <c r="B1717" s="12" t="inlineStr">
        <is>
          <t>GSP-2</t>
        </is>
      </c>
      <c r="C1717" s="12" t="inlineStr">
        <is>
          <t>I</t>
        </is>
      </c>
      <c r="D1717" s="12" t="inlineStr">
        <is>
          <t>CONT-2 13.8 kV leads to GSP-2</t>
        </is>
      </c>
      <c r="E1717" s="12" t="n">
        <v>13800</v>
      </c>
      <c r="F1717" s="12" t="n">
        <v>2000</v>
      </c>
      <c r="G1717" s="12" t="n">
        <v>93</v>
      </c>
      <c r="H1717" s="12" t="inlineStr">
        <is>
          <t>CONT-2: containerized genset 13.8 kV (40 ft)</t>
        </is>
      </c>
      <c r="I1717" s="12" t="inlineStr">
        <is>
          <t>Portable MV</t>
        </is>
      </c>
      <c r="J1717" s="12" t="inlineStr">
        <is>
          <t>2</t>
        </is>
      </c>
      <c r="K1717" s="12" t="n">
        <v>1</v>
      </c>
    </row>
    <row r="1718">
      <c r="A1718" s="12" t="inlineStr">
        <is>
          <t>LB: commissioning load bank (trailer)</t>
        </is>
      </c>
      <c r="B1718" s="12" t="inlineStr">
        <is>
          <t>LB</t>
        </is>
      </c>
      <c r="C1718" s="12" t="inlineStr">
        <is>
          <t>I</t>
        </is>
      </c>
      <c r="D1718" s="12" t="inlineStr">
        <is>
          <t>PIC to commissioning load bank</t>
        </is>
      </c>
      <c r="E1718" s="12" t="n">
        <v>13800</v>
      </c>
      <c r="F1718" s="12" t="n">
        <v>2000</v>
      </c>
      <c r="G1718" s="12" t="n">
        <v>93</v>
      </c>
      <c r="H1718" s="12" t="inlineStr">
        <is>
          <t>PIC: portable input cabinet</t>
        </is>
      </c>
      <c r="I1718" s="12" t="inlineStr">
        <is>
          <t>Portable MV</t>
        </is>
      </c>
      <c r="J1718" s="12" t="inlineStr">
        <is>
          <t>2</t>
        </is>
      </c>
      <c r="K1718" s="12" t="n">
        <v>1</v>
      </c>
    </row>
    <row r="1719">
      <c r="A1719" s="12" t="inlineStr">
        <is>
          <t>PAD-EH 13.8 kV switchgear e-house</t>
        </is>
      </c>
      <c r="B1719" s="12" t="inlineStr">
        <is>
          <t>PAD-EH</t>
        </is>
      </c>
      <c r="C1719" s="12" t="inlineStr">
        <is>
          <t>I</t>
        </is>
      </c>
      <c r="D1719" s="12" t="inlineStr">
        <is>
          <t>GSP-1 to PAD-EH</t>
        </is>
      </c>
      <c r="E1719" s="12" t="n">
        <v>13800</v>
      </c>
      <c r="F1719" s="12" t="n">
        <v>2000</v>
      </c>
      <c r="G1719" s="12" t="n">
        <v>93</v>
      </c>
      <c r="H1719" s="12" t="inlineStr">
        <is>
          <t>GSP-1: generator breaker / protection</t>
        </is>
      </c>
      <c r="I1719" s="12" t="inlineStr">
        <is>
          <t>Portable MV</t>
        </is>
      </c>
      <c r="J1719" s="12" t="inlineStr">
        <is>
          <t>2</t>
        </is>
      </c>
      <c r="K1719" s="12" t="n">
        <v>1</v>
      </c>
    </row>
    <row r="1720">
      <c r="A1720" s="12" t="inlineStr">
        <is>
          <t>PAD-EH 13.8 kV switchgear e-house</t>
        </is>
      </c>
      <c r="B1720" s="12" t="inlineStr">
        <is>
          <t>PAD-EH</t>
        </is>
      </c>
      <c r="C1720" s="12" t="inlineStr">
        <is>
          <t>I</t>
        </is>
      </c>
      <c r="D1720" s="12" t="inlineStr">
        <is>
          <t>GSP-2 to PAD-EH</t>
        </is>
      </c>
      <c r="E1720" s="12" t="n">
        <v>13800</v>
      </c>
      <c r="F1720" s="12" t="n">
        <v>2000</v>
      </c>
      <c r="G1720" s="12" t="n">
        <v>93</v>
      </c>
      <c r="H1720" s="12" t="inlineStr">
        <is>
          <t>GSP-2: generator breaker / protection</t>
        </is>
      </c>
      <c r="I1720" s="12" t="inlineStr">
        <is>
          <t>Portable MV</t>
        </is>
      </c>
      <c r="J1720" s="12" t="inlineStr">
        <is>
          <t>2</t>
        </is>
      </c>
      <c r="K1720" s="12" t="n">
        <v>1</v>
      </c>
    </row>
    <row r="1721">
      <c r="A1721" s="12" t="inlineStr">
        <is>
          <t>PIC: portable input cabinet</t>
        </is>
      </c>
      <c r="B1721" s="12" t="inlineStr">
        <is>
          <t>PIC</t>
        </is>
      </c>
      <c r="C1721" s="12" t="inlineStr">
        <is>
          <t>I</t>
        </is>
      </c>
      <c r="D1721" s="12" t="inlineStr">
        <is>
          <t>MOB-1 13.8 kV to PIC through the C-L01 ramp</t>
        </is>
      </c>
      <c r="E1721" s="12" t="n">
        <v>13800</v>
      </c>
      <c r="F1721" s="12" t="n">
        <v>2000</v>
      </c>
      <c r="G1721" s="12" t="n">
        <v>93</v>
      </c>
      <c r="H1721" s="12" t="inlineStr">
        <is>
          <t>MOB-1: trailer genset</t>
        </is>
      </c>
      <c r="I1721" s="12" t="inlineStr">
        <is>
          <t>Portable MV</t>
        </is>
      </c>
      <c r="J1721" s="12" t="inlineStr">
        <is>
          <t>2</t>
        </is>
      </c>
      <c r="K1721" s="12" t="n">
        <v>1</v>
      </c>
    </row>
    <row r="1722">
      <c r="A1722" s="12" t="inlineStr">
        <is>
          <t>CHW pumps</t>
        </is>
      </c>
      <c r="B1722" s="12" t="inlineStr"/>
      <c r="C1722" s="12" t="inlineStr">
        <is>
          <t>J</t>
        </is>
      </c>
      <c r="D1722" s="12" t="inlineStr">
        <is>
          <t>Motor 1 of 4, 150 kW</t>
        </is>
      </c>
      <c r="E1722" s="12" t="n">
        <v>480</v>
      </c>
      <c r="F1722" s="12" t="n">
        <v>150</v>
      </c>
      <c r="G1722" s="12" t="n">
        <v>212.3</v>
      </c>
      <c r="H1722" s="12" t="inlineStr">
        <is>
          <t>Inlet-chilling e-house / transformer</t>
        </is>
      </c>
      <c r="I1722" s="12" t="inlineStr">
        <is>
          <t>LV 600 V</t>
        </is>
      </c>
      <c r="J1722" s="12" t="inlineStr">
        <is>
          <t>350 kcmil</t>
        </is>
      </c>
      <c r="K1722" s="12" t="n">
        <v>1</v>
      </c>
    </row>
    <row r="1723">
      <c r="A1723" s="12" t="inlineStr">
        <is>
          <t>CHW pumps</t>
        </is>
      </c>
      <c r="B1723" s="12" t="inlineStr"/>
      <c r="C1723" s="12" t="inlineStr">
        <is>
          <t>J</t>
        </is>
      </c>
      <c r="D1723" s="12" t="inlineStr">
        <is>
          <t>Motor 2 of 4, 150 kW</t>
        </is>
      </c>
      <c r="E1723" s="12" t="n">
        <v>480</v>
      </c>
      <c r="F1723" s="12" t="n">
        <v>150</v>
      </c>
      <c r="G1723" s="12" t="n">
        <v>212.3</v>
      </c>
      <c r="H1723" s="12" t="inlineStr">
        <is>
          <t>Inlet-chilling e-house / transformer</t>
        </is>
      </c>
      <c r="I1723" s="12" t="inlineStr">
        <is>
          <t>LV 600 V</t>
        </is>
      </c>
      <c r="J1723" s="12" t="inlineStr">
        <is>
          <t>350 kcmil</t>
        </is>
      </c>
      <c r="K1723" s="12" t="n">
        <v>1</v>
      </c>
    </row>
    <row r="1724">
      <c r="A1724" s="12" t="inlineStr">
        <is>
          <t>CHW pumps</t>
        </is>
      </c>
      <c r="B1724" s="12" t="inlineStr"/>
      <c r="C1724" s="12" t="inlineStr">
        <is>
          <t>J</t>
        </is>
      </c>
      <c r="D1724" s="12" t="inlineStr">
        <is>
          <t>Motor 3 of 4, 150 kW</t>
        </is>
      </c>
      <c r="E1724" s="12" t="n">
        <v>480</v>
      </c>
      <c r="F1724" s="12" t="n">
        <v>150</v>
      </c>
      <c r="G1724" s="12" t="n">
        <v>212.3</v>
      </c>
      <c r="H1724" s="12" t="inlineStr">
        <is>
          <t>Inlet-chilling e-house / transformer</t>
        </is>
      </c>
      <c r="I1724" s="12" t="inlineStr">
        <is>
          <t>LV 600 V</t>
        </is>
      </c>
      <c r="J1724" s="12" t="inlineStr">
        <is>
          <t>350 kcmil</t>
        </is>
      </c>
      <c r="K1724" s="12" t="n">
        <v>1</v>
      </c>
    </row>
    <row r="1725">
      <c r="A1725" s="12" t="inlineStr">
        <is>
          <t>CHW pumps</t>
        </is>
      </c>
      <c r="B1725" s="12" t="inlineStr"/>
      <c r="C1725" s="12" t="inlineStr">
        <is>
          <t>J</t>
        </is>
      </c>
      <c r="D1725" s="12" t="inlineStr">
        <is>
          <t>Motor 4 of 4, 150 kW</t>
        </is>
      </c>
      <c r="E1725" s="12" t="n">
        <v>480</v>
      </c>
      <c r="F1725" s="12" t="n">
        <v>150</v>
      </c>
      <c r="G1725" s="12" t="n">
        <v>212.3</v>
      </c>
      <c r="H1725" s="12" t="inlineStr">
        <is>
          <t>Inlet-chilling e-house / transformer</t>
        </is>
      </c>
      <c r="I1725" s="12" t="inlineStr">
        <is>
          <t>LV 600 V</t>
        </is>
      </c>
      <c r="J1725" s="12" t="inlineStr">
        <is>
          <t>350 kcmil</t>
        </is>
      </c>
      <c r="K1725" s="12" t="n">
        <v>1</v>
      </c>
    </row>
    <row r="1726">
      <c r="A1726" s="12" t="inlineStr">
        <is>
          <t>CONDITIONAL: TES chilled-water tank</t>
        </is>
      </c>
      <c r="B1726" s="12" t="inlineStr"/>
      <c r="C1726" s="12" t="inlineStr">
        <is>
          <t>J</t>
        </is>
      </c>
      <c r="D1726" s="12" t="inlineStr">
        <is>
          <t>LV power feeder</t>
        </is>
      </c>
      <c r="E1726" s="12" t="n">
        <v>480</v>
      </c>
      <c r="F1726" s="12" t="n">
        <v>10</v>
      </c>
      <c r="G1726" s="12" t="n">
        <v>14.2</v>
      </c>
      <c r="H1726" s="12" t="inlineStr">
        <is>
          <t>Inlet-chilling e-house / transformer</t>
        </is>
      </c>
      <c r="I1726" s="12" t="inlineStr">
        <is>
          <t>LV 600 V</t>
        </is>
      </c>
      <c r="J1726" s="12" t="inlineStr">
        <is>
          <t>8</t>
        </is>
      </c>
      <c r="K1726" s="12" t="n">
        <v>1</v>
      </c>
    </row>
    <row r="1727">
      <c r="A1727" s="12" t="inlineStr">
        <is>
          <t>Chillers x6 (water-cooled)</t>
        </is>
      </c>
      <c r="B1727" s="12" t="inlineStr"/>
      <c r="C1727" s="12" t="inlineStr">
        <is>
          <t>J</t>
        </is>
      </c>
      <c r="D1727" s="12" t="inlineStr">
        <is>
          <t>Motor 1 of 6, 7 kW</t>
        </is>
      </c>
      <c r="E1727" s="12" t="n">
        <v>480</v>
      </c>
      <c r="F1727" s="12" t="n">
        <v>7</v>
      </c>
      <c r="G1727" s="12" t="n">
        <v>9.9</v>
      </c>
      <c r="H1727" s="12" t="inlineStr">
        <is>
          <t>Inlet-chilling e-house / transformer</t>
        </is>
      </c>
      <c r="I1727" s="12" t="inlineStr">
        <is>
          <t>LV 600 V</t>
        </is>
      </c>
      <c r="J1727" s="12" t="inlineStr">
        <is>
          <t>10</t>
        </is>
      </c>
      <c r="K1727" s="12" t="n">
        <v>1</v>
      </c>
    </row>
    <row r="1728">
      <c r="A1728" s="12" t="inlineStr">
        <is>
          <t>Chillers x6 (water-cooled)</t>
        </is>
      </c>
      <c r="B1728" s="12" t="inlineStr"/>
      <c r="C1728" s="12" t="inlineStr">
        <is>
          <t>J</t>
        </is>
      </c>
      <c r="D1728" s="12" t="inlineStr">
        <is>
          <t>Motor 2 of 6, 7 kW</t>
        </is>
      </c>
      <c r="E1728" s="12" t="n">
        <v>480</v>
      </c>
      <c r="F1728" s="12" t="n">
        <v>7</v>
      </c>
      <c r="G1728" s="12" t="n">
        <v>9.9</v>
      </c>
      <c r="H1728" s="12" t="inlineStr">
        <is>
          <t>Inlet-chilling e-house / transformer</t>
        </is>
      </c>
      <c r="I1728" s="12" t="inlineStr">
        <is>
          <t>LV 600 V</t>
        </is>
      </c>
      <c r="J1728" s="12" t="inlineStr">
        <is>
          <t>10</t>
        </is>
      </c>
      <c r="K1728" s="12" t="n">
        <v>1</v>
      </c>
    </row>
    <row r="1729">
      <c r="A1729" s="12" t="inlineStr">
        <is>
          <t>Chillers x6 (water-cooled)</t>
        </is>
      </c>
      <c r="B1729" s="12" t="inlineStr"/>
      <c r="C1729" s="12" t="inlineStr">
        <is>
          <t>J</t>
        </is>
      </c>
      <c r="D1729" s="12" t="inlineStr">
        <is>
          <t>Motor 3 of 6, 7 kW</t>
        </is>
      </c>
      <c r="E1729" s="12" t="n">
        <v>480</v>
      </c>
      <c r="F1729" s="12" t="n">
        <v>7</v>
      </c>
      <c r="G1729" s="12" t="n">
        <v>9.9</v>
      </c>
      <c r="H1729" s="12" t="inlineStr">
        <is>
          <t>Inlet-chilling e-house / transformer</t>
        </is>
      </c>
      <c r="I1729" s="12" t="inlineStr">
        <is>
          <t>LV 600 V</t>
        </is>
      </c>
      <c r="J1729" s="12" t="inlineStr">
        <is>
          <t>10</t>
        </is>
      </c>
      <c r="K1729" s="12" t="n">
        <v>1</v>
      </c>
    </row>
    <row r="1730">
      <c r="A1730" s="12" t="inlineStr">
        <is>
          <t>Chillers x6 (water-cooled)</t>
        </is>
      </c>
      <c r="B1730" s="12" t="inlineStr"/>
      <c r="C1730" s="12" t="inlineStr">
        <is>
          <t>J</t>
        </is>
      </c>
      <c r="D1730" s="12" t="inlineStr">
        <is>
          <t>Motor 4 of 6, 7 kW</t>
        </is>
      </c>
      <c r="E1730" s="12" t="n">
        <v>480</v>
      </c>
      <c r="F1730" s="12" t="n">
        <v>7</v>
      </c>
      <c r="G1730" s="12" t="n">
        <v>9.9</v>
      </c>
      <c r="H1730" s="12" t="inlineStr">
        <is>
          <t>Inlet-chilling e-house / transformer</t>
        </is>
      </c>
      <c r="I1730" s="12" t="inlineStr">
        <is>
          <t>LV 600 V</t>
        </is>
      </c>
      <c r="J1730" s="12" t="inlineStr">
        <is>
          <t>10</t>
        </is>
      </c>
      <c r="K1730" s="12" t="n">
        <v>1</v>
      </c>
    </row>
    <row r="1731">
      <c r="A1731" s="12" t="inlineStr">
        <is>
          <t>Chillers x6 (water-cooled)</t>
        </is>
      </c>
      <c r="B1731" s="12" t="inlineStr"/>
      <c r="C1731" s="12" t="inlineStr">
        <is>
          <t>J</t>
        </is>
      </c>
      <c r="D1731" s="12" t="inlineStr">
        <is>
          <t>Motor 5 of 6, 7 kW</t>
        </is>
      </c>
      <c r="E1731" s="12" t="n">
        <v>480</v>
      </c>
      <c r="F1731" s="12" t="n">
        <v>7</v>
      </c>
      <c r="G1731" s="12" t="n">
        <v>9.9</v>
      </c>
      <c r="H1731" s="12" t="inlineStr">
        <is>
          <t>Inlet-chilling e-house / transformer</t>
        </is>
      </c>
      <c r="I1731" s="12" t="inlineStr">
        <is>
          <t>LV 600 V</t>
        </is>
      </c>
      <c r="J1731" s="12" t="inlineStr">
        <is>
          <t>10</t>
        </is>
      </c>
      <c r="K1731" s="12" t="n">
        <v>1</v>
      </c>
    </row>
    <row r="1732">
      <c r="A1732" s="12" t="inlineStr">
        <is>
          <t>Chillers x6 (water-cooled)</t>
        </is>
      </c>
      <c r="B1732" s="12" t="inlineStr"/>
      <c r="C1732" s="12" t="inlineStr">
        <is>
          <t>J</t>
        </is>
      </c>
      <c r="D1732" s="12" t="inlineStr">
        <is>
          <t>Motor 6 of 6, 7 kW</t>
        </is>
      </c>
      <c r="E1732" s="12" t="n">
        <v>480</v>
      </c>
      <c r="F1732" s="12" t="n">
        <v>7</v>
      </c>
      <c r="G1732" s="12" t="n">
        <v>9.9</v>
      </c>
      <c r="H1732" s="12" t="inlineStr">
        <is>
          <t>Inlet-chilling e-house / transformer</t>
        </is>
      </c>
      <c r="I1732" s="12" t="inlineStr">
        <is>
          <t>LV 600 V</t>
        </is>
      </c>
      <c r="J1732" s="12" t="inlineStr">
        <is>
          <t>10</t>
        </is>
      </c>
      <c r="K1732" s="12" t="n">
        <v>1</v>
      </c>
    </row>
    <row r="1733">
      <c r="A1733" s="12" t="inlineStr">
        <is>
          <t>Inlet-chilling tower (12 cells): chiller heat rejection</t>
        </is>
      </c>
      <c r="B1733" s="12" t="inlineStr"/>
      <c r="C1733" s="12" t="inlineStr">
        <is>
          <t>J</t>
        </is>
      </c>
      <c r="D1733" s="12" t="inlineStr">
        <is>
          <t>Motor 1 of 12, 75 kW (VFD output)</t>
        </is>
      </c>
      <c r="E1733" s="12" t="n">
        <v>480</v>
      </c>
      <c r="F1733" s="12" t="n">
        <v>75</v>
      </c>
      <c r="G1733" s="12" t="n">
        <v>106</v>
      </c>
      <c r="H1733" s="12" t="inlineStr">
        <is>
          <t>Inlet-chilling e-house / transformer</t>
        </is>
      </c>
      <c r="I1733" s="12" t="inlineStr">
        <is>
          <t>LV 600 V</t>
        </is>
      </c>
      <c r="J1733" s="12" t="inlineStr">
        <is>
          <t>2/0</t>
        </is>
      </c>
      <c r="K1733" s="12" t="n">
        <v>1</v>
      </c>
    </row>
    <row r="1734">
      <c r="A1734" s="12" t="inlineStr">
        <is>
          <t>Inlet-chilling tower (12 cells): chiller heat rejection</t>
        </is>
      </c>
      <c r="B1734" s="12" t="inlineStr"/>
      <c r="C1734" s="12" t="inlineStr">
        <is>
          <t>J</t>
        </is>
      </c>
      <c r="D1734" s="12" t="inlineStr">
        <is>
          <t>Motor 2 of 12, 75 kW (VFD output)</t>
        </is>
      </c>
      <c r="E1734" s="12" t="n">
        <v>480</v>
      </c>
      <c r="F1734" s="12" t="n">
        <v>75</v>
      </c>
      <c r="G1734" s="12" t="n">
        <v>106</v>
      </c>
      <c r="H1734" s="12" t="inlineStr">
        <is>
          <t>Inlet-chilling e-house / transformer</t>
        </is>
      </c>
      <c r="I1734" s="12" t="inlineStr">
        <is>
          <t>LV 600 V</t>
        </is>
      </c>
      <c r="J1734" s="12" t="inlineStr">
        <is>
          <t>2/0</t>
        </is>
      </c>
      <c r="K1734" s="12" t="n">
        <v>1</v>
      </c>
    </row>
    <row r="1735">
      <c r="A1735" s="12" t="inlineStr">
        <is>
          <t>Inlet-chilling tower (12 cells): chiller heat rejection</t>
        </is>
      </c>
      <c r="B1735" s="12" t="inlineStr"/>
      <c r="C1735" s="12" t="inlineStr">
        <is>
          <t>J</t>
        </is>
      </c>
      <c r="D1735" s="12" t="inlineStr">
        <is>
          <t>Motor 3 of 12, 75 kW (VFD output)</t>
        </is>
      </c>
      <c r="E1735" s="12" t="n">
        <v>480</v>
      </c>
      <c r="F1735" s="12" t="n">
        <v>75</v>
      </c>
      <c r="G1735" s="12" t="n">
        <v>106</v>
      </c>
      <c r="H1735" s="12" t="inlineStr">
        <is>
          <t>Inlet-chilling e-house / transformer</t>
        </is>
      </c>
      <c r="I1735" s="12" t="inlineStr">
        <is>
          <t>LV 600 V</t>
        </is>
      </c>
      <c r="J1735" s="12" t="inlineStr">
        <is>
          <t>2/0</t>
        </is>
      </c>
      <c r="K1735" s="12" t="n">
        <v>1</v>
      </c>
    </row>
    <row r="1736">
      <c r="A1736" s="12" t="inlineStr">
        <is>
          <t>Inlet-chilling tower (12 cells): chiller heat rejection</t>
        </is>
      </c>
      <c r="B1736" s="12" t="inlineStr"/>
      <c r="C1736" s="12" t="inlineStr">
        <is>
          <t>J</t>
        </is>
      </c>
      <c r="D1736" s="12" t="inlineStr">
        <is>
          <t>Motor 4 of 12, 75 kW (VFD output)</t>
        </is>
      </c>
      <c r="E1736" s="12" t="n">
        <v>480</v>
      </c>
      <c r="F1736" s="12" t="n">
        <v>75</v>
      </c>
      <c r="G1736" s="12" t="n">
        <v>106</v>
      </c>
      <c r="H1736" s="12" t="inlineStr">
        <is>
          <t>Inlet-chilling e-house / transformer</t>
        </is>
      </c>
      <c r="I1736" s="12" t="inlineStr">
        <is>
          <t>LV 600 V</t>
        </is>
      </c>
      <c r="J1736" s="12" t="inlineStr">
        <is>
          <t>2/0</t>
        </is>
      </c>
      <c r="K1736" s="12" t="n">
        <v>1</v>
      </c>
    </row>
    <row r="1737">
      <c r="A1737" s="12" t="inlineStr">
        <is>
          <t>Inlet-chilling tower (12 cells): chiller heat rejection</t>
        </is>
      </c>
      <c r="B1737" s="12" t="inlineStr"/>
      <c r="C1737" s="12" t="inlineStr">
        <is>
          <t>J</t>
        </is>
      </c>
      <c r="D1737" s="12" t="inlineStr">
        <is>
          <t>Motor 5 of 12, 75 kW (VFD output)</t>
        </is>
      </c>
      <c r="E1737" s="12" t="n">
        <v>480</v>
      </c>
      <c r="F1737" s="12" t="n">
        <v>75</v>
      </c>
      <c r="G1737" s="12" t="n">
        <v>106</v>
      </c>
      <c r="H1737" s="12" t="inlineStr">
        <is>
          <t>Inlet-chilling e-house / transformer</t>
        </is>
      </c>
      <c r="I1737" s="12" t="inlineStr">
        <is>
          <t>LV 600 V</t>
        </is>
      </c>
      <c r="J1737" s="12" t="inlineStr">
        <is>
          <t>2/0</t>
        </is>
      </c>
      <c r="K1737" s="12" t="n">
        <v>1</v>
      </c>
    </row>
    <row r="1738">
      <c r="A1738" s="12" t="inlineStr">
        <is>
          <t>Inlet-chilling tower (12 cells): chiller heat rejection</t>
        </is>
      </c>
      <c r="B1738" s="12" t="inlineStr"/>
      <c r="C1738" s="12" t="inlineStr">
        <is>
          <t>J</t>
        </is>
      </c>
      <c r="D1738" s="12" t="inlineStr">
        <is>
          <t>Motor 6 of 12, 75 kW (VFD output)</t>
        </is>
      </c>
      <c r="E1738" s="12" t="n">
        <v>480</v>
      </c>
      <c r="F1738" s="12" t="n">
        <v>75</v>
      </c>
      <c r="G1738" s="12" t="n">
        <v>106</v>
      </c>
      <c r="H1738" s="12" t="inlineStr">
        <is>
          <t>Inlet-chilling e-house / transformer</t>
        </is>
      </c>
      <c r="I1738" s="12" t="inlineStr">
        <is>
          <t>LV 600 V</t>
        </is>
      </c>
      <c r="J1738" s="12" t="inlineStr">
        <is>
          <t>2/0</t>
        </is>
      </c>
      <c r="K1738" s="12" t="n">
        <v>1</v>
      </c>
    </row>
    <row r="1739">
      <c r="A1739" s="12" t="inlineStr">
        <is>
          <t>Inlet-chilling tower (12 cells): chiller heat rejection</t>
        </is>
      </c>
      <c r="B1739" s="12" t="inlineStr"/>
      <c r="C1739" s="12" t="inlineStr">
        <is>
          <t>J</t>
        </is>
      </c>
      <c r="D1739" s="12" t="inlineStr">
        <is>
          <t>Motor 7 of 12, 75 kW (VFD output)</t>
        </is>
      </c>
      <c r="E1739" s="12" t="n">
        <v>480</v>
      </c>
      <c r="F1739" s="12" t="n">
        <v>75</v>
      </c>
      <c r="G1739" s="12" t="n">
        <v>106</v>
      </c>
      <c r="H1739" s="12" t="inlineStr">
        <is>
          <t>Inlet-chilling e-house / transformer</t>
        </is>
      </c>
      <c r="I1739" s="12" t="inlineStr">
        <is>
          <t>LV 600 V</t>
        </is>
      </c>
      <c r="J1739" s="12" t="inlineStr">
        <is>
          <t>2/0</t>
        </is>
      </c>
      <c r="K1739" s="12" t="n">
        <v>1</v>
      </c>
    </row>
    <row r="1740">
      <c r="A1740" s="12" t="inlineStr">
        <is>
          <t>Inlet-chilling tower (12 cells): chiller heat rejection</t>
        </is>
      </c>
      <c r="B1740" s="12" t="inlineStr"/>
      <c r="C1740" s="12" t="inlineStr">
        <is>
          <t>J</t>
        </is>
      </c>
      <c r="D1740" s="12" t="inlineStr">
        <is>
          <t>Motor 8 of 12, 75 kW (VFD output)</t>
        </is>
      </c>
      <c r="E1740" s="12" t="n">
        <v>480</v>
      </c>
      <c r="F1740" s="12" t="n">
        <v>75</v>
      </c>
      <c r="G1740" s="12" t="n">
        <v>106</v>
      </c>
      <c r="H1740" s="12" t="inlineStr">
        <is>
          <t>Inlet-chilling e-house / transformer</t>
        </is>
      </c>
      <c r="I1740" s="12" t="inlineStr">
        <is>
          <t>LV 600 V</t>
        </is>
      </c>
      <c r="J1740" s="12" t="inlineStr">
        <is>
          <t>2/0</t>
        </is>
      </c>
      <c r="K1740" s="12" t="n">
        <v>1</v>
      </c>
    </row>
    <row r="1741">
      <c r="A1741" s="12" t="inlineStr">
        <is>
          <t>Inlet-chilling tower (12 cells): chiller heat rejection</t>
        </is>
      </c>
      <c r="B1741" s="12" t="inlineStr"/>
      <c r="C1741" s="12" t="inlineStr">
        <is>
          <t>J</t>
        </is>
      </c>
      <c r="D1741" s="12" t="inlineStr">
        <is>
          <t>Motor 9 of 12, 75 kW (VFD output)</t>
        </is>
      </c>
      <c r="E1741" s="12" t="n">
        <v>480</v>
      </c>
      <c r="F1741" s="12" t="n">
        <v>75</v>
      </c>
      <c r="G1741" s="12" t="n">
        <v>106</v>
      </c>
      <c r="H1741" s="12" t="inlineStr">
        <is>
          <t>Inlet-chilling e-house / transformer</t>
        </is>
      </c>
      <c r="I1741" s="12" t="inlineStr">
        <is>
          <t>LV 600 V</t>
        </is>
      </c>
      <c r="J1741" s="12" t="inlineStr">
        <is>
          <t>2/0</t>
        </is>
      </c>
      <c r="K1741" s="12" t="n">
        <v>1</v>
      </c>
    </row>
    <row r="1742">
      <c r="A1742" s="12" t="inlineStr">
        <is>
          <t>Inlet-chilling tower (12 cells): chiller heat rejection</t>
        </is>
      </c>
      <c r="B1742" s="12" t="inlineStr"/>
      <c r="C1742" s="12" t="inlineStr">
        <is>
          <t>J</t>
        </is>
      </c>
      <c r="D1742" s="12" t="inlineStr">
        <is>
          <t>Motor 10 of 12, 75 kW (VFD output)</t>
        </is>
      </c>
      <c r="E1742" s="12" t="n">
        <v>480</v>
      </c>
      <c r="F1742" s="12" t="n">
        <v>75</v>
      </c>
      <c r="G1742" s="12" t="n">
        <v>106</v>
      </c>
      <c r="H1742" s="12" t="inlineStr">
        <is>
          <t>Inlet-chilling e-house / transformer</t>
        </is>
      </c>
      <c r="I1742" s="12" t="inlineStr">
        <is>
          <t>LV 600 V</t>
        </is>
      </c>
      <c r="J1742" s="12" t="inlineStr">
        <is>
          <t>2/0</t>
        </is>
      </c>
      <c r="K1742" s="12" t="n">
        <v>1</v>
      </c>
    </row>
    <row r="1743">
      <c r="A1743" s="12" t="inlineStr">
        <is>
          <t>Inlet-chilling tower (12 cells): chiller heat rejection</t>
        </is>
      </c>
      <c r="B1743" s="12" t="inlineStr"/>
      <c r="C1743" s="12" t="inlineStr">
        <is>
          <t>J</t>
        </is>
      </c>
      <c r="D1743" s="12" t="inlineStr">
        <is>
          <t>Motor 11 of 12, 75 kW (VFD output)</t>
        </is>
      </c>
      <c r="E1743" s="12" t="n">
        <v>480</v>
      </c>
      <c r="F1743" s="12" t="n">
        <v>75</v>
      </c>
      <c r="G1743" s="12" t="n">
        <v>106</v>
      </c>
      <c r="H1743" s="12" t="inlineStr">
        <is>
          <t>Inlet-chilling e-house / transformer</t>
        </is>
      </c>
      <c r="I1743" s="12" t="inlineStr">
        <is>
          <t>LV 600 V</t>
        </is>
      </c>
      <c r="J1743" s="12" t="inlineStr">
        <is>
          <t>2/0</t>
        </is>
      </c>
      <c r="K1743" s="12" t="n">
        <v>1</v>
      </c>
    </row>
    <row r="1744">
      <c r="A1744" s="12" t="inlineStr">
        <is>
          <t>Inlet-chilling tower (12 cells): chiller heat rejection</t>
        </is>
      </c>
      <c r="B1744" s="12" t="inlineStr"/>
      <c r="C1744" s="12" t="inlineStr">
        <is>
          <t>J</t>
        </is>
      </c>
      <c r="D1744" s="12" t="inlineStr">
        <is>
          <t>Motor 12 of 12, 75 kW (VFD output)</t>
        </is>
      </c>
      <c r="E1744" s="12" t="n">
        <v>480</v>
      </c>
      <c r="F1744" s="12" t="n">
        <v>75</v>
      </c>
      <c r="G1744" s="12" t="n">
        <v>106</v>
      </c>
      <c r="H1744" s="12" t="inlineStr">
        <is>
          <t>Inlet-chilling e-house / transformer</t>
        </is>
      </c>
      <c r="I1744" s="12" t="inlineStr">
        <is>
          <t>LV 600 V</t>
        </is>
      </c>
      <c r="J1744" s="12" t="inlineStr">
        <is>
          <t>2/0</t>
        </is>
      </c>
      <c r="K1744" s="12" t="n">
        <v>1</v>
      </c>
    </row>
    <row r="1745">
      <c r="A1745" s="12" t="inlineStr">
        <is>
          <t>Inlet-chilling tower (12 cells): chiller heat rejection</t>
        </is>
      </c>
      <c r="B1745" s="12" t="inlineStr"/>
      <c r="C1745" s="12" t="inlineStr">
        <is>
          <t>J</t>
        </is>
      </c>
      <c r="D1745" s="12" t="inlineStr">
        <is>
          <t>Area / platform lighting circuit 1 (12 fixtures)</t>
        </is>
      </c>
      <c r="E1745" s="12" t="n">
        <v>480</v>
      </c>
      <c r="F1745" s="12" t="n">
        <v>3</v>
      </c>
      <c r="G1745" s="12" t="n">
        <v>5</v>
      </c>
      <c r="H1745" s="12" t="inlineStr">
        <is>
          <t>Inlet-chilling e-house / transformer</t>
        </is>
      </c>
      <c r="I1745" s="12" t="inlineStr">
        <is>
          <t>LV 600 V</t>
        </is>
      </c>
      <c r="J1745" s="12" t="inlineStr">
        <is>
          <t>10</t>
        </is>
      </c>
      <c r="K1745" s="12" t="n">
        <v>1</v>
      </c>
    </row>
    <row r="1746">
      <c r="A1746" s="12" t="inlineStr">
        <is>
          <t>Inlet-chilling e-house / transformer</t>
        </is>
      </c>
      <c r="B1746" s="12" t="inlineStr"/>
      <c r="C1746" s="12" t="inlineStr">
        <is>
          <t>J</t>
        </is>
      </c>
      <c r="D1746" s="12" t="inlineStr">
        <is>
          <t>Inlet-chilling e-house / transformer</t>
        </is>
      </c>
      <c r="E1746" s="12" t="n">
        <v>13800</v>
      </c>
      <c r="F1746" s="12" t="n">
        <v>12000</v>
      </c>
      <c r="G1746" s="12" t="n">
        <v>502</v>
      </c>
      <c r="H1746" s="12" t="inlineStr">
        <is>
          <t>R1 SWGR-13.8-1 (11 x 36 in cubicles, 15 kV metal-clad)</t>
        </is>
      </c>
      <c r="I1746" s="12" t="inlineStr">
        <is>
          <t>MV 15 kV</t>
        </is>
      </c>
      <c r="J1746" s="12" t="inlineStr">
        <is>
          <t>1000 kcmil</t>
        </is>
      </c>
      <c r="K1746" s="12" t="n">
        <v>1</v>
      </c>
    </row>
    <row r="1747">
      <c r="A1747" s="12" t="inlineStr">
        <is>
          <t>CW pumps (inlet chilling)</t>
        </is>
      </c>
      <c r="B1747" s="12" t="inlineStr"/>
      <c r="C1747" s="12" t="inlineStr">
        <is>
          <t>J</t>
        </is>
      </c>
      <c r="D1747" s="12" t="inlineStr">
        <is>
          <t>Inlet-chilling CW pump 1</t>
        </is>
      </c>
      <c r="E1747" s="12" t="n">
        <v>4160</v>
      </c>
      <c r="F1747" s="12" t="n">
        <v>450</v>
      </c>
      <c r="G1747" s="12" t="n">
        <v>69</v>
      </c>
      <c r="H1747" s="12" t="inlineStr">
        <is>
          <t>Inlet-chilling e-house / transformer</t>
        </is>
      </c>
      <c r="I1747" s="12" t="inlineStr">
        <is>
          <t>MV 5 kV</t>
        </is>
      </c>
      <c r="J1747" s="12" t="inlineStr">
        <is>
          <t>2</t>
        </is>
      </c>
      <c r="K1747" s="12" t="n">
        <v>1</v>
      </c>
    </row>
    <row r="1748">
      <c r="A1748" s="12" t="inlineStr">
        <is>
          <t>CW pumps (inlet chilling)</t>
        </is>
      </c>
      <c r="B1748" s="12" t="inlineStr"/>
      <c r="C1748" s="12" t="inlineStr">
        <is>
          <t>J</t>
        </is>
      </c>
      <c r="D1748" s="12" t="inlineStr">
        <is>
          <t>Inlet-chilling CW pump 2</t>
        </is>
      </c>
      <c r="E1748" s="12" t="n">
        <v>4160</v>
      </c>
      <c r="F1748" s="12" t="n">
        <v>450</v>
      </c>
      <c r="G1748" s="12" t="n">
        <v>69</v>
      </c>
      <c r="H1748" s="12" t="inlineStr">
        <is>
          <t>Inlet-chilling e-house / transformer</t>
        </is>
      </c>
      <c r="I1748" s="12" t="inlineStr">
        <is>
          <t>MV 5 kV</t>
        </is>
      </c>
      <c r="J1748" s="12" t="inlineStr">
        <is>
          <t>2</t>
        </is>
      </c>
      <c r="K1748" s="12" t="n">
        <v>1</v>
      </c>
    </row>
    <row r="1749">
      <c r="A1749" s="12" t="inlineStr">
        <is>
          <t>CW pumps (inlet chilling)</t>
        </is>
      </c>
      <c r="B1749" s="12" t="inlineStr"/>
      <c r="C1749" s="12" t="inlineStr">
        <is>
          <t>J</t>
        </is>
      </c>
      <c r="D1749" s="12" t="inlineStr">
        <is>
          <t>Inlet-chilling CW pump 3</t>
        </is>
      </c>
      <c r="E1749" s="12" t="n">
        <v>4160</v>
      </c>
      <c r="F1749" s="12" t="n">
        <v>450</v>
      </c>
      <c r="G1749" s="12" t="n">
        <v>69</v>
      </c>
      <c r="H1749" s="12" t="inlineStr">
        <is>
          <t>Inlet-chilling e-house / transformer</t>
        </is>
      </c>
      <c r="I1749" s="12" t="inlineStr">
        <is>
          <t>MV 5 kV</t>
        </is>
      </c>
      <c r="J1749" s="12" t="inlineStr">
        <is>
          <t>2</t>
        </is>
      </c>
      <c r="K1749" s="12" t="n">
        <v>1</v>
      </c>
    </row>
    <row r="1750">
      <c r="A1750" s="12" t="inlineStr">
        <is>
          <t>CW pumps (inlet chilling)</t>
        </is>
      </c>
      <c r="B1750" s="12" t="inlineStr"/>
      <c r="C1750" s="12" t="inlineStr">
        <is>
          <t>J</t>
        </is>
      </c>
      <c r="D1750" s="12" t="inlineStr">
        <is>
          <t>Inlet-chilling CW pump 4</t>
        </is>
      </c>
      <c r="E1750" s="12" t="n">
        <v>4160</v>
      </c>
      <c r="F1750" s="12" t="n">
        <v>450</v>
      </c>
      <c r="G1750" s="12" t="n">
        <v>69</v>
      </c>
      <c r="H1750" s="12" t="inlineStr">
        <is>
          <t>Inlet-chilling e-house / transformer</t>
        </is>
      </c>
      <c r="I1750" s="12" t="inlineStr">
        <is>
          <t>MV 5 kV</t>
        </is>
      </c>
      <c r="J1750" s="12" t="inlineStr">
        <is>
          <t>2</t>
        </is>
      </c>
      <c r="K1750" s="12" t="n">
        <v>1</v>
      </c>
    </row>
    <row r="1751">
      <c r="A1751" s="12" t="inlineStr">
        <is>
          <t>Chillers x6 (water-cooled)</t>
        </is>
      </c>
      <c r="B1751" s="12" t="inlineStr"/>
      <c r="C1751" s="12" t="inlineStr">
        <is>
          <t>J</t>
        </is>
      </c>
      <c r="D1751" s="12" t="inlineStr">
        <is>
          <t>Water-cooled chiller CH-1</t>
        </is>
      </c>
      <c r="E1751" s="12" t="n">
        <v>4160</v>
      </c>
      <c r="F1751" s="12" t="n">
        <v>1500</v>
      </c>
      <c r="G1751" s="12" t="n">
        <v>231</v>
      </c>
      <c r="H1751" s="12" t="inlineStr">
        <is>
          <t>Inlet-chilling e-house / transformer</t>
        </is>
      </c>
      <c r="I1751" s="12" t="inlineStr">
        <is>
          <t>MV 5 kV</t>
        </is>
      </c>
      <c r="J1751" s="12" t="inlineStr">
        <is>
          <t>250 kcmil</t>
        </is>
      </c>
      <c r="K1751" s="12" t="n">
        <v>1</v>
      </c>
    </row>
    <row r="1752">
      <c r="A1752" s="12" t="inlineStr">
        <is>
          <t>Chillers x6 (water-cooled)</t>
        </is>
      </c>
      <c r="B1752" s="12" t="inlineStr"/>
      <c r="C1752" s="12" t="inlineStr">
        <is>
          <t>J</t>
        </is>
      </c>
      <c r="D1752" s="12" t="inlineStr">
        <is>
          <t>Water-cooled chiller CH-2</t>
        </is>
      </c>
      <c r="E1752" s="12" t="n">
        <v>4160</v>
      </c>
      <c r="F1752" s="12" t="n">
        <v>1500</v>
      </c>
      <c r="G1752" s="12" t="n">
        <v>231</v>
      </c>
      <c r="H1752" s="12" t="inlineStr">
        <is>
          <t>Inlet-chilling e-house / transformer</t>
        </is>
      </c>
      <c r="I1752" s="12" t="inlineStr">
        <is>
          <t>MV 5 kV</t>
        </is>
      </c>
      <c r="J1752" s="12" t="inlineStr">
        <is>
          <t>250 kcmil</t>
        </is>
      </c>
      <c r="K1752" s="12" t="n">
        <v>1</v>
      </c>
    </row>
    <row r="1753">
      <c r="A1753" s="12" t="inlineStr">
        <is>
          <t>Chillers x6 (water-cooled)</t>
        </is>
      </c>
      <c r="B1753" s="12" t="inlineStr"/>
      <c r="C1753" s="12" t="inlineStr">
        <is>
          <t>J</t>
        </is>
      </c>
      <c r="D1753" s="12" t="inlineStr">
        <is>
          <t>Water-cooled chiller CH-3</t>
        </is>
      </c>
      <c r="E1753" s="12" t="n">
        <v>4160</v>
      </c>
      <c r="F1753" s="12" t="n">
        <v>1500</v>
      </c>
      <c r="G1753" s="12" t="n">
        <v>231</v>
      </c>
      <c r="H1753" s="12" t="inlineStr">
        <is>
          <t>Inlet-chilling e-house / transformer</t>
        </is>
      </c>
      <c r="I1753" s="12" t="inlineStr">
        <is>
          <t>MV 5 kV</t>
        </is>
      </c>
      <c r="J1753" s="12" t="inlineStr">
        <is>
          <t>250 kcmil</t>
        </is>
      </c>
      <c r="K1753" s="12" t="n">
        <v>1</v>
      </c>
    </row>
    <row r="1754">
      <c r="A1754" s="12" t="inlineStr">
        <is>
          <t>Chillers x6 (water-cooled)</t>
        </is>
      </c>
      <c r="B1754" s="12" t="inlineStr"/>
      <c r="C1754" s="12" t="inlineStr">
        <is>
          <t>J</t>
        </is>
      </c>
      <c r="D1754" s="12" t="inlineStr">
        <is>
          <t>Water-cooled chiller CH-4</t>
        </is>
      </c>
      <c r="E1754" s="12" t="n">
        <v>4160</v>
      </c>
      <c r="F1754" s="12" t="n">
        <v>1500</v>
      </c>
      <c r="G1754" s="12" t="n">
        <v>231</v>
      </c>
      <c r="H1754" s="12" t="inlineStr">
        <is>
          <t>Inlet-chilling e-house / transformer</t>
        </is>
      </c>
      <c r="I1754" s="12" t="inlineStr">
        <is>
          <t>MV 5 kV</t>
        </is>
      </c>
      <c r="J1754" s="12" t="inlineStr">
        <is>
          <t>250 kcmil</t>
        </is>
      </c>
      <c r="K1754" s="12" t="n">
        <v>1</v>
      </c>
    </row>
    <row r="1755">
      <c r="A1755" s="12" t="inlineStr">
        <is>
          <t>Chillers x6 (water-cooled)</t>
        </is>
      </c>
      <c r="B1755" s="12" t="inlineStr"/>
      <c r="C1755" s="12" t="inlineStr">
        <is>
          <t>J</t>
        </is>
      </c>
      <c r="D1755" s="12" t="inlineStr">
        <is>
          <t>Water-cooled chiller CH-5</t>
        </is>
      </c>
      <c r="E1755" s="12" t="n">
        <v>4160</v>
      </c>
      <c r="F1755" s="12" t="n">
        <v>1500</v>
      </c>
      <c r="G1755" s="12" t="n">
        <v>231</v>
      </c>
      <c r="H1755" s="12" t="inlineStr">
        <is>
          <t>Inlet-chilling e-house / transformer</t>
        </is>
      </c>
      <c r="I1755" s="12" t="inlineStr">
        <is>
          <t>MV 5 kV</t>
        </is>
      </c>
      <c r="J1755" s="12" t="inlineStr">
        <is>
          <t>250 kcmil</t>
        </is>
      </c>
      <c r="K1755" s="12" t="n">
        <v>1</v>
      </c>
    </row>
    <row r="1756">
      <c r="A1756" s="12" t="inlineStr">
        <is>
          <t>Chillers x6 (water-cooled)</t>
        </is>
      </c>
      <c r="B1756" s="12" t="inlineStr"/>
      <c r="C1756" s="12" t="inlineStr">
        <is>
          <t>J</t>
        </is>
      </c>
      <c r="D1756" s="12" t="inlineStr">
        <is>
          <t>Water-cooled chiller CH-6</t>
        </is>
      </c>
      <c r="E1756" s="12" t="n">
        <v>4160</v>
      </c>
      <c r="F1756" s="12" t="n">
        <v>1500</v>
      </c>
      <c r="G1756" s="12" t="n">
        <v>231</v>
      </c>
      <c r="H1756" s="12" t="inlineStr">
        <is>
          <t>Inlet-chilling e-house / transformer</t>
        </is>
      </c>
      <c r="I1756" s="12" t="inlineStr">
        <is>
          <t>MV 5 kV</t>
        </is>
      </c>
      <c r="J1756" s="12" t="inlineStr">
        <is>
          <t>250 kcmil</t>
        </is>
      </c>
      <c r="K1756" s="12" t="n">
        <v>1</v>
      </c>
    </row>
    <row r="1757">
      <c r="A1757" s="12" t="inlineStr">
        <is>
          <t>H2 19: T-H2 230/13.8 kV (about 40 MVA)</t>
        </is>
      </c>
      <c r="B1757" s="12" t="inlineStr">
        <is>
          <t>T-H2</t>
        </is>
      </c>
      <c r="C1757" s="12" t="inlineStr">
        <is>
          <t>K</t>
        </is>
      </c>
      <c r="D1757" s="12" t="inlineStr">
        <is>
          <t>Motor 1 of 1, 15 kW</t>
        </is>
      </c>
      <c r="E1757" s="12" t="n">
        <v>480</v>
      </c>
      <c r="F1757" s="12" t="n">
        <v>15</v>
      </c>
      <c r="G1757" s="12" t="n">
        <v>21.2</v>
      </c>
      <c r="H1757" s="12" t="inlineStr">
        <is>
          <t>H2 20: 13.8 kV e-house</t>
        </is>
      </c>
      <c r="I1757" s="12" t="inlineStr">
        <is>
          <t>LV 600 V</t>
        </is>
      </c>
      <c r="J1757" s="12" t="inlineStr">
        <is>
          <t>10</t>
        </is>
      </c>
      <c r="K1757" s="12" t="n">
        <v>1</v>
      </c>
    </row>
    <row r="1758">
      <c r="A1758" s="12" t="inlineStr">
        <is>
          <t>H2 20: 13.8 kV e-house</t>
        </is>
      </c>
      <c r="B1758" s="12" t="inlineStr"/>
      <c r="C1758" s="12" t="inlineStr">
        <is>
          <t>K</t>
        </is>
      </c>
      <c r="D1758" s="12" t="inlineStr">
        <is>
          <t>Motor 1 of 1, 15 kW</t>
        </is>
      </c>
      <c r="E1758" s="12" t="n">
        <v>480</v>
      </c>
      <c r="F1758" s="12" t="n">
        <v>15</v>
      </c>
      <c r="G1758" s="12" t="n">
        <v>21.2</v>
      </c>
      <c r="H1758" s="12" t="inlineStr">
        <is>
          <t>H2 20: 13.8 kV e-house</t>
        </is>
      </c>
      <c r="I1758" s="12" t="inlineStr">
        <is>
          <t>LV 600 V</t>
        </is>
      </c>
      <c r="J1758" s="12" t="inlineStr">
        <is>
          <t>10</t>
        </is>
      </c>
      <c r="K1758" s="12" t="n">
        <v>1</v>
      </c>
    </row>
    <row r="1759">
      <c r="A1759" s="12" t="inlineStr">
        <is>
          <t>H2 21: rectifier transformer 1 (7 MVA)</t>
        </is>
      </c>
      <c r="B1759" s="12" t="inlineStr"/>
      <c r="C1759" s="12" t="inlineStr">
        <is>
          <t>K</t>
        </is>
      </c>
      <c r="D1759" s="12" t="inlineStr">
        <is>
          <t>Motor 1 of 1, 15 kW</t>
        </is>
      </c>
      <c r="E1759" s="12" t="n">
        <v>480</v>
      </c>
      <c r="F1759" s="12" t="n">
        <v>15</v>
      </c>
      <c r="G1759" s="12" t="n">
        <v>21.2</v>
      </c>
      <c r="H1759" s="12" t="inlineStr">
        <is>
          <t>H2 20: 13.8 kV e-house</t>
        </is>
      </c>
      <c r="I1759" s="12" t="inlineStr">
        <is>
          <t>LV 600 V</t>
        </is>
      </c>
      <c r="J1759" s="12" t="inlineStr">
        <is>
          <t>8</t>
        </is>
      </c>
      <c r="K1759" s="12" t="n">
        <v>1</v>
      </c>
    </row>
    <row r="1760">
      <c r="A1760" s="12" t="inlineStr">
        <is>
          <t>H2 21: rectifier transformer 2 (7 MVA)</t>
        </is>
      </c>
      <c r="B1760" s="12" t="inlineStr"/>
      <c r="C1760" s="12" t="inlineStr">
        <is>
          <t>K</t>
        </is>
      </c>
      <c r="D1760" s="12" t="inlineStr">
        <is>
          <t>Motor 1 of 1, 15 kW</t>
        </is>
      </c>
      <c r="E1760" s="12" t="n">
        <v>480</v>
      </c>
      <c r="F1760" s="12" t="n">
        <v>15</v>
      </c>
      <c r="G1760" s="12" t="n">
        <v>21.2</v>
      </c>
      <c r="H1760" s="12" t="inlineStr">
        <is>
          <t>H2 20: 13.8 kV e-house</t>
        </is>
      </c>
      <c r="I1760" s="12" t="inlineStr">
        <is>
          <t>LV 600 V</t>
        </is>
      </c>
      <c r="J1760" s="12" t="inlineStr">
        <is>
          <t>8</t>
        </is>
      </c>
      <c r="K1760" s="12" t="n">
        <v>1</v>
      </c>
    </row>
    <row r="1761">
      <c r="A1761" s="12" t="inlineStr">
        <is>
          <t>H2 21: rectifier transformer 3 (7 MVA)</t>
        </is>
      </c>
      <c r="B1761" s="12" t="inlineStr"/>
      <c r="C1761" s="12" t="inlineStr">
        <is>
          <t>K</t>
        </is>
      </c>
      <c r="D1761" s="12" t="inlineStr">
        <is>
          <t>Motor 1 of 1, 15 kW</t>
        </is>
      </c>
      <c r="E1761" s="12" t="n">
        <v>480</v>
      </c>
      <c r="F1761" s="12" t="n">
        <v>15</v>
      </c>
      <c r="G1761" s="12" t="n">
        <v>21.2</v>
      </c>
      <c r="H1761" s="12" t="inlineStr">
        <is>
          <t>H2 20: 13.8 kV e-house</t>
        </is>
      </c>
      <c r="I1761" s="12" t="inlineStr">
        <is>
          <t>LV 600 V</t>
        </is>
      </c>
      <c r="J1761" s="12" t="inlineStr">
        <is>
          <t>8</t>
        </is>
      </c>
      <c r="K1761" s="12" t="n">
        <v>1</v>
      </c>
    </row>
    <row r="1762">
      <c r="A1762" s="12" t="inlineStr">
        <is>
          <t>H2 21: rectifier transformer 4 (7 MVA)</t>
        </is>
      </c>
      <c r="B1762" s="12" t="inlineStr"/>
      <c r="C1762" s="12" t="inlineStr">
        <is>
          <t>K</t>
        </is>
      </c>
      <c r="D1762" s="12" t="inlineStr">
        <is>
          <t>Motor 1 of 1, 15 kW</t>
        </is>
      </c>
      <c r="E1762" s="12" t="n">
        <v>480</v>
      </c>
      <c r="F1762" s="12" t="n">
        <v>15</v>
      </c>
      <c r="G1762" s="12" t="n">
        <v>21.2</v>
      </c>
      <c r="H1762" s="12" t="inlineStr">
        <is>
          <t>H2 20: 13.8 kV e-house</t>
        </is>
      </c>
      <c r="I1762" s="12" t="inlineStr">
        <is>
          <t>LV 600 V</t>
        </is>
      </c>
      <c r="J1762" s="12" t="inlineStr">
        <is>
          <t>8</t>
        </is>
      </c>
      <c r="K1762" s="12" t="n">
        <v>1</v>
      </c>
    </row>
    <row r="1763">
      <c r="A1763" s="12" t="inlineStr">
        <is>
          <t>H2 21: rectifier transformer 5 (7 MVA)</t>
        </is>
      </c>
      <c r="B1763" s="12" t="inlineStr"/>
      <c r="C1763" s="12" t="inlineStr">
        <is>
          <t>K</t>
        </is>
      </c>
      <c r="D1763" s="12" t="inlineStr">
        <is>
          <t>Motor 1 of 1, 15 kW</t>
        </is>
      </c>
      <c r="E1763" s="12" t="n">
        <v>480</v>
      </c>
      <c r="F1763" s="12" t="n">
        <v>15</v>
      </c>
      <c r="G1763" s="12" t="n">
        <v>21.2</v>
      </c>
      <c r="H1763" s="12" t="inlineStr">
        <is>
          <t>H2 20: 13.8 kV e-house</t>
        </is>
      </c>
      <c r="I1763" s="12" t="inlineStr">
        <is>
          <t>LV 600 V</t>
        </is>
      </c>
      <c r="J1763" s="12" t="inlineStr">
        <is>
          <t>10</t>
        </is>
      </c>
      <c r="K1763" s="12" t="n">
        <v>1</v>
      </c>
    </row>
    <row r="1764">
      <c r="A1764" s="12" t="inlineStr">
        <is>
          <t>H2 22: electrolyzer building (5 x HyLYZER-1000 + 5 rectifiers)</t>
        </is>
      </c>
      <c r="B1764" s="12" t="inlineStr">
        <is>
          <t>H2-EL</t>
        </is>
      </c>
      <c r="C1764" s="12" t="inlineStr">
        <is>
          <t>K</t>
        </is>
      </c>
      <c r="D1764" s="12" t="inlineStr">
        <is>
          <t>Motor 1 of 1, 15 kW</t>
        </is>
      </c>
      <c r="E1764" s="12" t="n">
        <v>480</v>
      </c>
      <c r="F1764" s="12" t="n">
        <v>15</v>
      </c>
      <c r="G1764" s="12" t="n">
        <v>21.2</v>
      </c>
      <c r="H1764" s="12" t="inlineStr">
        <is>
          <t>H2 20: 13.8 kV e-house</t>
        </is>
      </c>
      <c r="I1764" s="12" t="inlineStr">
        <is>
          <t>LV 600 V</t>
        </is>
      </c>
      <c r="J1764" s="12" t="inlineStr">
        <is>
          <t>8</t>
        </is>
      </c>
      <c r="K1764" s="12" t="n">
        <v>1</v>
      </c>
    </row>
    <row r="1765">
      <c r="A1765" s="12" t="inlineStr">
        <is>
          <t>H2 23: dry coolers</t>
        </is>
      </c>
      <c r="B1765" s="12" t="inlineStr"/>
      <c r="C1765" s="12" t="inlineStr">
        <is>
          <t>K</t>
        </is>
      </c>
      <c r="D1765" s="12" t="inlineStr">
        <is>
          <t>Motor 1 of 1, 15 kW</t>
        </is>
      </c>
      <c r="E1765" s="12" t="n">
        <v>480</v>
      </c>
      <c r="F1765" s="12" t="n">
        <v>15</v>
      </c>
      <c r="G1765" s="12" t="n">
        <v>21.2</v>
      </c>
      <c r="H1765" s="12" t="inlineStr">
        <is>
          <t>H2 20: 13.8 kV e-house</t>
        </is>
      </c>
      <c r="I1765" s="12" t="inlineStr">
        <is>
          <t>LV 600 V</t>
        </is>
      </c>
      <c r="J1765" s="12" t="inlineStr">
        <is>
          <t>10</t>
        </is>
      </c>
      <c r="K1765" s="12" t="n">
        <v>1</v>
      </c>
    </row>
    <row r="1766">
      <c r="A1766" s="12" t="inlineStr">
        <is>
          <t>H2 24: water purification (RO / EDI)</t>
        </is>
      </c>
      <c r="B1766" s="12" t="inlineStr"/>
      <c r="C1766" s="12" t="inlineStr">
        <is>
          <t>K</t>
        </is>
      </c>
      <c r="D1766" s="12" t="inlineStr">
        <is>
          <t>Motor 1 of 1, 15 kW</t>
        </is>
      </c>
      <c r="E1766" s="12" t="n">
        <v>480</v>
      </c>
      <c r="F1766" s="12" t="n">
        <v>15</v>
      </c>
      <c r="G1766" s="12" t="n">
        <v>21.2</v>
      </c>
      <c r="H1766" s="12" t="inlineStr">
        <is>
          <t>H2 20: 13.8 kV e-house</t>
        </is>
      </c>
      <c r="I1766" s="12" t="inlineStr">
        <is>
          <t>LV 600 V</t>
        </is>
      </c>
      <c r="J1766" s="12" t="inlineStr">
        <is>
          <t>10</t>
        </is>
      </c>
      <c r="K1766" s="12" t="n">
        <v>1</v>
      </c>
    </row>
    <row r="1767">
      <c r="A1767" s="12" t="inlineStr">
        <is>
          <t>H2 25: H2 dryer / purification</t>
        </is>
      </c>
      <c r="B1767" s="12" t="inlineStr"/>
      <c r="C1767" s="12" t="inlineStr">
        <is>
          <t>K</t>
        </is>
      </c>
      <c r="D1767" s="12" t="inlineStr">
        <is>
          <t>Motor 1 of 1, 15 kW</t>
        </is>
      </c>
      <c r="E1767" s="12" t="n">
        <v>480</v>
      </c>
      <c r="F1767" s="12" t="n">
        <v>15</v>
      </c>
      <c r="G1767" s="12" t="n">
        <v>21.2</v>
      </c>
      <c r="H1767" s="12" t="inlineStr">
        <is>
          <t>H2 20: 13.8 kV e-house</t>
        </is>
      </c>
      <c r="I1767" s="12" t="inlineStr">
        <is>
          <t>LV 600 V</t>
        </is>
      </c>
      <c r="J1767" s="12" t="inlineStr">
        <is>
          <t>10</t>
        </is>
      </c>
      <c r="K1767" s="12" t="n">
        <v>1</v>
      </c>
    </row>
    <row r="1768">
      <c r="A1768" s="12" t="inlineStr">
        <is>
          <t>H2 26: H2 compressor 1 (40 ft ISO)</t>
        </is>
      </c>
      <c r="B1768" s="12" t="inlineStr"/>
      <c r="C1768" s="12" t="inlineStr">
        <is>
          <t>K</t>
        </is>
      </c>
      <c r="D1768" s="12" t="inlineStr">
        <is>
          <t>Motor 1 of 1, 15 kW</t>
        </is>
      </c>
      <c r="E1768" s="12" t="n">
        <v>480</v>
      </c>
      <c r="F1768" s="12" t="n">
        <v>15</v>
      </c>
      <c r="G1768" s="12" t="n">
        <v>21.2</v>
      </c>
      <c r="H1768" s="12" t="inlineStr">
        <is>
          <t>H2 20: 13.8 kV e-house</t>
        </is>
      </c>
      <c r="I1768" s="12" t="inlineStr">
        <is>
          <t>LV 600 V</t>
        </is>
      </c>
      <c r="J1768" s="12" t="inlineStr">
        <is>
          <t>10</t>
        </is>
      </c>
      <c r="K1768" s="12" t="n">
        <v>1</v>
      </c>
    </row>
    <row r="1769">
      <c r="A1769" s="12" t="inlineStr">
        <is>
          <t>H2 26: H2 compressor 2 (40 ft ISO)</t>
        </is>
      </c>
      <c r="B1769" s="12" t="inlineStr"/>
      <c r="C1769" s="12" t="inlineStr">
        <is>
          <t>K</t>
        </is>
      </c>
      <c r="D1769" s="12" t="inlineStr">
        <is>
          <t>Motor 1 of 1, 15 kW</t>
        </is>
      </c>
      <c r="E1769" s="12" t="n">
        <v>480</v>
      </c>
      <c r="F1769" s="12" t="n">
        <v>15</v>
      </c>
      <c r="G1769" s="12" t="n">
        <v>21.2</v>
      </c>
      <c r="H1769" s="12" t="inlineStr">
        <is>
          <t>H2 20: 13.8 kV e-house</t>
        </is>
      </c>
      <c r="I1769" s="12" t="inlineStr">
        <is>
          <t>LV 600 V</t>
        </is>
      </c>
      <c r="J1769" s="12" t="inlineStr">
        <is>
          <t>10</t>
        </is>
      </c>
      <c r="K1769" s="12" t="n">
        <v>1</v>
      </c>
    </row>
    <row r="1770">
      <c r="A1770" s="12" t="inlineStr">
        <is>
          <t>H2 27: storage tube bank (~40 ft tubes)</t>
        </is>
      </c>
      <c r="B1770" s="12" t="inlineStr"/>
      <c r="C1770" s="12" t="inlineStr">
        <is>
          <t>K</t>
        </is>
      </c>
      <c r="D1770" s="12" t="inlineStr">
        <is>
          <t>Motor 1 of 1, 15 kW</t>
        </is>
      </c>
      <c r="E1770" s="12" t="n">
        <v>480</v>
      </c>
      <c r="F1770" s="12" t="n">
        <v>15</v>
      </c>
      <c r="G1770" s="12" t="n">
        <v>21.2</v>
      </c>
      <c r="H1770" s="12" t="inlineStr">
        <is>
          <t>H2 20: 13.8 kV e-house</t>
        </is>
      </c>
      <c r="I1770" s="12" t="inlineStr">
        <is>
          <t>LV 600 V</t>
        </is>
      </c>
      <c r="J1770" s="12" t="inlineStr">
        <is>
          <t>10</t>
        </is>
      </c>
      <c r="K1770" s="12" t="n">
        <v>1</v>
      </c>
    </row>
    <row r="1771">
      <c r="A1771" s="12" t="inlineStr">
        <is>
          <t>H2 27: storage tube bank (~40 ft tubes)</t>
        </is>
      </c>
      <c r="B1771" s="12" t="inlineStr"/>
      <c r="C1771" s="12" t="inlineStr">
        <is>
          <t>K</t>
        </is>
      </c>
      <c r="D1771" s="12" t="inlineStr">
        <is>
          <t>Motor 1 of 1, 15 kW</t>
        </is>
      </c>
      <c r="E1771" s="12" t="n">
        <v>480</v>
      </c>
      <c r="F1771" s="12" t="n">
        <v>15</v>
      </c>
      <c r="G1771" s="12" t="n">
        <v>21.2</v>
      </c>
      <c r="H1771" s="12" t="inlineStr">
        <is>
          <t>H2 20: 13.8 kV e-house</t>
        </is>
      </c>
      <c r="I1771" s="12" t="inlineStr">
        <is>
          <t>LV 600 V</t>
        </is>
      </c>
      <c r="J1771" s="12" t="inlineStr">
        <is>
          <t>10</t>
        </is>
      </c>
      <c r="K1771" s="12" t="n">
        <v>1</v>
      </c>
    </row>
    <row r="1772">
      <c r="A1772" s="12" t="inlineStr">
        <is>
          <t>H2 27: storage tube bank (~40 ft tubes)</t>
        </is>
      </c>
      <c r="B1772" s="12" t="inlineStr"/>
      <c r="C1772" s="12" t="inlineStr">
        <is>
          <t>K</t>
        </is>
      </c>
      <c r="D1772" s="12" t="inlineStr">
        <is>
          <t>Motor 1 of 1, 15 kW</t>
        </is>
      </c>
      <c r="E1772" s="12" t="n">
        <v>480</v>
      </c>
      <c r="F1772" s="12" t="n">
        <v>15</v>
      </c>
      <c r="G1772" s="12" t="n">
        <v>21.2</v>
      </c>
      <c r="H1772" s="12" t="inlineStr">
        <is>
          <t>H2 20: 13.8 kV e-house</t>
        </is>
      </c>
      <c r="I1772" s="12" t="inlineStr">
        <is>
          <t>LV 600 V</t>
        </is>
      </c>
      <c r="J1772" s="12" t="inlineStr">
        <is>
          <t>10</t>
        </is>
      </c>
      <c r="K1772" s="12" t="n">
        <v>1</v>
      </c>
    </row>
    <row r="1773">
      <c r="A1773" s="12" t="inlineStr">
        <is>
          <t>H2 27: storage tube bank (~40 ft tubes)</t>
        </is>
      </c>
      <c r="B1773" s="12" t="inlineStr"/>
      <c r="C1773" s="12" t="inlineStr">
        <is>
          <t>K</t>
        </is>
      </c>
      <c r="D1773" s="12" t="inlineStr">
        <is>
          <t>Motor 1 of 1, 15 kW</t>
        </is>
      </c>
      <c r="E1773" s="12" t="n">
        <v>480</v>
      </c>
      <c r="F1773" s="12" t="n">
        <v>15</v>
      </c>
      <c r="G1773" s="12" t="n">
        <v>21.2</v>
      </c>
      <c r="H1773" s="12" t="inlineStr">
        <is>
          <t>H2 20: 13.8 kV e-house</t>
        </is>
      </c>
      <c r="I1773" s="12" t="inlineStr">
        <is>
          <t>LV 600 V</t>
        </is>
      </c>
      <c r="J1773" s="12" t="inlineStr">
        <is>
          <t>10</t>
        </is>
      </c>
      <c r="K1773" s="12" t="n">
        <v>1</v>
      </c>
    </row>
    <row r="1774">
      <c r="A1774" s="12" t="inlineStr">
        <is>
          <t>H2 28: N2 purge supply</t>
        </is>
      </c>
      <c r="B1774" s="12" t="inlineStr"/>
      <c r="C1774" s="12" t="inlineStr">
        <is>
          <t>K</t>
        </is>
      </c>
      <c r="D1774" s="12" t="inlineStr">
        <is>
          <t>Motor 1 of 1, 15 kW</t>
        </is>
      </c>
      <c r="E1774" s="12" t="n">
        <v>480</v>
      </c>
      <c r="F1774" s="12" t="n">
        <v>15</v>
      </c>
      <c r="G1774" s="12" t="n">
        <v>21.2</v>
      </c>
      <c r="H1774" s="12" t="inlineStr">
        <is>
          <t>H2 20: 13.8 kV e-house</t>
        </is>
      </c>
      <c r="I1774" s="12" t="inlineStr">
        <is>
          <t>LV 600 V</t>
        </is>
      </c>
      <c r="J1774" s="12" t="inlineStr">
        <is>
          <t>10</t>
        </is>
      </c>
      <c r="K1774" s="12" t="n">
        <v>1</v>
      </c>
    </row>
    <row r="1775">
      <c r="A1775" s="12" t="inlineStr">
        <is>
          <t>H2 29: vent stack</t>
        </is>
      </c>
      <c r="B1775" s="12" t="inlineStr"/>
      <c r="C1775" s="12" t="inlineStr">
        <is>
          <t>K</t>
        </is>
      </c>
      <c r="D1775" s="12" t="inlineStr">
        <is>
          <t>Motor 1 of 1, 15 kW</t>
        </is>
      </c>
      <c r="E1775" s="12" t="n">
        <v>480</v>
      </c>
      <c r="F1775" s="12" t="n">
        <v>15</v>
      </c>
      <c r="G1775" s="12" t="n">
        <v>21.2</v>
      </c>
      <c r="H1775" s="12" t="inlineStr">
        <is>
          <t>H2 20: 13.8 kV e-house</t>
        </is>
      </c>
      <c r="I1775" s="12" t="inlineStr">
        <is>
          <t>LV 600 V</t>
        </is>
      </c>
      <c r="J1775" s="12" t="inlineStr">
        <is>
          <t>10</t>
        </is>
      </c>
      <c r="K1775" s="12" t="n">
        <v>1</v>
      </c>
    </row>
    <row r="1776">
      <c r="A1776" s="12" t="inlineStr">
        <is>
          <t>H2 30: H2 / gas blending station (plant gas yard)</t>
        </is>
      </c>
      <c r="B1776" s="12" t="inlineStr"/>
      <c r="C1776" s="12" t="inlineStr">
        <is>
          <t>K</t>
        </is>
      </c>
      <c r="D1776" s="12" t="inlineStr">
        <is>
          <t>Motor 1 of 1, 15 kW</t>
        </is>
      </c>
      <c r="E1776" s="12" t="n">
        <v>480</v>
      </c>
      <c r="F1776" s="12" t="n">
        <v>15</v>
      </c>
      <c r="G1776" s="12" t="n">
        <v>21.2</v>
      </c>
      <c r="H1776" s="12" t="inlineStr">
        <is>
          <t>LNG 17: LNG e-house (13.8 kV / 480 V)</t>
        </is>
      </c>
      <c r="I1776" s="12" t="inlineStr">
        <is>
          <t>LV 600 V</t>
        </is>
      </c>
      <c r="J1776" s="12" t="inlineStr">
        <is>
          <t>4</t>
        </is>
      </c>
      <c r="K1776" s="12" t="n">
        <v>1</v>
      </c>
    </row>
    <row r="1777">
      <c r="A1777" s="12" t="inlineStr">
        <is>
          <t>H2 pipe track and cable trench, hall -&gt; dryer / compressors (N2, instr</t>
        </is>
      </c>
      <c r="B1777" s="12" t="inlineStr"/>
      <c r="C1777" s="12" t="inlineStr">
        <is>
          <t>K</t>
        </is>
      </c>
      <c r="D1777" s="12" t="inlineStr">
        <is>
          <t>Motor 1 of 2, 250 kW</t>
        </is>
      </c>
      <c r="E1777" s="12" t="n">
        <v>480</v>
      </c>
      <c r="F1777" s="12" t="n">
        <v>250</v>
      </c>
      <c r="G1777" s="12" t="n">
        <v>353.8</v>
      </c>
      <c r="H1777" s="12" t="inlineStr">
        <is>
          <t>H2 20: 13.8 kV e-house</t>
        </is>
      </c>
      <c r="I1777" s="12" t="inlineStr">
        <is>
          <t>LV 600 V</t>
        </is>
      </c>
      <c r="J1777" s="12" t="inlineStr">
        <is>
          <t>4/0</t>
        </is>
      </c>
      <c r="K1777" s="12" t="n">
        <v>2</v>
      </c>
    </row>
    <row r="1778">
      <c r="A1778" s="12" t="inlineStr">
        <is>
          <t>H2 pipe track and cable trench, hall -&gt; dryer / compressors (N2, instr</t>
        </is>
      </c>
      <c r="B1778" s="12" t="inlineStr"/>
      <c r="C1778" s="12" t="inlineStr">
        <is>
          <t>K</t>
        </is>
      </c>
      <c r="D1778" s="12" t="inlineStr">
        <is>
          <t>Motor 2 of 2, 250 kW</t>
        </is>
      </c>
      <c r="E1778" s="12" t="n">
        <v>480</v>
      </c>
      <c r="F1778" s="12" t="n">
        <v>250</v>
      </c>
      <c r="G1778" s="12" t="n">
        <v>353.8</v>
      </c>
      <c r="H1778" s="12" t="inlineStr">
        <is>
          <t>H2 20: 13.8 kV e-house</t>
        </is>
      </c>
      <c r="I1778" s="12" t="inlineStr">
        <is>
          <t>LV 600 V</t>
        </is>
      </c>
      <c r="J1778" s="12" t="inlineStr">
        <is>
          <t>4/0</t>
        </is>
      </c>
      <c r="K1778" s="12" t="n">
        <v>2</v>
      </c>
    </row>
    <row r="1779">
      <c r="A1779" s="12" t="inlineStr">
        <is>
          <t>H2 storage tube banks x4</t>
        </is>
      </c>
      <c r="B1779" s="12" t="inlineStr">
        <is>
          <t>H2-ST</t>
        </is>
      </c>
      <c r="C1779" s="12" t="inlineStr">
        <is>
          <t>K</t>
        </is>
      </c>
      <c r="D1779" s="12" t="inlineStr">
        <is>
          <t>LV power feeder</t>
        </is>
      </c>
      <c r="E1779" s="12" t="n">
        <v>480</v>
      </c>
      <c r="F1779" s="12" t="n">
        <v>15</v>
      </c>
      <c r="G1779" s="12" t="n">
        <v>21.2</v>
      </c>
      <c r="H1779" s="12" t="inlineStr">
        <is>
          <t>H2 20: 13.8 kV e-house</t>
        </is>
      </c>
      <c r="I1779" s="12" t="inlineStr">
        <is>
          <t>LV 600 V</t>
        </is>
      </c>
      <c r="J1779" s="12" t="inlineStr">
        <is>
          <t>10</t>
        </is>
      </c>
      <c r="K1779" s="12" t="n">
        <v>1</v>
      </c>
    </row>
    <row r="1780">
      <c r="A1780" s="12" t="inlineStr">
        <is>
          <t>H2R: hydrogen pipeline receiving station (pig receiver, filters, meter</t>
        </is>
      </c>
      <c r="B1780" s="12" t="inlineStr">
        <is>
          <t>H2R</t>
        </is>
      </c>
      <c r="C1780" s="12" t="inlineStr">
        <is>
          <t>K</t>
        </is>
      </c>
      <c r="D1780" s="12" t="inlineStr">
        <is>
          <t>LV power feeder</t>
        </is>
      </c>
      <c r="E1780" s="12" t="n">
        <v>480</v>
      </c>
      <c r="F1780" s="12" t="n">
        <v>15</v>
      </c>
      <c r="G1780" s="12" t="n">
        <v>21.2</v>
      </c>
      <c r="H1780" s="12" t="inlineStr">
        <is>
          <t>H2 20: 13.8 kV e-house</t>
        </is>
      </c>
      <c r="I1780" s="12" t="inlineStr">
        <is>
          <t>LV 600 V</t>
        </is>
      </c>
      <c r="J1780" s="12" t="inlineStr">
        <is>
          <t>10</t>
        </is>
      </c>
      <c r="K1780" s="12" t="n">
        <v>1</v>
      </c>
    </row>
    <row r="1781">
      <c r="A1781" s="12" t="inlineStr">
        <is>
          <t>LNG 10: truck unloading bay 1</t>
        </is>
      </c>
      <c r="B1781" s="12" t="inlineStr"/>
      <c r="C1781" s="12" t="inlineStr">
        <is>
          <t>K</t>
        </is>
      </c>
      <c r="D1781" s="12" t="inlineStr">
        <is>
          <t>Motor 1 of 1, 15 kW</t>
        </is>
      </c>
      <c r="E1781" s="12" t="n">
        <v>480</v>
      </c>
      <c r="F1781" s="12" t="n">
        <v>15</v>
      </c>
      <c r="G1781" s="12" t="n">
        <v>21.2</v>
      </c>
      <c r="H1781" s="12" t="inlineStr">
        <is>
          <t>LNG 17: LNG e-house (13.8 kV / 480 V)</t>
        </is>
      </c>
      <c r="I1781" s="12" t="inlineStr">
        <is>
          <t>LV 600 V</t>
        </is>
      </c>
      <c r="J1781" s="12" t="inlineStr">
        <is>
          <t>8</t>
        </is>
      </c>
      <c r="K1781" s="12" t="n">
        <v>1</v>
      </c>
    </row>
    <row r="1782">
      <c r="A1782" s="12" t="inlineStr">
        <is>
          <t>LNG 10: truck unloading bay 2</t>
        </is>
      </c>
      <c r="B1782" s="12" t="inlineStr"/>
      <c r="C1782" s="12" t="inlineStr">
        <is>
          <t>K</t>
        </is>
      </c>
      <c r="D1782" s="12" t="inlineStr">
        <is>
          <t>Motor 1 of 1, 15 kW</t>
        </is>
      </c>
      <c r="E1782" s="12" t="n">
        <v>480</v>
      </c>
      <c r="F1782" s="12" t="n">
        <v>15</v>
      </c>
      <c r="G1782" s="12" t="n">
        <v>21.2</v>
      </c>
      <c r="H1782" s="12" t="inlineStr">
        <is>
          <t>LNG 17: LNG e-house (13.8 kV / 480 V)</t>
        </is>
      </c>
      <c r="I1782" s="12" t="inlineStr">
        <is>
          <t>LV 600 V</t>
        </is>
      </c>
      <c r="J1782" s="12" t="inlineStr">
        <is>
          <t>10</t>
        </is>
      </c>
      <c r="K1782" s="12" t="n">
        <v>1</v>
      </c>
    </row>
    <row r="1783">
      <c r="A1783" s="12" t="inlineStr">
        <is>
          <t>LNG 10: unloading skid</t>
        </is>
      </c>
      <c r="B1783" s="12" t="inlineStr"/>
      <c r="C1783" s="12" t="inlineStr">
        <is>
          <t>K</t>
        </is>
      </c>
      <c r="D1783" s="12" t="inlineStr">
        <is>
          <t>Motor 1 of 1, 15 kW</t>
        </is>
      </c>
      <c r="E1783" s="12" t="n">
        <v>480</v>
      </c>
      <c r="F1783" s="12" t="n">
        <v>15</v>
      </c>
      <c r="G1783" s="12" t="n">
        <v>21.2</v>
      </c>
      <c r="H1783" s="12" t="inlineStr">
        <is>
          <t>LNG 17: LNG e-house (13.8 kV / 480 V)</t>
        </is>
      </c>
      <c r="I1783" s="12" t="inlineStr">
        <is>
          <t>LV 600 V</t>
        </is>
      </c>
      <c r="J1783" s="12" t="inlineStr">
        <is>
          <t>10</t>
        </is>
      </c>
      <c r="K1783" s="12" t="n">
        <v>1</v>
      </c>
    </row>
    <row r="1784">
      <c r="A1784" s="12" t="inlineStr">
        <is>
          <t>LNG 11: tank 1, Chart HS 50000 (51,780 gal)</t>
        </is>
      </c>
      <c r="B1784" s="12" t="inlineStr">
        <is>
          <t>LNG-T1</t>
        </is>
      </c>
      <c r="C1784" s="12" t="inlineStr">
        <is>
          <t>K</t>
        </is>
      </c>
      <c r="D1784" s="12" t="inlineStr">
        <is>
          <t>LV power feeder</t>
        </is>
      </c>
      <c r="E1784" s="12" t="n">
        <v>480</v>
      </c>
      <c r="F1784" s="12" t="n">
        <v>10</v>
      </c>
      <c r="G1784" s="12" t="n">
        <v>14.2</v>
      </c>
      <c r="H1784" s="12" t="inlineStr">
        <is>
          <t>LNG 17: LNG e-house (13.8 kV / 480 V)</t>
        </is>
      </c>
      <c r="I1784" s="12" t="inlineStr">
        <is>
          <t>LV 600 V</t>
        </is>
      </c>
      <c r="J1784" s="12" t="inlineStr">
        <is>
          <t>10</t>
        </is>
      </c>
      <c r="K1784" s="12" t="n">
        <v>1</v>
      </c>
    </row>
    <row r="1785">
      <c r="A1785" s="12" t="inlineStr">
        <is>
          <t>LNG 11: tank 2, Chart HS 50000 (51,780 gal)</t>
        </is>
      </c>
      <c r="B1785" s="12" t="inlineStr">
        <is>
          <t>LNG-T2</t>
        </is>
      </c>
      <c r="C1785" s="12" t="inlineStr">
        <is>
          <t>K</t>
        </is>
      </c>
      <c r="D1785" s="12" t="inlineStr">
        <is>
          <t>LV power feeder</t>
        </is>
      </c>
      <c r="E1785" s="12" t="n">
        <v>480</v>
      </c>
      <c r="F1785" s="12" t="n">
        <v>10</v>
      </c>
      <c r="G1785" s="12" t="n">
        <v>14.2</v>
      </c>
      <c r="H1785" s="12" t="inlineStr">
        <is>
          <t>LNG 17: LNG e-house (13.8 kV / 480 V)</t>
        </is>
      </c>
      <c r="I1785" s="12" t="inlineStr">
        <is>
          <t>LV 600 V</t>
        </is>
      </c>
      <c r="J1785" s="12" t="inlineStr">
        <is>
          <t>10</t>
        </is>
      </c>
      <c r="K1785" s="12" t="n">
        <v>1</v>
      </c>
    </row>
    <row r="1786">
      <c r="A1786" s="12" t="inlineStr">
        <is>
          <t>LNG 11: tank 3, Chart HS 50000 (51,780 gal)</t>
        </is>
      </c>
      <c r="B1786" s="12" t="inlineStr">
        <is>
          <t>LNG-T3</t>
        </is>
      </c>
      <c r="C1786" s="12" t="inlineStr">
        <is>
          <t>K</t>
        </is>
      </c>
      <c r="D1786" s="12" t="inlineStr">
        <is>
          <t>LV power feeder</t>
        </is>
      </c>
      <c r="E1786" s="12" t="n">
        <v>480</v>
      </c>
      <c r="F1786" s="12" t="n">
        <v>10</v>
      </c>
      <c r="G1786" s="12" t="n">
        <v>14.2</v>
      </c>
      <c r="H1786" s="12" t="inlineStr">
        <is>
          <t>LNG 17: LNG e-house (13.8 kV / 480 V)</t>
        </is>
      </c>
      <c r="I1786" s="12" t="inlineStr">
        <is>
          <t>LV 600 V</t>
        </is>
      </c>
      <c r="J1786" s="12" t="inlineStr">
        <is>
          <t>10</t>
        </is>
      </c>
      <c r="K1786" s="12" t="n">
        <v>1</v>
      </c>
    </row>
    <row r="1787">
      <c r="A1787" s="12" t="inlineStr">
        <is>
          <t>LNG 11: tank 4, Chart HS 50000 (51,780 gal)</t>
        </is>
      </c>
      <c r="B1787" s="12" t="inlineStr">
        <is>
          <t>LNG-T4</t>
        </is>
      </c>
      <c r="C1787" s="12" t="inlineStr">
        <is>
          <t>K</t>
        </is>
      </c>
      <c r="D1787" s="12" t="inlineStr">
        <is>
          <t>LV power feeder</t>
        </is>
      </c>
      <c r="E1787" s="12" t="n">
        <v>480</v>
      </c>
      <c r="F1787" s="12" t="n">
        <v>10</v>
      </c>
      <c r="G1787" s="12" t="n">
        <v>14.2</v>
      </c>
      <c r="H1787" s="12" t="inlineStr">
        <is>
          <t>LNG 17: LNG e-house (13.8 kV / 480 V)</t>
        </is>
      </c>
      <c r="I1787" s="12" t="inlineStr">
        <is>
          <t>LV 600 V</t>
        </is>
      </c>
      <c r="J1787" s="12" t="inlineStr">
        <is>
          <t>10</t>
        </is>
      </c>
      <c r="K1787" s="12" t="n">
        <v>1</v>
      </c>
    </row>
    <row r="1788">
      <c r="A1788" s="12" t="inlineStr">
        <is>
          <t>LNG 11: tank 5, Chart HS 50000 (51,780 gal)</t>
        </is>
      </c>
      <c r="B1788" s="12" t="inlineStr">
        <is>
          <t>LNG-T5</t>
        </is>
      </c>
      <c r="C1788" s="12" t="inlineStr">
        <is>
          <t>K</t>
        </is>
      </c>
      <c r="D1788" s="12" t="inlineStr">
        <is>
          <t>LV power feeder</t>
        </is>
      </c>
      <c r="E1788" s="12" t="n">
        <v>480</v>
      </c>
      <c r="F1788" s="12" t="n">
        <v>10</v>
      </c>
      <c r="G1788" s="12" t="n">
        <v>14.2</v>
      </c>
      <c r="H1788" s="12" t="inlineStr">
        <is>
          <t>LNG 17: LNG e-house (13.8 kV / 480 V)</t>
        </is>
      </c>
      <c r="I1788" s="12" t="inlineStr">
        <is>
          <t>LV 600 V</t>
        </is>
      </c>
      <c r="J1788" s="12" t="inlineStr">
        <is>
          <t>10</t>
        </is>
      </c>
      <c r="K1788" s="12" t="n">
        <v>1</v>
      </c>
    </row>
    <row r="1789">
      <c r="A1789" s="12" t="inlineStr">
        <is>
          <t>LNG 11: tank 6, Chart HS 50000 (51,780 gal)</t>
        </is>
      </c>
      <c r="B1789" s="12" t="inlineStr">
        <is>
          <t>LNG-T6</t>
        </is>
      </c>
      <c r="C1789" s="12" t="inlineStr">
        <is>
          <t>K</t>
        </is>
      </c>
      <c r="D1789" s="12" t="inlineStr">
        <is>
          <t>LV power feeder</t>
        </is>
      </c>
      <c r="E1789" s="12" t="n">
        <v>480</v>
      </c>
      <c r="F1789" s="12" t="n">
        <v>10</v>
      </c>
      <c r="G1789" s="12" t="n">
        <v>14.2</v>
      </c>
      <c r="H1789" s="12" t="inlineStr">
        <is>
          <t>LNG 17: LNG e-house (13.8 kV / 480 V)</t>
        </is>
      </c>
      <c r="I1789" s="12" t="inlineStr">
        <is>
          <t>LV 600 V</t>
        </is>
      </c>
      <c r="J1789" s="12" t="inlineStr">
        <is>
          <t>10</t>
        </is>
      </c>
      <c r="K1789" s="12" t="n">
        <v>1</v>
      </c>
    </row>
    <row r="1790">
      <c r="A1790" s="12" t="inlineStr">
        <is>
          <t>LNG 11: tank 7, Chart HS 50000 (51,780 gal)</t>
        </is>
      </c>
      <c r="B1790" s="12" t="inlineStr">
        <is>
          <t>LNG-T7</t>
        </is>
      </c>
      <c r="C1790" s="12" t="inlineStr">
        <is>
          <t>K</t>
        </is>
      </c>
      <c r="D1790" s="12" t="inlineStr">
        <is>
          <t>LV power feeder</t>
        </is>
      </c>
      <c r="E1790" s="12" t="n">
        <v>480</v>
      </c>
      <c r="F1790" s="12" t="n">
        <v>10</v>
      </c>
      <c r="G1790" s="12" t="n">
        <v>14.2</v>
      </c>
      <c r="H1790" s="12" t="inlineStr">
        <is>
          <t>LNG 17: LNG e-house (13.8 kV / 480 V)</t>
        </is>
      </c>
      <c r="I1790" s="12" t="inlineStr">
        <is>
          <t>LV 600 V</t>
        </is>
      </c>
      <c r="J1790" s="12" t="inlineStr">
        <is>
          <t>10</t>
        </is>
      </c>
      <c r="K1790" s="12" t="n">
        <v>1</v>
      </c>
    </row>
    <row r="1791">
      <c r="A1791" s="12" t="inlineStr">
        <is>
          <t>LNG 11: tank 8, Chart HS 50000 (51,780 gal)</t>
        </is>
      </c>
      <c r="B1791" s="12" t="inlineStr">
        <is>
          <t>LNG-T8</t>
        </is>
      </c>
      <c r="C1791" s="12" t="inlineStr">
        <is>
          <t>K</t>
        </is>
      </c>
      <c r="D1791" s="12" t="inlineStr">
        <is>
          <t>LV power feeder</t>
        </is>
      </c>
      <c r="E1791" s="12" t="n">
        <v>480</v>
      </c>
      <c r="F1791" s="12" t="n">
        <v>10</v>
      </c>
      <c r="G1791" s="12" t="n">
        <v>14.2</v>
      </c>
      <c r="H1791" s="12" t="inlineStr">
        <is>
          <t>LNG 17: LNG e-house (13.8 kV / 480 V)</t>
        </is>
      </c>
      <c r="I1791" s="12" t="inlineStr">
        <is>
          <t>LV 600 V</t>
        </is>
      </c>
      <c r="J1791" s="12" t="inlineStr">
        <is>
          <t>10</t>
        </is>
      </c>
      <c r="K1791" s="12" t="n">
        <v>1</v>
      </c>
    </row>
    <row r="1792">
      <c r="A1792" s="12" t="inlineStr">
        <is>
          <t>LNG 12: spill impoundment (NFPA 59A, to verify)</t>
        </is>
      </c>
      <c r="B1792" s="12" t="inlineStr"/>
      <c r="C1792" s="12" t="inlineStr">
        <is>
          <t>K</t>
        </is>
      </c>
      <c r="D1792" s="12" t="inlineStr">
        <is>
          <t>Motor 1 of 1, 15 kW</t>
        </is>
      </c>
      <c r="E1792" s="12" t="n">
        <v>480</v>
      </c>
      <c r="F1792" s="12" t="n">
        <v>15</v>
      </c>
      <c r="G1792" s="12" t="n">
        <v>21.2</v>
      </c>
      <c r="H1792" s="12" t="inlineStr">
        <is>
          <t>LNG 17: LNG e-house (13.8 kV / 480 V)</t>
        </is>
      </c>
      <c r="I1792" s="12" t="inlineStr">
        <is>
          <t>LV 600 V</t>
        </is>
      </c>
      <c r="J1792" s="12" t="inlineStr">
        <is>
          <t>10</t>
        </is>
      </c>
      <c r="K1792" s="12" t="n">
        <v>1</v>
      </c>
    </row>
    <row r="1793">
      <c r="A1793" s="12" t="inlineStr">
        <is>
          <t>LNG 13: send-out pumps 2 x 100%</t>
        </is>
      </c>
      <c r="B1793" s="12" t="inlineStr"/>
      <c r="C1793" s="12" t="inlineStr">
        <is>
          <t>K</t>
        </is>
      </c>
      <c r="D1793" s="12" t="inlineStr">
        <is>
          <t>Motor 1 of 1, 15 kW</t>
        </is>
      </c>
      <c r="E1793" s="12" t="n">
        <v>480</v>
      </c>
      <c r="F1793" s="12" t="n">
        <v>15</v>
      </c>
      <c r="G1793" s="12" t="n">
        <v>21.2</v>
      </c>
      <c r="H1793" s="12" t="inlineStr">
        <is>
          <t>LNG 17: LNG e-house (13.8 kV / 480 V)</t>
        </is>
      </c>
      <c r="I1793" s="12" t="inlineStr">
        <is>
          <t>LV 600 V</t>
        </is>
      </c>
      <c r="J1793" s="12" t="inlineStr">
        <is>
          <t>10</t>
        </is>
      </c>
      <c r="K1793" s="12" t="n">
        <v>1</v>
      </c>
    </row>
    <row r="1794">
      <c r="A1794" s="12" t="inlineStr">
        <is>
          <t>LNG 14: vaporizers + glycol heater</t>
        </is>
      </c>
      <c r="B1794" s="12" t="inlineStr"/>
      <c r="C1794" s="12" t="inlineStr">
        <is>
          <t>K</t>
        </is>
      </c>
      <c r="D1794" s="12" t="inlineStr">
        <is>
          <t>Motor 1 of 1, 15 kW</t>
        </is>
      </c>
      <c r="E1794" s="12" t="n">
        <v>480</v>
      </c>
      <c r="F1794" s="12" t="n">
        <v>15</v>
      </c>
      <c r="G1794" s="12" t="n">
        <v>21.2</v>
      </c>
      <c r="H1794" s="12" t="inlineStr">
        <is>
          <t>LNG 17: LNG e-house (13.8 kV / 480 V)</t>
        </is>
      </c>
      <c r="I1794" s="12" t="inlineStr">
        <is>
          <t>LV 600 V</t>
        </is>
      </c>
      <c r="J1794" s="12" t="inlineStr">
        <is>
          <t>10</t>
        </is>
      </c>
      <c r="K1794" s="12" t="n">
        <v>1</v>
      </c>
    </row>
    <row r="1795">
      <c r="A1795" s="12" t="inlineStr">
        <is>
          <t>LNG 15: boil-off gas compressor</t>
        </is>
      </c>
      <c r="B1795" s="12" t="inlineStr"/>
      <c r="C1795" s="12" t="inlineStr">
        <is>
          <t>K</t>
        </is>
      </c>
      <c r="D1795" s="12" t="inlineStr">
        <is>
          <t>Motor 1 of 1, 15 kW</t>
        </is>
      </c>
      <c r="E1795" s="12" t="n">
        <v>480</v>
      </c>
      <c r="F1795" s="12" t="n">
        <v>15</v>
      </c>
      <c r="G1795" s="12" t="n">
        <v>21.2</v>
      </c>
      <c r="H1795" s="12" t="inlineStr">
        <is>
          <t>LNG 17: LNG e-house (13.8 kV / 480 V)</t>
        </is>
      </c>
      <c r="I1795" s="12" t="inlineStr">
        <is>
          <t>LV 600 V</t>
        </is>
      </c>
      <c r="J1795" s="12" t="inlineStr">
        <is>
          <t>10</t>
        </is>
      </c>
      <c r="K1795" s="12" t="n">
        <v>1</v>
      </c>
    </row>
    <row r="1796">
      <c r="A1796" s="12" t="inlineStr">
        <is>
          <t>LNG 16: send-out metering + pressure control</t>
        </is>
      </c>
      <c r="B1796" s="12" t="inlineStr"/>
      <c r="C1796" s="12" t="inlineStr">
        <is>
          <t>K</t>
        </is>
      </c>
      <c r="D1796" s="12" t="inlineStr">
        <is>
          <t>Motor 1 of 1, 15 kW</t>
        </is>
      </c>
      <c r="E1796" s="12" t="n">
        <v>480</v>
      </c>
      <c r="F1796" s="12" t="n">
        <v>15</v>
      </c>
      <c r="G1796" s="12" t="n">
        <v>21.2</v>
      </c>
      <c r="H1796" s="12" t="inlineStr">
        <is>
          <t>LNG 17: LNG e-house (13.8 kV / 480 V)</t>
        </is>
      </c>
      <c r="I1796" s="12" t="inlineStr">
        <is>
          <t>LV 600 V</t>
        </is>
      </c>
      <c r="J1796" s="12" t="inlineStr">
        <is>
          <t>10</t>
        </is>
      </c>
      <c r="K1796" s="12" t="n">
        <v>1</v>
      </c>
    </row>
    <row r="1797">
      <c r="A1797" s="12" t="inlineStr">
        <is>
          <t>LNG 17: LNG e-house (13.8 kV / 480 V)</t>
        </is>
      </c>
      <c r="B1797" s="12" t="inlineStr"/>
      <c r="C1797" s="12" t="inlineStr">
        <is>
          <t>K</t>
        </is>
      </c>
      <c r="D1797" s="12" t="inlineStr">
        <is>
          <t>Motor 1 of 1, 15 kW</t>
        </is>
      </c>
      <c r="E1797" s="12" t="n">
        <v>480</v>
      </c>
      <c r="F1797" s="12" t="n">
        <v>15</v>
      </c>
      <c r="G1797" s="12" t="n">
        <v>21.2</v>
      </c>
      <c r="H1797" s="12" t="inlineStr">
        <is>
          <t>LNG 17: LNG e-house (13.8 kV / 480 V)</t>
        </is>
      </c>
      <c r="I1797" s="12" t="inlineStr">
        <is>
          <t>LV 600 V</t>
        </is>
      </c>
      <c r="J1797" s="12" t="inlineStr">
        <is>
          <t>10</t>
        </is>
      </c>
      <c r="K1797" s="12" t="n">
        <v>1</v>
      </c>
    </row>
    <row r="1798">
      <c r="A1798" s="12" t="inlineStr">
        <is>
          <t>LNG 18: vent stack</t>
        </is>
      </c>
      <c r="B1798" s="12" t="inlineStr"/>
      <c r="C1798" s="12" t="inlineStr">
        <is>
          <t>K</t>
        </is>
      </c>
      <c r="D1798" s="12" t="inlineStr">
        <is>
          <t>Motor 1 of 1, 15 kW</t>
        </is>
      </c>
      <c r="E1798" s="12" t="n">
        <v>480</v>
      </c>
      <c r="F1798" s="12" t="n">
        <v>15</v>
      </c>
      <c r="G1798" s="12" t="n">
        <v>21.2</v>
      </c>
      <c r="H1798" s="12" t="inlineStr">
        <is>
          <t>LNG 17: LNG e-house (13.8 kV / 480 V)</t>
        </is>
      </c>
      <c r="I1798" s="12" t="inlineStr">
        <is>
          <t>LV 600 V</t>
        </is>
      </c>
      <c r="J1798" s="12" t="inlineStr">
        <is>
          <t>10</t>
        </is>
      </c>
      <c r="K1798" s="12" t="n">
        <v>1</v>
      </c>
    </row>
    <row r="1799">
      <c r="A1799" s="12" t="inlineStr">
        <is>
          <t>LNG impoundment sump pump</t>
        </is>
      </c>
      <c r="B1799" s="12" t="inlineStr"/>
      <c r="C1799" s="12" t="inlineStr">
        <is>
          <t>K</t>
        </is>
      </c>
      <c r="D1799" s="12" t="inlineStr">
        <is>
          <t>LV power feeder</t>
        </is>
      </c>
      <c r="E1799" s="12" t="n">
        <v>480</v>
      </c>
      <c r="F1799" s="12" t="n">
        <v>15</v>
      </c>
      <c r="G1799" s="12" t="n">
        <v>21.2</v>
      </c>
      <c r="H1799" s="12" t="inlineStr">
        <is>
          <t>LNG 17: LNG e-house (13.8 kV / 480 V)</t>
        </is>
      </c>
      <c r="I1799" s="12" t="inlineStr">
        <is>
          <t>LV 600 V</t>
        </is>
      </c>
      <c r="J1799" s="12" t="inlineStr">
        <is>
          <t>8</t>
        </is>
      </c>
      <c r="K1799" s="12" t="n">
        <v>1</v>
      </c>
    </row>
    <row r="1800">
      <c r="A1800" s="12" t="inlineStr">
        <is>
          <t>M&amp;R 2: insulating joint + ESD valve</t>
        </is>
      </c>
      <c r="B1800" s="12" t="inlineStr"/>
      <c r="C1800" s="12" t="inlineStr">
        <is>
          <t>K</t>
        </is>
      </c>
      <c r="D1800" s="12" t="inlineStr">
        <is>
          <t>LV power feeder</t>
        </is>
      </c>
      <c r="E1800" s="12" t="n">
        <v>480</v>
      </c>
      <c r="F1800" s="12" t="n">
        <v>10</v>
      </c>
      <c r="G1800" s="12" t="n">
        <v>14.2</v>
      </c>
      <c r="H1800" s="12" t="inlineStr">
        <is>
          <t>LNG 17: LNG e-house (13.8 kV / 480 V)</t>
        </is>
      </c>
      <c r="I1800" s="12" t="inlineStr">
        <is>
          <t>LV 600 V</t>
        </is>
      </c>
      <c r="J1800" s="12" t="inlineStr">
        <is>
          <t>6</t>
        </is>
      </c>
      <c r="K1800" s="12" t="n">
        <v>1</v>
      </c>
    </row>
    <row r="1801">
      <c r="A1801" s="12" t="inlineStr">
        <is>
          <t>M&amp;R 3: horizontal filter-separator</t>
        </is>
      </c>
      <c r="B1801" s="12" t="inlineStr"/>
      <c r="C1801" s="12" t="inlineStr">
        <is>
          <t>K</t>
        </is>
      </c>
      <c r="D1801" s="12" t="inlineStr">
        <is>
          <t>LV power feeder</t>
        </is>
      </c>
      <c r="E1801" s="12" t="n">
        <v>480</v>
      </c>
      <c r="F1801" s="12" t="n">
        <v>15</v>
      </c>
      <c r="G1801" s="12" t="n">
        <v>21.2</v>
      </c>
      <c r="H1801" s="12" t="inlineStr">
        <is>
          <t>LNG 17: LNG e-house (13.8 kV / 480 V)</t>
        </is>
      </c>
      <c r="I1801" s="12" t="inlineStr">
        <is>
          <t>LV 600 V</t>
        </is>
      </c>
      <c r="J1801" s="12" t="inlineStr">
        <is>
          <t>4</t>
        </is>
      </c>
      <c r="K1801" s="12" t="n">
        <v>1</v>
      </c>
    </row>
    <row r="1802">
      <c r="A1802" s="12" t="inlineStr">
        <is>
          <t>M&amp;R 4: line heater 1 (water bath)</t>
        </is>
      </c>
      <c r="B1802" s="12" t="inlineStr"/>
      <c r="C1802" s="12" t="inlineStr">
        <is>
          <t>K</t>
        </is>
      </c>
      <c r="D1802" s="12" t="inlineStr">
        <is>
          <t>LV power feeder</t>
        </is>
      </c>
      <c r="E1802" s="12" t="n">
        <v>480</v>
      </c>
      <c r="F1802" s="12" t="n">
        <v>15</v>
      </c>
      <c r="G1802" s="12" t="n">
        <v>21.2</v>
      </c>
      <c r="H1802" s="12" t="inlineStr">
        <is>
          <t>LNG 17: LNG e-house (13.8 kV / 480 V)</t>
        </is>
      </c>
      <c r="I1802" s="12" t="inlineStr">
        <is>
          <t>LV 600 V</t>
        </is>
      </c>
      <c r="J1802" s="12" t="inlineStr">
        <is>
          <t>6</t>
        </is>
      </c>
      <c r="K1802" s="12" t="n">
        <v>1</v>
      </c>
    </row>
    <row r="1803">
      <c r="A1803" s="12" t="inlineStr">
        <is>
          <t>M&amp;R 4: line heater 2 (water bath)</t>
        </is>
      </c>
      <c r="B1803" s="12" t="inlineStr"/>
      <c r="C1803" s="12" t="inlineStr">
        <is>
          <t>K</t>
        </is>
      </c>
      <c r="D1803" s="12" t="inlineStr">
        <is>
          <t>LV power feeder</t>
        </is>
      </c>
      <c r="E1803" s="12" t="n">
        <v>480</v>
      </c>
      <c r="F1803" s="12" t="n">
        <v>15</v>
      </c>
      <c r="G1803" s="12" t="n">
        <v>21.2</v>
      </c>
      <c r="H1803" s="12" t="inlineStr">
        <is>
          <t>LNG 17: LNG e-house (13.8 kV / 480 V)</t>
        </is>
      </c>
      <c r="I1803" s="12" t="inlineStr">
        <is>
          <t>LV 600 V</t>
        </is>
      </c>
      <c r="J1803" s="12" t="inlineStr">
        <is>
          <t>6</t>
        </is>
      </c>
      <c r="K1803" s="12" t="n">
        <v>1</v>
      </c>
    </row>
    <row r="1804">
      <c r="A1804" s="12" t="inlineStr">
        <is>
          <t>M&amp;R 4: line heater 3 (water bath)</t>
        </is>
      </c>
      <c r="B1804" s="12" t="inlineStr"/>
      <c r="C1804" s="12" t="inlineStr">
        <is>
          <t>K</t>
        </is>
      </c>
      <c r="D1804" s="12" t="inlineStr">
        <is>
          <t>LV power feeder</t>
        </is>
      </c>
      <c r="E1804" s="12" t="n">
        <v>480</v>
      </c>
      <c r="F1804" s="12" t="n">
        <v>15</v>
      </c>
      <c r="G1804" s="12" t="n">
        <v>21.2</v>
      </c>
      <c r="H1804" s="12" t="inlineStr">
        <is>
          <t>LNG 17: LNG e-house (13.8 kV / 480 V)</t>
        </is>
      </c>
      <c r="I1804" s="12" t="inlineStr">
        <is>
          <t>LV 600 V</t>
        </is>
      </c>
      <c r="J1804" s="12" t="inlineStr">
        <is>
          <t>6</t>
        </is>
      </c>
      <c r="K1804" s="12" t="n">
        <v>1</v>
      </c>
    </row>
    <row r="1805">
      <c r="A1805" s="12" t="inlineStr">
        <is>
          <t>M&amp;R 6: regulation / flow control building</t>
        </is>
      </c>
      <c r="B1805" s="12" t="inlineStr"/>
      <c r="C1805" s="12" t="inlineStr">
        <is>
          <t>K</t>
        </is>
      </c>
      <c r="D1805" s="12" t="inlineStr">
        <is>
          <t>LV panel / distribution feeder</t>
        </is>
      </c>
      <c r="E1805" s="12" t="n">
        <v>480</v>
      </c>
      <c r="F1805" s="12" t="n">
        <v>10</v>
      </c>
      <c r="G1805" s="12" t="n">
        <v>14.2</v>
      </c>
      <c r="H1805" s="12" t="inlineStr">
        <is>
          <t>LNG 17: LNG e-house (13.8 kV / 480 V)</t>
        </is>
      </c>
      <c r="I1805" s="12" t="inlineStr">
        <is>
          <t>LV 600 V</t>
        </is>
      </c>
      <c r="J1805" s="12" t="inlineStr">
        <is>
          <t>8</t>
        </is>
      </c>
      <c r="K1805" s="12" t="n">
        <v>1</v>
      </c>
    </row>
    <row r="1806">
      <c r="A1806" s="12" t="inlineStr">
        <is>
          <t>M&amp;R 7: gas quality + measurement building</t>
        </is>
      </c>
      <c r="B1806" s="12" t="inlineStr"/>
      <c r="C1806" s="12" t="inlineStr">
        <is>
          <t>K</t>
        </is>
      </c>
      <c r="D1806" s="12" t="inlineStr">
        <is>
          <t>LV panel / distribution feeder</t>
        </is>
      </c>
      <c r="E1806" s="12" t="n">
        <v>480</v>
      </c>
      <c r="F1806" s="12" t="n">
        <v>30</v>
      </c>
      <c r="G1806" s="12" t="n">
        <v>42.5</v>
      </c>
      <c r="H1806" s="12" t="inlineStr">
        <is>
          <t>LNG 17: LNG e-house (13.8 kV / 480 V)</t>
        </is>
      </c>
      <c r="I1806" s="12" t="inlineStr">
        <is>
          <t>LV 600 V</t>
        </is>
      </c>
      <c r="J1806" s="12" t="inlineStr">
        <is>
          <t>2</t>
        </is>
      </c>
      <c r="K1806" s="12" t="n">
        <v>1</v>
      </c>
    </row>
    <row r="1807">
      <c r="A1807" s="12" t="inlineStr">
        <is>
          <t>M&amp;R 8: condensate tank</t>
        </is>
      </c>
      <c r="B1807" s="12" t="inlineStr"/>
      <c r="C1807" s="12" t="inlineStr">
        <is>
          <t>K</t>
        </is>
      </c>
      <c r="D1807" s="12" t="inlineStr">
        <is>
          <t>LV power feeder</t>
        </is>
      </c>
      <c r="E1807" s="12" t="n">
        <v>480</v>
      </c>
      <c r="F1807" s="12" t="n">
        <v>10</v>
      </c>
      <c r="G1807" s="12" t="n">
        <v>14.2</v>
      </c>
      <c r="H1807" s="12" t="inlineStr">
        <is>
          <t>LNG 17: LNG e-house (13.8 kV / 480 V)</t>
        </is>
      </c>
      <c r="I1807" s="12" t="inlineStr">
        <is>
          <t>LV 600 V</t>
        </is>
      </c>
      <c r="J1807" s="12" t="inlineStr">
        <is>
          <t>8</t>
        </is>
      </c>
      <c r="K1807" s="12" t="n">
        <v>1</v>
      </c>
    </row>
    <row r="1808">
      <c r="A1808" s="12" t="inlineStr">
        <is>
          <t>M&amp;R 9: service panel + UPS, SCADA RTU, CP</t>
        </is>
      </c>
      <c r="B1808" s="12" t="inlineStr"/>
      <c r="C1808" s="12" t="inlineStr">
        <is>
          <t>K</t>
        </is>
      </c>
      <c r="D1808" s="12" t="inlineStr">
        <is>
          <t>LV power feeder</t>
        </is>
      </c>
      <c r="E1808" s="12" t="n">
        <v>480</v>
      </c>
      <c r="F1808" s="12" t="n">
        <v>15</v>
      </c>
      <c r="G1808" s="12" t="n">
        <v>21.2</v>
      </c>
      <c r="H1808" s="12" t="inlineStr">
        <is>
          <t>LNG 17: LNG e-house (13.8 kV / 480 V)</t>
        </is>
      </c>
      <c r="I1808" s="12" t="inlineStr">
        <is>
          <t>LV 600 V</t>
        </is>
      </c>
      <c r="J1808" s="12" t="inlineStr">
        <is>
          <t>6</t>
        </is>
      </c>
      <c r="K1808" s="12" t="n">
        <v>1</v>
      </c>
    </row>
    <row r="1809">
      <c r="A1809" s="12" t="inlineStr">
        <is>
          <t>M&amp;R CP test station (as drawn)</t>
        </is>
      </c>
      <c r="B1809" s="12" t="inlineStr"/>
      <c r="C1809" s="12" t="inlineStr">
        <is>
          <t>K</t>
        </is>
      </c>
      <c r="D1809" s="12" t="inlineStr">
        <is>
          <t>LV power feeder</t>
        </is>
      </c>
      <c r="E1809" s="12" t="n">
        <v>480</v>
      </c>
      <c r="F1809" s="12" t="n">
        <v>15</v>
      </c>
      <c r="G1809" s="12" t="n">
        <v>21.2</v>
      </c>
      <c r="H1809" s="12" t="inlineStr">
        <is>
          <t>LNG 17: LNG e-house (13.8 kV / 480 V)</t>
        </is>
      </c>
      <c r="I1809" s="12" t="inlineStr">
        <is>
          <t>LV 600 V</t>
        </is>
      </c>
      <c r="J1809" s="12" t="inlineStr">
        <is>
          <t>6</t>
        </is>
      </c>
      <c r="K1809" s="12" t="n">
        <v>1</v>
      </c>
    </row>
    <row r="1810">
      <c r="A1810" s="12" t="inlineStr">
        <is>
          <t>M&amp;R SCADA antenna mast base (as drawn)</t>
        </is>
      </c>
      <c r="B1810" s="12" t="inlineStr"/>
      <c r="C1810" s="12" t="inlineStr">
        <is>
          <t>K</t>
        </is>
      </c>
      <c r="D1810" s="12" t="inlineStr">
        <is>
          <t>LV power feeder</t>
        </is>
      </c>
      <c r="E1810" s="12" t="n">
        <v>480</v>
      </c>
      <c r="F1810" s="12" t="n">
        <v>15</v>
      </c>
      <c r="G1810" s="12" t="n">
        <v>21.2</v>
      </c>
      <c r="H1810" s="12" t="inlineStr">
        <is>
          <t>LNG 17: LNG e-house (13.8 kV / 480 V)</t>
        </is>
      </c>
      <c r="I1810" s="12" t="inlineStr">
        <is>
          <t>LV 600 V</t>
        </is>
      </c>
      <c r="J1810" s="12" t="inlineStr">
        <is>
          <t>8</t>
        </is>
      </c>
      <c r="K1810" s="12" t="n">
        <v>1</v>
      </c>
    </row>
    <row r="1811">
      <c r="A1811" s="12" t="inlineStr">
        <is>
          <t>H2 20: 13.8 kV e-house</t>
        </is>
      </c>
      <c r="B1811" s="12" t="inlineStr"/>
      <c r="C1811" s="12" t="inlineStr">
        <is>
          <t>K</t>
        </is>
      </c>
      <c r="D1811" s="12" t="inlineStr">
        <is>
          <t>H2 13.8 kV e-house (electrolyzers)</t>
        </is>
      </c>
      <c r="E1811" s="12" t="n">
        <v>13800</v>
      </c>
      <c r="F1811" s="12" t="n">
        <v>20000</v>
      </c>
      <c r="G1811" s="12" t="n">
        <v>837</v>
      </c>
      <c r="H1811" s="12" t="inlineStr">
        <is>
          <t>R1 SWGR-13.8-3 (11 x 36 in cubicles, 15 kV metal-clad)</t>
        </is>
      </c>
      <c r="I1811" s="12" t="inlineStr">
        <is>
          <t>MV 15 kV</t>
        </is>
      </c>
      <c r="J1811" s="12" t="inlineStr">
        <is>
          <t>750 kcmil</t>
        </is>
      </c>
      <c r="K1811" s="12" t="n">
        <v>2</v>
      </c>
    </row>
    <row r="1812">
      <c r="A1812" s="12" t="inlineStr">
        <is>
          <t>LNG 17: LNG e-house (13.8 kV / 480 V)</t>
        </is>
      </c>
      <c r="B1812" s="12" t="inlineStr"/>
      <c r="C1812" s="12" t="inlineStr">
        <is>
          <t>K</t>
        </is>
      </c>
      <c r="D1812" s="12" t="inlineStr">
        <is>
          <t>LNG e-house</t>
        </is>
      </c>
      <c r="E1812" s="12" t="n">
        <v>13800</v>
      </c>
      <c r="F1812" s="12" t="n">
        <v>5000</v>
      </c>
      <c r="G1812" s="12" t="n">
        <v>209</v>
      </c>
      <c r="H1812" s="12" t="inlineStr">
        <is>
          <t>R1 SWGR-13.8-3 (11 x 36 in cubicles, 15 kV metal-clad)</t>
        </is>
      </c>
      <c r="I1812" s="12" t="inlineStr">
        <is>
          <t>MV 15 kV</t>
        </is>
      </c>
      <c r="J1812" s="12" t="inlineStr">
        <is>
          <t>4/0</t>
        </is>
      </c>
      <c r="K1812" s="12" t="n">
        <v>1</v>
      </c>
    </row>
    <row r="1813">
      <c r="A1813" s="12" t="inlineStr">
        <is>
          <t xml:space="preserve">CO2 compression 3 x ~19 MW + dehydration: rooftop HVAC, exhaust fans, </t>
        </is>
      </c>
      <c r="B1813" s="12" t="inlineStr"/>
      <c r="C1813" s="12" t="inlineStr"/>
      <c r="D1813" s="12" t="inlineStr">
        <is>
          <t>Motor 1 of 10, 30 kW</t>
        </is>
      </c>
      <c r="E1813" s="12" t="n">
        <v>480</v>
      </c>
      <c r="F1813" s="12" t="n">
        <v>30</v>
      </c>
      <c r="G1813" s="12" t="n">
        <v>42.5</v>
      </c>
      <c r="H1813" s="12" t="inlineStr">
        <is>
          <t>R1 MCC-C1</t>
        </is>
      </c>
      <c r="I1813" s="12" t="inlineStr">
        <is>
          <t>LV 600 V</t>
        </is>
      </c>
      <c r="J1813" s="12" t="inlineStr">
        <is>
          <t>3/0</t>
        </is>
      </c>
      <c r="K1813" s="12" t="n">
        <v>1</v>
      </c>
    </row>
    <row r="1814">
      <c r="A1814" s="12" t="inlineStr">
        <is>
          <t xml:space="preserve">CO2 compression 3 x ~19 MW + dehydration: rooftop HVAC, exhaust fans, </t>
        </is>
      </c>
      <c r="B1814" s="12" t="inlineStr"/>
      <c r="C1814" s="12" t="inlineStr"/>
      <c r="D1814" s="12" t="inlineStr">
        <is>
          <t>Motor 2 of 10, 30 kW</t>
        </is>
      </c>
      <c r="E1814" s="12" t="n">
        <v>480</v>
      </c>
      <c r="F1814" s="12" t="n">
        <v>30</v>
      </c>
      <c r="G1814" s="12" t="n">
        <v>42.5</v>
      </c>
      <c r="H1814" s="12" t="inlineStr">
        <is>
          <t>R1 MCC-C1</t>
        </is>
      </c>
      <c r="I1814" s="12" t="inlineStr">
        <is>
          <t>LV 600 V</t>
        </is>
      </c>
      <c r="J1814" s="12" t="inlineStr">
        <is>
          <t>3/0</t>
        </is>
      </c>
      <c r="K1814" s="12" t="n">
        <v>1</v>
      </c>
    </row>
    <row r="1815">
      <c r="A1815" s="12" t="inlineStr">
        <is>
          <t xml:space="preserve">CO2 compression 3 x ~19 MW + dehydration: rooftop HVAC, exhaust fans, </t>
        </is>
      </c>
      <c r="B1815" s="12" t="inlineStr"/>
      <c r="C1815" s="12" t="inlineStr"/>
      <c r="D1815" s="12" t="inlineStr">
        <is>
          <t>Motor 3 of 10, 30 kW</t>
        </is>
      </c>
      <c r="E1815" s="12" t="n">
        <v>480</v>
      </c>
      <c r="F1815" s="12" t="n">
        <v>30</v>
      </c>
      <c r="G1815" s="12" t="n">
        <v>42.5</v>
      </c>
      <c r="H1815" s="12" t="inlineStr">
        <is>
          <t>R1 MCC-C1</t>
        </is>
      </c>
      <c r="I1815" s="12" t="inlineStr">
        <is>
          <t>LV 600 V</t>
        </is>
      </c>
      <c r="J1815" s="12" t="inlineStr">
        <is>
          <t>3/0</t>
        </is>
      </c>
      <c r="K1815" s="12" t="n">
        <v>1</v>
      </c>
    </row>
    <row r="1816">
      <c r="A1816" s="12" t="inlineStr">
        <is>
          <t xml:space="preserve">CO2 compression 3 x ~19 MW + dehydration: rooftop HVAC, exhaust fans, </t>
        </is>
      </c>
      <c r="B1816" s="12" t="inlineStr"/>
      <c r="C1816" s="12" t="inlineStr"/>
      <c r="D1816" s="12" t="inlineStr">
        <is>
          <t>Motor 4 of 10, 30 kW</t>
        </is>
      </c>
      <c r="E1816" s="12" t="n">
        <v>480</v>
      </c>
      <c r="F1816" s="12" t="n">
        <v>30</v>
      </c>
      <c r="G1816" s="12" t="n">
        <v>42.5</v>
      </c>
      <c r="H1816" s="12" t="inlineStr">
        <is>
          <t>R1 MCC-C1</t>
        </is>
      </c>
      <c r="I1816" s="12" t="inlineStr">
        <is>
          <t>LV 600 V</t>
        </is>
      </c>
      <c r="J1816" s="12" t="inlineStr">
        <is>
          <t>3/0</t>
        </is>
      </c>
      <c r="K1816" s="12" t="n">
        <v>1</v>
      </c>
    </row>
    <row r="1817">
      <c r="A1817" s="12" t="inlineStr">
        <is>
          <t xml:space="preserve">CO2 compression 3 x ~19 MW + dehydration: rooftop HVAC, exhaust fans, </t>
        </is>
      </c>
      <c r="B1817" s="12" t="inlineStr"/>
      <c r="C1817" s="12" t="inlineStr"/>
      <c r="D1817" s="12" t="inlineStr">
        <is>
          <t>Motor 5 of 10, 30 kW</t>
        </is>
      </c>
      <c r="E1817" s="12" t="n">
        <v>480</v>
      </c>
      <c r="F1817" s="12" t="n">
        <v>30</v>
      </c>
      <c r="G1817" s="12" t="n">
        <v>42.5</v>
      </c>
      <c r="H1817" s="12" t="inlineStr">
        <is>
          <t>R1 MCC-C1</t>
        </is>
      </c>
      <c r="I1817" s="12" t="inlineStr">
        <is>
          <t>LV 600 V</t>
        </is>
      </c>
      <c r="J1817" s="12" t="inlineStr">
        <is>
          <t>3/0</t>
        </is>
      </c>
      <c r="K1817" s="12" t="n">
        <v>1</v>
      </c>
    </row>
    <row r="1818">
      <c r="A1818" s="12" t="inlineStr">
        <is>
          <t xml:space="preserve">CO2 compression 3 x ~19 MW + dehydration: rooftop HVAC, exhaust fans, </t>
        </is>
      </c>
      <c r="B1818" s="12" t="inlineStr"/>
      <c r="C1818" s="12" t="inlineStr"/>
      <c r="D1818" s="12" t="inlineStr">
        <is>
          <t>Motor 6 of 10, 30 kW</t>
        </is>
      </c>
      <c r="E1818" s="12" t="n">
        <v>480</v>
      </c>
      <c r="F1818" s="12" t="n">
        <v>30</v>
      </c>
      <c r="G1818" s="12" t="n">
        <v>42.5</v>
      </c>
      <c r="H1818" s="12" t="inlineStr">
        <is>
          <t>R1 MCC-C1</t>
        </is>
      </c>
      <c r="I1818" s="12" t="inlineStr">
        <is>
          <t>LV 600 V</t>
        </is>
      </c>
      <c r="J1818" s="12" t="inlineStr">
        <is>
          <t>3/0</t>
        </is>
      </c>
      <c r="K1818" s="12" t="n">
        <v>1</v>
      </c>
    </row>
    <row r="1819">
      <c r="A1819" s="12" t="inlineStr">
        <is>
          <t xml:space="preserve">CO2 compression 3 x ~19 MW + dehydration: rooftop HVAC, exhaust fans, </t>
        </is>
      </c>
      <c r="B1819" s="12" t="inlineStr"/>
      <c r="C1819" s="12" t="inlineStr"/>
      <c r="D1819" s="12" t="inlineStr">
        <is>
          <t>Motor 7 of 10, 30 kW</t>
        </is>
      </c>
      <c r="E1819" s="12" t="n">
        <v>480</v>
      </c>
      <c r="F1819" s="12" t="n">
        <v>30</v>
      </c>
      <c r="G1819" s="12" t="n">
        <v>42.5</v>
      </c>
      <c r="H1819" s="12" t="inlineStr">
        <is>
          <t>R1 MCC-C1</t>
        </is>
      </c>
      <c r="I1819" s="12" t="inlineStr">
        <is>
          <t>LV 600 V</t>
        </is>
      </c>
      <c r="J1819" s="12" t="inlineStr">
        <is>
          <t>3/0</t>
        </is>
      </c>
      <c r="K1819" s="12" t="n">
        <v>1</v>
      </c>
    </row>
    <row r="1820">
      <c r="A1820" s="12" t="inlineStr">
        <is>
          <t xml:space="preserve">CO2 compression 3 x ~19 MW + dehydration: rooftop HVAC, exhaust fans, </t>
        </is>
      </c>
      <c r="B1820" s="12" t="inlineStr"/>
      <c r="C1820" s="12" t="inlineStr"/>
      <c r="D1820" s="12" t="inlineStr">
        <is>
          <t>Motor 8 of 10, 30 kW</t>
        </is>
      </c>
      <c r="E1820" s="12" t="n">
        <v>480</v>
      </c>
      <c r="F1820" s="12" t="n">
        <v>30</v>
      </c>
      <c r="G1820" s="12" t="n">
        <v>42.5</v>
      </c>
      <c r="H1820" s="12" t="inlineStr">
        <is>
          <t>R1 MCC-C1</t>
        </is>
      </c>
      <c r="I1820" s="12" t="inlineStr">
        <is>
          <t>LV 600 V</t>
        </is>
      </c>
      <c r="J1820" s="12" t="inlineStr">
        <is>
          <t>3/0</t>
        </is>
      </c>
      <c r="K1820" s="12" t="n">
        <v>1</v>
      </c>
    </row>
    <row r="1821">
      <c r="A1821" s="12" t="inlineStr">
        <is>
          <t xml:space="preserve">CO2 compression 3 x ~19 MW + dehydration: rooftop HVAC, exhaust fans, </t>
        </is>
      </c>
      <c r="B1821" s="12" t="inlineStr"/>
      <c r="C1821" s="12" t="inlineStr"/>
      <c r="D1821" s="12" t="inlineStr">
        <is>
          <t>Motor 9 of 10, 30 kW</t>
        </is>
      </c>
      <c r="E1821" s="12" t="n">
        <v>480</v>
      </c>
      <c r="F1821" s="12" t="n">
        <v>30</v>
      </c>
      <c r="G1821" s="12" t="n">
        <v>42.5</v>
      </c>
      <c r="H1821" s="12" t="inlineStr">
        <is>
          <t>R1 MCC-C1</t>
        </is>
      </c>
      <c r="I1821" s="12" t="inlineStr">
        <is>
          <t>LV 600 V</t>
        </is>
      </c>
      <c r="J1821" s="12" t="inlineStr">
        <is>
          <t>3/0</t>
        </is>
      </c>
      <c r="K1821" s="12" t="n">
        <v>1</v>
      </c>
    </row>
    <row r="1822">
      <c r="A1822" s="12" t="inlineStr">
        <is>
          <t xml:space="preserve">CO2 compression 3 x ~19 MW + dehydration: rooftop HVAC, exhaust fans, </t>
        </is>
      </c>
      <c r="B1822" s="12" t="inlineStr"/>
      <c r="C1822" s="12" t="inlineStr"/>
      <c r="D1822" s="12" t="inlineStr">
        <is>
          <t>Motor 10 of 10, 30 kW</t>
        </is>
      </c>
      <c r="E1822" s="12" t="n">
        <v>480</v>
      </c>
      <c r="F1822" s="12" t="n">
        <v>30</v>
      </c>
      <c r="G1822" s="12" t="n">
        <v>42.5</v>
      </c>
      <c r="H1822" s="12" t="inlineStr">
        <is>
          <t>R1 MCC-C1</t>
        </is>
      </c>
      <c r="I1822" s="12" t="inlineStr">
        <is>
          <t>LV 600 V</t>
        </is>
      </c>
      <c r="J1822" s="12" t="inlineStr">
        <is>
          <t>3/0</t>
        </is>
      </c>
      <c r="K1822" s="12" t="n">
        <v>1</v>
      </c>
    </row>
    <row r="1823">
      <c r="A1823" s="12" t="inlineStr">
        <is>
          <t xml:space="preserve">CO2 compression 3 x ~19 MW + dehydration: rooftop HVAC, exhaust fans, </t>
        </is>
      </c>
      <c r="B1823" s="12" t="inlineStr"/>
      <c r="C1823" s="12" t="inlineStr"/>
      <c r="D1823" s="12" t="inlineStr">
        <is>
          <t>480 V welding receptacle 1</t>
        </is>
      </c>
      <c r="E1823" s="12" t="n">
        <v>480</v>
      </c>
      <c r="F1823" s="12" t="n">
        <v>60</v>
      </c>
      <c r="G1823" s="12" t="n">
        <v>76</v>
      </c>
      <c r="H1823" s="12" t="inlineStr">
        <is>
          <t>R1 MCC-C1</t>
        </is>
      </c>
      <c r="I1823" s="12" t="inlineStr">
        <is>
          <t>LV 600 V</t>
        </is>
      </c>
      <c r="J1823" s="12" t="inlineStr">
        <is>
          <t>250 kcmil</t>
        </is>
      </c>
      <c r="K1823" s="12" t="n">
        <v>1</v>
      </c>
    </row>
    <row r="1824">
      <c r="A1824" s="12" t="inlineStr">
        <is>
          <t xml:space="preserve">CO2 compression 3 x ~19 MW + dehydration: rooftop HVAC, exhaust fans, </t>
        </is>
      </c>
      <c r="B1824" s="12" t="inlineStr"/>
      <c r="C1824" s="12" t="inlineStr"/>
      <c r="D1824" s="12" t="inlineStr">
        <is>
          <t>480 V welding receptacle 2</t>
        </is>
      </c>
      <c r="E1824" s="12" t="n">
        <v>480</v>
      </c>
      <c r="F1824" s="12" t="n">
        <v>60</v>
      </c>
      <c r="G1824" s="12" t="n">
        <v>76</v>
      </c>
      <c r="H1824" s="12" t="inlineStr">
        <is>
          <t>R1 MCC-C1</t>
        </is>
      </c>
      <c r="I1824" s="12" t="inlineStr">
        <is>
          <t>LV 600 V</t>
        </is>
      </c>
      <c r="J1824" s="12" t="inlineStr">
        <is>
          <t>250 kcmil</t>
        </is>
      </c>
      <c r="K1824" s="12" t="n">
        <v>1</v>
      </c>
    </row>
    <row r="1825">
      <c r="A1825" s="12" t="inlineStr">
        <is>
          <t xml:space="preserve">CO2 compression 3 x ~19 MW + dehydration: rooftop HVAC, exhaust fans, </t>
        </is>
      </c>
      <c r="B1825" s="12" t="inlineStr"/>
      <c r="C1825" s="12" t="inlineStr"/>
      <c r="D1825" s="12" t="inlineStr">
        <is>
          <t>480 V welding receptacle 3</t>
        </is>
      </c>
      <c r="E1825" s="12" t="n">
        <v>480</v>
      </c>
      <c r="F1825" s="12" t="n">
        <v>60</v>
      </c>
      <c r="G1825" s="12" t="n">
        <v>76</v>
      </c>
      <c r="H1825" s="12" t="inlineStr">
        <is>
          <t>R1 MCC-C1</t>
        </is>
      </c>
      <c r="I1825" s="12" t="inlineStr">
        <is>
          <t>LV 600 V</t>
        </is>
      </c>
      <c r="J1825" s="12" t="inlineStr">
        <is>
          <t>250 kcmil</t>
        </is>
      </c>
      <c r="K1825" s="12" t="n">
        <v>1</v>
      </c>
    </row>
    <row r="1826">
      <c r="A1826" s="12" t="inlineStr">
        <is>
          <t xml:space="preserve">CO2 compression 3 x ~19 MW + dehydration: rooftop HVAC, exhaust fans, </t>
        </is>
      </c>
      <c r="B1826" s="12" t="inlineStr"/>
      <c r="C1826" s="12" t="inlineStr"/>
      <c r="D1826" s="12" t="inlineStr">
        <is>
          <t>480 V welding receptacle 4</t>
        </is>
      </c>
      <c r="E1826" s="12" t="n">
        <v>480</v>
      </c>
      <c r="F1826" s="12" t="n">
        <v>60</v>
      </c>
      <c r="G1826" s="12" t="n">
        <v>76</v>
      </c>
      <c r="H1826" s="12" t="inlineStr">
        <is>
          <t>R1 MCC-C1</t>
        </is>
      </c>
      <c r="I1826" s="12" t="inlineStr">
        <is>
          <t>LV 600 V</t>
        </is>
      </c>
      <c r="J1826" s="12" t="inlineStr">
        <is>
          <t>250 kcmil</t>
        </is>
      </c>
      <c r="K1826" s="12" t="n">
        <v>1</v>
      </c>
    </row>
    <row r="1827">
      <c r="A1827" s="12" t="inlineStr">
        <is>
          <t>Small-bore piping: instrument air, service water, nitrogen, HRSG drain</t>
        </is>
      </c>
      <c r="B1827" s="12" t="inlineStr"/>
      <c r="C1827" s="12" t="inlineStr"/>
      <c r="D1827" s="12" t="inlineStr">
        <is>
          <t>Motor 1 of 2, 250 kW</t>
        </is>
      </c>
      <c r="E1827" s="12" t="n">
        <v>480</v>
      </c>
      <c r="F1827" s="12" t="n">
        <v>250</v>
      </c>
      <c r="G1827" s="12" t="n">
        <v>353.8</v>
      </c>
      <c r="H1827" s="12" t="inlineStr">
        <is>
          <t>R1 MCC-C1</t>
        </is>
      </c>
      <c r="I1827" s="12" t="inlineStr">
        <is>
          <t>LV 600 V</t>
        </is>
      </c>
      <c r="J1827" s="12" t="inlineStr">
        <is>
          <t>250 kcmil</t>
        </is>
      </c>
      <c r="K1827" s="12" t="n">
        <v>2</v>
      </c>
    </row>
    <row r="1828">
      <c r="A1828" s="12" t="inlineStr">
        <is>
          <t>Small-bore piping: instrument air, service water, nitrogen, HRSG drain</t>
        </is>
      </c>
      <c r="B1828" s="12" t="inlineStr"/>
      <c r="C1828" s="12" t="inlineStr"/>
      <c r="D1828" s="12" t="inlineStr">
        <is>
          <t>Motor 2 of 2, 250 kW</t>
        </is>
      </c>
      <c r="E1828" s="12" t="n">
        <v>480</v>
      </c>
      <c r="F1828" s="12" t="n">
        <v>250</v>
      </c>
      <c r="G1828" s="12" t="n">
        <v>353.8</v>
      </c>
      <c r="H1828" s="12" t="inlineStr">
        <is>
          <t>R1 MCC-C1</t>
        </is>
      </c>
      <c r="I1828" s="12" t="inlineStr">
        <is>
          <t>LV 600 V</t>
        </is>
      </c>
      <c r="J1828" s="12" t="inlineStr">
        <is>
          <t>250 kcmil</t>
        </is>
      </c>
      <c r="K1828" s="12" t="n">
        <v>2</v>
      </c>
    </row>
    <row r="1829">
      <c r="A1829" s="12" t="inlineStr">
        <is>
          <t>Wastewater treatment: rooftop HVAC, exhaust fans, vents</t>
        </is>
      </c>
      <c r="B1829" s="12" t="inlineStr"/>
      <c r="C1829" s="12" t="inlineStr"/>
      <c r="D1829" s="12" t="inlineStr">
        <is>
          <t>Motor 1 of 8, 15 kW</t>
        </is>
      </c>
      <c r="E1829" s="12" t="n">
        <v>480</v>
      </c>
      <c r="F1829" s="12" t="n">
        <v>15</v>
      </c>
      <c r="G1829" s="12" t="n">
        <v>21.2</v>
      </c>
      <c r="H1829" s="12" t="inlineStr">
        <is>
          <t>R1 MCC-C1</t>
        </is>
      </c>
      <c r="I1829" s="12" t="inlineStr">
        <is>
          <t>LV 600 V</t>
        </is>
      </c>
      <c r="J1829" s="12" t="inlineStr">
        <is>
          <t>1</t>
        </is>
      </c>
      <c r="K1829" s="12" t="n">
        <v>1</v>
      </c>
    </row>
    <row r="1830">
      <c r="A1830" s="12" t="inlineStr">
        <is>
          <t>Wastewater treatment: rooftop HVAC, exhaust fans, vents</t>
        </is>
      </c>
      <c r="B1830" s="12" t="inlineStr"/>
      <c r="C1830" s="12" t="inlineStr"/>
      <c r="D1830" s="12" t="inlineStr">
        <is>
          <t>Motor 2 of 8, 15 kW</t>
        </is>
      </c>
      <c r="E1830" s="12" t="n">
        <v>480</v>
      </c>
      <c r="F1830" s="12" t="n">
        <v>15</v>
      </c>
      <c r="G1830" s="12" t="n">
        <v>21.2</v>
      </c>
      <c r="H1830" s="12" t="inlineStr">
        <is>
          <t>R1 MCC-C1</t>
        </is>
      </c>
      <c r="I1830" s="12" t="inlineStr">
        <is>
          <t>LV 600 V</t>
        </is>
      </c>
      <c r="J1830" s="12" t="inlineStr">
        <is>
          <t>1</t>
        </is>
      </c>
      <c r="K1830" s="12" t="n">
        <v>1</v>
      </c>
    </row>
    <row r="1831">
      <c r="A1831" s="12" t="inlineStr">
        <is>
          <t>Wastewater treatment: rooftop HVAC, exhaust fans, vents</t>
        </is>
      </c>
      <c r="B1831" s="12" t="inlineStr"/>
      <c r="C1831" s="12" t="inlineStr"/>
      <c r="D1831" s="12" t="inlineStr">
        <is>
          <t>Motor 3 of 8, 15 kW</t>
        </is>
      </c>
      <c r="E1831" s="12" t="n">
        <v>480</v>
      </c>
      <c r="F1831" s="12" t="n">
        <v>15</v>
      </c>
      <c r="G1831" s="12" t="n">
        <v>21.2</v>
      </c>
      <c r="H1831" s="12" t="inlineStr">
        <is>
          <t>R1 MCC-C1</t>
        </is>
      </c>
      <c r="I1831" s="12" t="inlineStr">
        <is>
          <t>LV 600 V</t>
        </is>
      </c>
      <c r="J1831" s="12" t="inlineStr">
        <is>
          <t>1</t>
        </is>
      </c>
      <c r="K1831" s="12" t="n">
        <v>1</v>
      </c>
    </row>
    <row r="1832">
      <c r="A1832" s="12" t="inlineStr">
        <is>
          <t>Wastewater treatment: rooftop HVAC, exhaust fans, vents</t>
        </is>
      </c>
      <c r="B1832" s="12" t="inlineStr"/>
      <c r="C1832" s="12" t="inlineStr"/>
      <c r="D1832" s="12" t="inlineStr">
        <is>
          <t>Motor 4 of 8, 15 kW</t>
        </is>
      </c>
      <c r="E1832" s="12" t="n">
        <v>480</v>
      </c>
      <c r="F1832" s="12" t="n">
        <v>15</v>
      </c>
      <c r="G1832" s="12" t="n">
        <v>21.2</v>
      </c>
      <c r="H1832" s="12" t="inlineStr">
        <is>
          <t>R1 MCC-C1</t>
        </is>
      </c>
      <c r="I1832" s="12" t="inlineStr">
        <is>
          <t>LV 600 V</t>
        </is>
      </c>
      <c r="J1832" s="12" t="inlineStr">
        <is>
          <t>1</t>
        </is>
      </c>
      <c r="K1832" s="12" t="n">
        <v>1</v>
      </c>
    </row>
    <row r="1833">
      <c r="A1833" s="12" t="inlineStr">
        <is>
          <t>Wastewater treatment: rooftop HVAC, exhaust fans, vents</t>
        </is>
      </c>
      <c r="B1833" s="12" t="inlineStr"/>
      <c r="C1833" s="12" t="inlineStr"/>
      <c r="D1833" s="12" t="inlineStr">
        <is>
          <t>Motor 5 of 8, 15 kW</t>
        </is>
      </c>
      <c r="E1833" s="12" t="n">
        <v>480</v>
      </c>
      <c r="F1833" s="12" t="n">
        <v>15</v>
      </c>
      <c r="G1833" s="12" t="n">
        <v>21.2</v>
      </c>
      <c r="H1833" s="12" t="inlineStr">
        <is>
          <t>R1 MCC-C1</t>
        </is>
      </c>
      <c r="I1833" s="12" t="inlineStr">
        <is>
          <t>LV 600 V</t>
        </is>
      </c>
      <c r="J1833" s="12" t="inlineStr">
        <is>
          <t>1</t>
        </is>
      </c>
      <c r="K1833" s="12" t="n">
        <v>1</v>
      </c>
    </row>
    <row r="1834">
      <c r="A1834" s="12" t="inlineStr">
        <is>
          <t>Wastewater treatment: rooftop HVAC, exhaust fans, vents</t>
        </is>
      </c>
      <c r="B1834" s="12" t="inlineStr"/>
      <c r="C1834" s="12" t="inlineStr"/>
      <c r="D1834" s="12" t="inlineStr">
        <is>
          <t>Motor 6 of 8, 15 kW</t>
        </is>
      </c>
      <c r="E1834" s="12" t="n">
        <v>480</v>
      </c>
      <c r="F1834" s="12" t="n">
        <v>15</v>
      </c>
      <c r="G1834" s="12" t="n">
        <v>21.2</v>
      </c>
      <c r="H1834" s="12" t="inlineStr">
        <is>
          <t>R1 MCC-C1</t>
        </is>
      </c>
      <c r="I1834" s="12" t="inlineStr">
        <is>
          <t>LV 600 V</t>
        </is>
      </c>
      <c r="J1834" s="12" t="inlineStr">
        <is>
          <t>1</t>
        </is>
      </c>
      <c r="K1834" s="12" t="n">
        <v>1</v>
      </c>
    </row>
    <row r="1835">
      <c r="A1835" s="12" t="inlineStr">
        <is>
          <t>Wastewater treatment: rooftop HVAC, exhaust fans, vents</t>
        </is>
      </c>
      <c r="B1835" s="12" t="inlineStr"/>
      <c r="C1835" s="12" t="inlineStr"/>
      <c r="D1835" s="12" t="inlineStr">
        <is>
          <t>Motor 7 of 8, 15 kW</t>
        </is>
      </c>
      <c r="E1835" s="12" t="n">
        <v>480</v>
      </c>
      <c r="F1835" s="12" t="n">
        <v>15</v>
      </c>
      <c r="G1835" s="12" t="n">
        <v>21.2</v>
      </c>
      <c r="H1835" s="12" t="inlineStr">
        <is>
          <t>R1 MCC-C1</t>
        </is>
      </c>
      <c r="I1835" s="12" t="inlineStr">
        <is>
          <t>LV 600 V</t>
        </is>
      </c>
      <c r="J1835" s="12" t="inlineStr">
        <is>
          <t>1</t>
        </is>
      </c>
      <c r="K1835" s="12" t="n">
        <v>1</v>
      </c>
    </row>
    <row r="1836">
      <c r="A1836" s="12" t="inlineStr">
        <is>
          <t>Wastewater treatment: rooftop HVAC, exhaust fans, vents</t>
        </is>
      </c>
      <c r="B1836" s="12" t="inlineStr"/>
      <c r="C1836" s="12" t="inlineStr"/>
      <c r="D1836" s="12" t="inlineStr">
        <is>
          <t>Motor 8 of 8, 15 kW</t>
        </is>
      </c>
      <c r="E1836" s="12" t="n">
        <v>480</v>
      </c>
      <c r="F1836" s="12" t="n">
        <v>15</v>
      </c>
      <c r="G1836" s="12" t="n">
        <v>21.2</v>
      </c>
      <c r="H1836" s="12" t="inlineStr">
        <is>
          <t>R1 MCC-C1</t>
        </is>
      </c>
      <c r="I1836" s="12" t="inlineStr">
        <is>
          <t>LV 600 V</t>
        </is>
      </c>
      <c r="J1836" s="12" t="inlineStr">
        <is>
          <t>1</t>
        </is>
      </c>
      <c r="K1836" s="12" t="n">
        <v>1</v>
      </c>
    </row>
    <row r="1837">
      <c r="A1837" s="12" t="inlineStr">
        <is>
          <t>Water treatment building: rooftop HVAC, exhaust fans, vents</t>
        </is>
      </c>
      <c r="B1837" s="12" t="inlineStr"/>
      <c r="C1837" s="12" t="inlineStr"/>
      <c r="D1837" s="12" t="inlineStr">
        <is>
          <t>Motor 1 of 20, 15 kW</t>
        </is>
      </c>
      <c r="E1837" s="12" t="n">
        <v>480</v>
      </c>
      <c r="F1837" s="12" t="n">
        <v>15</v>
      </c>
      <c r="G1837" s="12" t="n">
        <v>21.2</v>
      </c>
      <c r="H1837" s="12" t="inlineStr">
        <is>
          <t>R1 MCC-C1</t>
        </is>
      </c>
      <c r="I1837" s="12" t="inlineStr">
        <is>
          <t>LV 600 V</t>
        </is>
      </c>
      <c r="J1837" s="12" t="inlineStr">
        <is>
          <t>2</t>
        </is>
      </c>
      <c r="K1837" s="12" t="n">
        <v>1</v>
      </c>
    </row>
    <row r="1838">
      <c r="A1838" s="12" t="inlineStr">
        <is>
          <t>Water treatment building: rooftop HVAC, exhaust fans, vents</t>
        </is>
      </c>
      <c r="B1838" s="12" t="inlineStr"/>
      <c r="C1838" s="12" t="inlineStr"/>
      <c r="D1838" s="12" t="inlineStr">
        <is>
          <t>Motor 2 of 20, 15 kW</t>
        </is>
      </c>
      <c r="E1838" s="12" t="n">
        <v>480</v>
      </c>
      <c r="F1838" s="12" t="n">
        <v>15</v>
      </c>
      <c r="G1838" s="12" t="n">
        <v>21.2</v>
      </c>
      <c r="H1838" s="12" t="inlineStr">
        <is>
          <t>R1 MCC-C1</t>
        </is>
      </c>
      <c r="I1838" s="12" t="inlineStr">
        <is>
          <t>LV 600 V</t>
        </is>
      </c>
      <c r="J1838" s="12" t="inlineStr">
        <is>
          <t>2</t>
        </is>
      </c>
      <c r="K1838" s="12" t="n">
        <v>1</v>
      </c>
    </row>
    <row r="1839">
      <c r="A1839" s="12" t="inlineStr">
        <is>
          <t>Water treatment building: rooftop HVAC, exhaust fans, vents</t>
        </is>
      </c>
      <c r="B1839" s="12" t="inlineStr"/>
      <c r="C1839" s="12" t="inlineStr"/>
      <c r="D1839" s="12" t="inlineStr">
        <is>
          <t>Motor 3 of 20, 15 kW</t>
        </is>
      </c>
      <c r="E1839" s="12" t="n">
        <v>480</v>
      </c>
      <c r="F1839" s="12" t="n">
        <v>15</v>
      </c>
      <c r="G1839" s="12" t="n">
        <v>21.2</v>
      </c>
      <c r="H1839" s="12" t="inlineStr">
        <is>
          <t>R1 MCC-C1</t>
        </is>
      </c>
      <c r="I1839" s="12" t="inlineStr">
        <is>
          <t>LV 600 V</t>
        </is>
      </c>
      <c r="J1839" s="12" t="inlineStr">
        <is>
          <t>2</t>
        </is>
      </c>
      <c r="K1839" s="12" t="n">
        <v>1</v>
      </c>
    </row>
    <row r="1840">
      <c r="A1840" s="12" t="inlineStr">
        <is>
          <t>Water treatment building: rooftop HVAC, exhaust fans, vents</t>
        </is>
      </c>
      <c r="B1840" s="12" t="inlineStr"/>
      <c r="C1840" s="12" t="inlineStr"/>
      <c r="D1840" s="12" t="inlineStr">
        <is>
          <t>Motor 4 of 20, 15 kW</t>
        </is>
      </c>
      <c r="E1840" s="12" t="n">
        <v>480</v>
      </c>
      <c r="F1840" s="12" t="n">
        <v>15</v>
      </c>
      <c r="G1840" s="12" t="n">
        <v>21.2</v>
      </c>
      <c r="H1840" s="12" t="inlineStr">
        <is>
          <t>R1 MCC-C1</t>
        </is>
      </c>
      <c r="I1840" s="12" t="inlineStr">
        <is>
          <t>LV 600 V</t>
        </is>
      </c>
      <c r="J1840" s="12" t="inlineStr">
        <is>
          <t>2</t>
        </is>
      </c>
      <c r="K1840" s="12" t="n">
        <v>1</v>
      </c>
    </row>
    <row r="1841">
      <c r="A1841" s="12" t="inlineStr">
        <is>
          <t>Water treatment building: rooftop HVAC, exhaust fans, vents</t>
        </is>
      </c>
      <c r="B1841" s="12" t="inlineStr"/>
      <c r="C1841" s="12" t="inlineStr"/>
      <c r="D1841" s="12" t="inlineStr">
        <is>
          <t>Motor 5 of 20, 15 kW</t>
        </is>
      </c>
      <c r="E1841" s="12" t="n">
        <v>480</v>
      </c>
      <c r="F1841" s="12" t="n">
        <v>15</v>
      </c>
      <c r="G1841" s="12" t="n">
        <v>21.2</v>
      </c>
      <c r="H1841" s="12" t="inlineStr">
        <is>
          <t>R1 MCC-C1</t>
        </is>
      </c>
      <c r="I1841" s="12" t="inlineStr">
        <is>
          <t>LV 600 V</t>
        </is>
      </c>
      <c r="J1841" s="12" t="inlineStr">
        <is>
          <t>2</t>
        </is>
      </c>
      <c r="K1841" s="12" t="n">
        <v>1</v>
      </c>
    </row>
    <row r="1842">
      <c r="A1842" s="12" t="inlineStr">
        <is>
          <t>Water treatment building: rooftop HVAC, exhaust fans, vents</t>
        </is>
      </c>
      <c r="B1842" s="12" t="inlineStr"/>
      <c r="C1842" s="12" t="inlineStr"/>
      <c r="D1842" s="12" t="inlineStr">
        <is>
          <t>Motor 6 of 20, 15 kW</t>
        </is>
      </c>
      <c r="E1842" s="12" t="n">
        <v>480</v>
      </c>
      <c r="F1842" s="12" t="n">
        <v>15</v>
      </c>
      <c r="G1842" s="12" t="n">
        <v>21.2</v>
      </c>
      <c r="H1842" s="12" t="inlineStr">
        <is>
          <t>R1 MCC-C1</t>
        </is>
      </c>
      <c r="I1842" s="12" t="inlineStr">
        <is>
          <t>LV 600 V</t>
        </is>
      </c>
      <c r="J1842" s="12" t="inlineStr">
        <is>
          <t>2</t>
        </is>
      </c>
      <c r="K1842" s="12" t="n">
        <v>1</v>
      </c>
    </row>
    <row r="1843">
      <c r="A1843" s="12" t="inlineStr">
        <is>
          <t>Water treatment building: rooftop HVAC, exhaust fans, vents</t>
        </is>
      </c>
      <c r="B1843" s="12" t="inlineStr"/>
      <c r="C1843" s="12" t="inlineStr"/>
      <c r="D1843" s="12" t="inlineStr">
        <is>
          <t>Motor 7 of 20, 15 kW</t>
        </is>
      </c>
      <c r="E1843" s="12" t="n">
        <v>480</v>
      </c>
      <c r="F1843" s="12" t="n">
        <v>15</v>
      </c>
      <c r="G1843" s="12" t="n">
        <v>21.2</v>
      </c>
      <c r="H1843" s="12" t="inlineStr">
        <is>
          <t>R1 MCC-C1</t>
        </is>
      </c>
      <c r="I1843" s="12" t="inlineStr">
        <is>
          <t>LV 600 V</t>
        </is>
      </c>
      <c r="J1843" s="12" t="inlineStr">
        <is>
          <t>2</t>
        </is>
      </c>
      <c r="K1843" s="12" t="n">
        <v>1</v>
      </c>
    </row>
    <row r="1844">
      <c r="A1844" s="12" t="inlineStr">
        <is>
          <t>Water treatment building: rooftop HVAC, exhaust fans, vents</t>
        </is>
      </c>
      <c r="B1844" s="12" t="inlineStr"/>
      <c r="C1844" s="12" t="inlineStr"/>
      <c r="D1844" s="12" t="inlineStr">
        <is>
          <t>Motor 8 of 20, 15 kW</t>
        </is>
      </c>
      <c r="E1844" s="12" t="n">
        <v>480</v>
      </c>
      <c r="F1844" s="12" t="n">
        <v>15</v>
      </c>
      <c r="G1844" s="12" t="n">
        <v>21.2</v>
      </c>
      <c r="H1844" s="12" t="inlineStr">
        <is>
          <t>R1 MCC-C1</t>
        </is>
      </c>
      <c r="I1844" s="12" t="inlineStr">
        <is>
          <t>LV 600 V</t>
        </is>
      </c>
      <c r="J1844" s="12" t="inlineStr">
        <is>
          <t>2</t>
        </is>
      </c>
      <c r="K1844" s="12" t="n">
        <v>1</v>
      </c>
    </row>
    <row r="1845">
      <c r="A1845" s="12" t="inlineStr">
        <is>
          <t>Water treatment building: rooftop HVAC, exhaust fans, vents</t>
        </is>
      </c>
      <c r="B1845" s="12" t="inlineStr"/>
      <c r="C1845" s="12" t="inlineStr"/>
      <c r="D1845" s="12" t="inlineStr">
        <is>
          <t>Motor 9 of 20, 15 kW</t>
        </is>
      </c>
      <c r="E1845" s="12" t="n">
        <v>480</v>
      </c>
      <c r="F1845" s="12" t="n">
        <v>15</v>
      </c>
      <c r="G1845" s="12" t="n">
        <v>21.2</v>
      </c>
      <c r="H1845" s="12" t="inlineStr">
        <is>
          <t>R1 MCC-C1</t>
        </is>
      </c>
      <c r="I1845" s="12" t="inlineStr">
        <is>
          <t>LV 600 V</t>
        </is>
      </c>
      <c r="J1845" s="12" t="inlineStr">
        <is>
          <t>2</t>
        </is>
      </c>
      <c r="K1845" s="12" t="n">
        <v>1</v>
      </c>
    </row>
    <row r="1846">
      <c r="A1846" s="12" t="inlineStr">
        <is>
          <t>Water treatment building: rooftop HVAC, exhaust fans, vents</t>
        </is>
      </c>
      <c r="B1846" s="12" t="inlineStr"/>
      <c r="C1846" s="12" t="inlineStr"/>
      <c r="D1846" s="12" t="inlineStr">
        <is>
          <t>Motor 10 of 20, 15 kW</t>
        </is>
      </c>
      <c r="E1846" s="12" t="n">
        <v>480</v>
      </c>
      <c r="F1846" s="12" t="n">
        <v>15</v>
      </c>
      <c r="G1846" s="12" t="n">
        <v>21.2</v>
      </c>
      <c r="H1846" s="12" t="inlineStr">
        <is>
          <t>R1 MCC-C1</t>
        </is>
      </c>
      <c r="I1846" s="12" t="inlineStr">
        <is>
          <t>LV 600 V</t>
        </is>
      </c>
      <c r="J1846" s="12" t="inlineStr">
        <is>
          <t>2</t>
        </is>
      </c>
      <c r="K1846" s="12" t="n">
        <v>1</v>
      </c>
    </row>
    <row r="1847">
      <c r="A1847" s="12" t="inlineStr">
        <is>
          <t>Water treatment building: rooftop HVAC, exhaust fans, vents</t>
        </is>
      </c>
      <c r="B1847" s="12" t="inlineStr"/>
      <c r="C1847" s="12" t="inlineStr"/>
      <c r="D1847" s="12" t="inlineStr">
        <is>
          <t>Motor 11 of 20, 15 kW</t>
        </is>
      </c>
      <c r="E1847" s="12" t="n">
        <v>480</v>
      </c>
      <c r="F1847" s="12" t="n">
        <v>15</v>
      </c>
      <c r="G1847" s="12" t="n">
        <v>21.2</v>
      </c>
      <c r="H1847" s="12" t="inlineStr">
        <is>
          <t>R1 MCC-C1</t>
        </is>
      </c>
      <c r="I1847" s="12" t="inlineStr">
        <is>
          <t>LV 600 V</t>
        </is>
      </c>
      <c r="J1847" s="12" t="inlineStr">
        <is>
          <t>2</t>
        </is>
      </c>
      <c r="K1847" s="12" t="n">
        <v>1</v>
      </c>
    </row>
    <row r="1848">
      <c r="A1848" s="12" t="inlineStr">
        <is>
          <t>Water treatment building: rooftop HVAC, exhaust fans, vents</t>
        </is>
      </c>
      <c r="B1848" s="12" t="inlineStr"/>
      <c r="C1848" s="12" t="inlineStr"/>
      <c r="D1848" s="12" t="inlineStr">
        <is>
          <t>Motor 12 of 20, 15 kW</t>
        </is>
      </c>
      <c r="E1848" s="12" t="n">
        <v>480</v>
      </c>
      <c r="F1848" s="12" t="n">
        <v>15</v>
      </c>
      <c r="G1848" s="12" t="n">
        <v>21.2</v>
      </c>
      <c r="H1848" s="12" t="inlineStr">
        <is>
          <t>R1 MCC-C1</t>
        </is>
      </c>
      <c r="I1848" s="12" t="inlineStr">
        <is>
          <t>LV 600 V</t>
        </is>
      </c>
      <c r="J1848" s="12" t="inlineStr">
        <is>
          <t>2</t>
        </is>
      </c>
      <c r="K1848" s="12" t="n">
        <v>1</v>
      </c>
    </row>
    <row r="1849">
      <c r="A1849" s="12" t="inlineStr">
        <is>
          <t>Water treatment building: rooftop HVAC, exhaust fans, vents</t>
        </is>
      </c>
      <c r="B1849" s="12" t="inlineStr"/>
      <c r="C1849" s="12" t="inlineStr"/>
      <c r="D1849" s="12" t="inlineStr">
        <is>
          <t>Motor 13 of 20, 15 kW</t>
        </is>
      </c>
      <c r="E1849" s="12" t="n">
        <v>480</v>
      </c>
      <c r="F1849" s="12" t="n">
        <v>15</v>
      </c>
      <c r="G1849" s="12" t="n">
        <v>21.2</v>
      </c>
      <c r="H1849" s="12" t="inlineStr">
        <is>
          <t>R1 MCC-C1</t>
        </is>
      </c>
      <c r="I1849" s="12" t="inlineStr">
        <is>
          <t>LV 600 V</t>
        </is>
      </c>
      <c r="J1849" s="12" t="inlineStr">
        <is>
          <t>2</t>
        </is>
      </c>
      <c r="K1849" s="12" t="n">
        <v>1</v>
      </c>
    </row>
    <row r="1850">
      <c r="A1850" s="12" t="inlineStr">
        <is>
          <t>Water treatment building: rooftop HVAC, exhaust fans, vents</t>
        </is>
      </c>
      <c r="B1850" s="12" t="inlineStr"/>
      <c r="C1850" s="12" t="inlineStr"/>
      <c r="D1850" s="12" t="inlineStr">
        <is>
          <t>Motor 14 of 20, 15 kW</t>
        </is>
      </c>
      <c r="E1850" s="12" t="n">
        <v>480</v>
      </c>
      <c r="F1850" s="12" t="n">
        <v>15</v>
      </c>
      <c r="G1850" s="12" t="n">
        <v>21.2</v>
      </c>
      <c r="H1850" s="12" t="inlineStr">
        <is>
          <t>R1 MCC-C1</t>
        </is>
      </c>
      <c r="I1850" s="12" t="inlineStr">
        <is>
          <t>LV 600 V</t>
        </is>
      </c>
      <c r="J1850" s="12" t="inlineStr">
        <is>
          <t>2</t>
        </is>
      </c>
      <c r="K1850" s="12" t="n">
        <v>1</v>
      </c>
    </row>
    <row r="1851">
      <c r="A1851" s="12" t="inlineStr">
        <is>
          <t>Water treatment building: rooftop HVAC, exhaust fans, vents</t>
        </is>
      </c>
      <c r="B1851" s="12" t="inlineStr"/>
      <c r="C1851" s="12" t="inlineStr"/>
      <c r="D1851" s="12" t="inlineStr">
        <is>
          <t>Motor 15 of 20, 15 kW</t>
        </is>
      </c>
      <c r="E1851" s="12" t="n">
        <v>480</v>
      </c>
      <c r="F1851" s="12" t="n">
        <v>15</v>
      </c>
      <c r="G1851" s="12" t="n">
        <v>21.2</v>
      </c>
      <c r="H1851" s="12" t="inlineStr">
        <is>
          <t>R1 MCC-C1</t>
        </is>
      </c>
      <c r="I1851" s="12" t="inlineStr">
        <is>
          <t>LV 600 V</t>
        </is>
      </c>
      <c r="J1851" s="12" t="inlineStr">
        <is>
          <t>2</t>
        </is>
      </c>
      <c r="K1851" s="12" t="n">
        <v>1</v>
      </c>
    </row>
    <row r="1852">
      <c r="A1852" s="12" t="inlineStr">
        <is>
          <t>Water treatment building: rooftop HVAC, exhaust fans, vents</t>
        </is>
      </c>
      <c r="B1852" s="12" t="inlineStr"/>
      <c r="C1852" s="12" t="inlineStr"/>
      <c r="D1852" s="12" t="inlineStr">
        <is>
          <t>Motor 16 of 20, 15 kW</t>
        </is>
      </c>
      <c r="E1852" s="12" t="n">
        <v>480</v>
      </c>
      <c r="F1852" s="12" t="n">
        <v>15</v>
      </c>
      <c r="G1852" s="12" t="n">
        <v>21.2</v>
      </c>
      <c r="H1852" s="12" t="inlineStr">
        <is>
          <t>R1 MCC-C1</t>
        </is>
      </c>
      <c r="I1852" s="12" t="inlineStr">
        <is>
          <t>LV 600 V</t>
        </is>
      </c>
      <c r="J1852" s="12" t="inlineStr">
        <is>
          <t>2</t>
        </is>
      </c>
      <c r="K1852" s="12" t="n">
        <v>1</v>
      </c>
    </row>
    <row r="1853">
      <c r="A1853" s="12" t="inlineStr">
        <is>
          <t>Water treatment building: rooftop HVAC, exhaust fans, vents</t>
        </is>
      </c>
      <c r="B1853" s="12" t="inlineStr"/>
      <c r="C1853" s="12" t="inlineStr"/>
      <c r="D1853" s="12" t="inlineStr">
        <is>
          <t>Motor 17 of 20, 15 kW</t>
        </is>
      </c>
      <c r="E1853" s="12" t="n">
        <v>480</v>
      </c>
      <c r="F1853" s="12" t="n">
        <v>15</v>
      </c>
      <c r="G1853" s="12" t="n">
        <v>21.2</v>
      </c>
      <c r="H1853" s="12" t="inlineStr">
        <is>
          <t>R1 MCC-C1</t>
        </is>
      </c>
      <c r="I1853" s="12" t="inlineStr">
        <is>
          <t>LV 600 V</t>
        </is>
      </c>
      <c r="J1853" s="12" t="inlineStr">
        <is>
          <t>2</t>
        </is>
      </c>
      <c r="K1853" s="12" t="n">
        <v>1</v>
      </c>
    </row>
    <row r="1854">
      <c r="A1854" s="12" t="inlineStr">
        <is>
          <t>Water treatment building: rooftop HVAC, exhaust fans, vents</t>
        </is>
      </c>
      <c r="B1854" s="12" t="inlineStr"/>
      <c r="C1854" s="12" t="inlineStr"/>
      <c r="D1854" s="12" t="inlineStr">
        <is>
          <t>Motor 18 of 20, 15 kW</t>
        </is>
      </c>
      <c r="E1854" s="12" t="n">
        <v>480</v>
      </c>
      <c r="F1854" s="12" t="n">
        <v>15</v>
      </c>
      <c r="G1854" s="12" t="n">
        <v>21.2</v>
      </c>
      <c r="H1854" s="12" t="inlineStr">
        <is>
          <t>R1 MCC-C1</t>
        </is>
      </c>
      <c r="I1854" s="12" t="inlineStr">
        <is>
          <t>LV 600 V</t>
        </is>
      </c>
      <c r="J1854" s="12" t="inlineStr">
        <is>
          <t>2</t>
        </is>
      </c>
      <c r="K1854" s="12" t="n">
        <v>1</v>
      </c>
    </row>
    <row r="1855">
      <c r="A1855" s="12" t="inlineStr">
        <is>
          <t>Water treatment building: rooftop HVAC, exhaust fans, vents</t>
        </is>
      </c>
      <c r="B1855" s="12" t="inlineStr"/>
      <c r="C1855" s="12" t="inlineStr"/>
      <c r="D1855" s="12" t="inlineStr">
        <is>
          <t>Motor 19 of 20, 15 kW</t>
        </is>
      </c>
      <c r="E1855" s="12" t="n">
        <v>480</v>
      </c>
      <c r="F1855" s="12" t="n">
        <v>15</v>
      </c>
      <c r="G1855" s="12" t="n">
        <v>21.2</v>
      </c>
      <c r="H1855" s="12" t="inlineStr">
        <is>
          <t>R1 MCC-C1</t>
        </is>
      </c>
      <c r="I1855" s="12" t="inlineStr">
        <is>
          <t>LV 600 V</t>
        </is>
      </c>
      <c r="J1855" s="12" t="inlineStr">
        <is>
          <t>2</t>
        </is>
      </c>
      <c r="K1855" s="12" t="n">
        <v>1</v>
      </c>
    </row>
    <row r="1856">
      <c r="A1856" s="12" t="inlineStr">
        <is>
          <t>Water treatment building: rooftop HVAC, exhaust fans, vents</t>
        </is>
      </c>
      <c r="B1856" s="12" t="inlineStr"/>
      <c r="C1856" s="12" t="inlineStr"/>
      <c r="D1856" s="12" t="inlineStr">
        <is>
          <t>Motor 20 of 20, 15 kW</t>
        </is>
      </c>
      <c r="E1856" s="12" t="n">
        <v>480</v>
      </c>
      <c r="F1856" s="12" t="n">
        <v>15</v>
      </c>
      <c r="G1856" s="12" t="n">
        <v>21.2</v>
      </c>
      <c r="H1856" s="12" t="inlineStr">
        <is>
          <t>R1 MCC-C1</t>
        </is>
      </c>
      <c r="I1856" s="12" t="inlineStr">
        <is>
          <t>LV 600 V</t>
        </is>
      </c>
      <c r="J1856" s="12" t="inlineStr">
        <is>
          <t>2</t>
        </is>
      </c>
      <c r="K1856"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2026-10-26T17:57:19Z</dcterms:created>
  <dcterms:modified xmlns:dcterms="http://purl.org/dc/terms/" xmlns:xsi="http://www.w3.org/2001/XMLSchema-instance" xsi:type="dcterms:W3CDTF">2026-10-26T17:57:21Z</dcterms:modified>
</cp:coreProperties>
</file>